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embeddings/oleObject1.bin" ContentType="application/vnd.openxmlformats-officedocument.oleObject"/>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omments2.xml" ContentType="application/vnd.openxmlformats-officedocument.spreadsheetml.comments+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4.xml" ContentType="application/vnd.openxmlformats-officedocument.drawing+xml"/>
  <Override PartName="/xl/charts/chart9.xml" ContentType="application/vnd.openxmlformats-officedocument.drawingml.chart+xml"/>
  <Override PartName="/xl/drawings/drawing5.xml" ContentType="application/vnd.openxmlformats-officedocument.drawing+xml"/>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embeddings/oleObject7.bin" ContentType="application/vnd.openxmlformats-officedocument.oleObject"/>
  <Override PartName="/xl/embeddings/oleObject8.bin" ContentType="application/vnd.openxmlformats-officedocument.oleObject"/>
  <Override PartName="/xl/embeddings/oleObject9.bin" ContentType="application/vnd.openxmlformats-officedocument.oleObject"/>
  <Override PartName="/xl/embeddings/oleObject10.bin" ContentType="application/vnd.openxmlformats-officedocument.oleObject"/>
  <Override PartName="/xl/embeddings/oleObject11.bin" ContentType="application/vnd.openxmlformats-officedocument.oleObject"/>
  <Override PartName="/xl/embeddings/oleObject12.bin" ContentType="application/vnd.openxmlformats-officedocument.oleObject"/>
  <Override PartName="/xl/embeddings/oleObject13.bin" ContentType="application/vnd.openxmlformats-officedocument.oleObject"/>
  <Override PartName="/xl/embeddings/oleObject14.bin" ContentType="application/vnd.openxmlformats-officedocument.oleObject"/>
  <Override PartName="/xl/embeddings/oleObject15.bin" ContentType="application/vnd.openxmlformats-officedocument.oleObject"/>
  <Override PartName="/xl/embeddings/oleObject16.bin" ContentType="application/vnd.openxmlformats-officedocument.oleObject"/>
  <Override PartName="/xl/embeddings/oleObject17.bin" ContentType="application/vnd.openxmlformats-officedocument.oleObject"/>
  <Override PartName="/xl/embeddings/oleObject18.bin" ContentType="application/vnd.openxmlformats-officedocument.oleObject"/>
  <Override PartName="/xl/embeddings/oleObject19.bin" ContentType="application/vnd.openxmlformats-officedocument.oleObject"/>
  <Override PartName="/xl/embeddings/oleObject20.bin" ContentType="application/vnd.openxmlformats-officedocument.oleObject"/>
  <Override PartName="/xl/embeddings/oleObject21.bin" ContentType="application/vnd.openxmlformats-officedocument.oleObject"/>
  <Override PartName="/xl/embeddings/oleObject22.bin" ContentType="application/vnd.openxmlformats-officedocument.oleObject"/>
  <Override PartName="/xl/embeddings/oleObject23.bin" ContentType="application/vnd.openxmlformats-officedocument.oleObject"/>
  <Override PartName="/xl/embeddings/oleObject24.bin" ContentType="application/vnd.openxmlformats-officedocument.oleObject"/>
  <Override PartName="/xl/embeddings/oleObject25.bin" ContentType="application/vnd.openxmlformats-officedocument.oleObject"/>
  <Override PartName="/xl/embeddings/oleObject26.bin" ContentType="application/vnd.openxmlformats-officedocument.oleObject"/>
  <Override PartName="/xl/embeddings/oleObject27.bin" ContentType="application/vnd.openxmlformats-officedocument.oleObject"/>
  <Override PartName="/xl/embeddings/oleObject28.bin" ContentType="application/vnd.openxmlformats-officedocument.oleObject"/>
  <Override PartName="/xl/embeddings/oleObject29.bin" ContentType="application/vnd.openxmlformats-officedocument.oleObject"/>
  <Override PartName="/xl/embeddings/oleObject30.bin" ContentType="application/vnd.openxmlformats-officedocument.oleObject"/>
  <Override PartName="/xl/embeddings/oleObject31.bin" ContentType="application/vnd.openxmlformats-officedocument.oleObject"/>
  <Override PartName="/xl/embeddings/oleObject32.bin" ContentType="application/vnd.openxmlformats-officedocument.oleObject"/>
  <Override PartName="/xl/embeddings/oleObject33.bin" ContentType="application/vnd.openxmlformats-officedocument.oleObject"/>
  <Override PartName="/xl/embeddings/oleObject34.bin" ContentType="application/vnd.openxmlformats-officedocument.oleObject"/>
  <Override PartName="/xl/embeddings/oleObject35.bin" ContentType="application/vnd.openxmlformats-officedocument.oleObject"/>
  <Override PartName="/xl/embeddings/oleObject36.bin" ContentType="application/vnd.openxmlformats-officedocument.oleObject"/>
  <Override PartName="/xl/embeddings/oleObject37.bin" ContentType="application/vnd.openxmlformats-officedocument.oleObject"/>
  <Override PartName="/xl/drawings/drawing6.xml" ContentType="application/vnd.openxmlformats-officedocument.drawing+xml"/>
  <Override PartName="/xl/embeddings/oleObject38.bin" ContentType="application/vnd.openxmlformats-officedocument.oleObject"/>
  <Override PartName="/xl/ctrlProps/ctrlProp19.xml" ContentType="application/vnd.ms-excel.controlproperties+xml"/>
  <Override PartName="/xl/ctrlProps/ctrlProp20.xml" ContentType="application/vnd.ms-excel.controlproperties+xml"/>
  <Override PartName="/xl/comments3.xml" ContentType="application/vnd.openxmlformats-officedocument.spreadsheetml.comments+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omments4.xml" ContentType="application/vnd.openxmlformats-officedocument.spreadsheetml.comments+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backupFile="1" codeName="ThisWorkbook"/>
  <mc:AlternateContent xmlns:mc="http://schemas.openxmlformats.org/markup-compatibility/2006">
    <mc:Choice Requires="x15">
      <x15ac:absPath xmlns:x15ac="http://schemas.microsoft.com/office/spreadsheetml/2010/11/ac" url="C:\Users\alexi\Documents\scolaire\IPSA\AeroIpsa\SP-02\STABTRAJ\pro24_4_4_new\Alpha\"/>
    </mc:Choice>
  </mc:AlternateContent>
  <xr:revisionPtr revIDLastSave="0" documentId="13_ncr:1_{307837EB-D360-42E9-ACED-CF1D446035F9}" xr6:coauthVersionLast="47" xr6:coauthVersionMax="47" xr10:uidLastSave="{00000000-0000-0000-0000-000000000000}"/>
  <bookViews>
    <workbookView xWindow="-120" yWindow="-120" windowWidth="29040" windowHeight="15990" xr2:uid="{00000000-000D-0000-FFFF-FFFF00000000}"/>
  </bookViews>
  <sheets>
    <sheet name="Stabilito" sheetId="6" r:id="rId1"/>
    <sheet name="Trajecto" sheetId="1" r:id="rId2"/>
    <sheet name="Courbes" sheetId="2" r:id="rId3"/>
    <sheet name="Propu" sheetId="4" r:id="rId4"/>
    <sheet name="Calculs" sheetId="3" r:id="rId5"/>
    <sheet name="Abaco" sheetId="8" r:id="rId6"/>
    <sheet name="Info" sheetId="5" r:id="rId7"/>
    <sheet name="Controle" sheetId="7" r:id="rId8"/>
  </sheets>
  <externalReferences>
    <externalReference r:id="rId9"/>
  </externalReferences>
  <definedNames>
    <definedName name="_xlnm._FilterDatabase" localSheetId="3" hidden="1">Propu!$O$317:$P$345</definedName>
    <definedName name="a_prop">Abaco!$G$43:$G$69</definedName>
    <definedName name="Acc_max">Trajecto!$L$25</definedName>
    <definedName name="acc_x">Calculs!$D$4:$D$1004</definedName>
    <definedName name="acc_xz">Calculs!$F$4:$F$1004</definedName>
    <definedName name="acc_z">Calculs!$E$4:$E$1004</definedName>
    <definedName name="Alt_para">Trajecto!$I$28</definedName>
    <definedName name="alt_prop">Abaco!$J$43:$J$69</definedName>
    <definedName name="Alt_rampe">Trajecto!$C$21</definedName>
    <definedName name="Alt_sat">Trajecto!$I$26</definedName>
    <definedName name="Altitude_culmi">Trajecto!$I$27</definedName>
    <definedName name="b_bal">Abaco!$I$43:$I$69</definedName>
    <definedName name="b_prop">Abaco!$H$43:$H$69</definedName>
    <definedName name="Beta">Calculs!$M$4:$M$1004</definedName>
    <definedName name="Beta_rampe">Trajecto!$C$20</definedName>
    <definedName name="BetaD">Calculs!$N$4:$N$1004</definedName>
    <definedName name="CdP">Propu!$B$3:$Y$4</definedName>
    <definedName name="CdP_P">Propu!$B$4:$Y$4</definedName>
    <definedName name="CdP_t">Propu!$B$3:$Y$3</definedName>
    <definedName name="Club">Stabilito!$C$9</definedName>
    <definedName name="Cn">Stabilito!$H$28</definedName>
    <definedName name="Cn0">Stabilito!$I$28</definedName>
    <definedName name="Cnai" localSheetId="0">Stabilito!$O$19</definedName>
    <definedName name="Cnai0">Stabilito!$P$19</definedName>
    <definedName name="Cnail" localSheetId="0">Stabilito!$O$20</definedName>
    <definedName name="Cnc" localSheetId="0">Stabilito!$O$21</definedName>
    <definedName name="Cni" localSheetId="0">Stabilito!$O$22</definedName>
    <definedName name="Cni0">Stabilito!$P$22</definedName>
    <definedName name="Cnj" localSheetId="0">Stabilito!$O$23</definedName>
    <definedName name="Cno" localSheetId="0">Stabilito!$O$18</definedName>
    <definedName name="Cnr" localSheetId="0">Stabilito!$O$24</definedName>
    <definedName name="Combustion">Propu!$X$2</definedName>
    <definedName name="CritCnmax" localSheetId="0">Stabilito!$J$28</definedName>
    <definedName name="CritCnmin" localSheetId="0">Stabilito!$G$28</definedName>
    <definedName name="CritFinessemax" localSheetId="0">Stabilito!$J$27</definedName>
    <definedName name="CritFinessemin" localSheetId="0">Stabilito!$G$27</definedName>
    <definedName name="CritMsCnmax" localSheetId="0">Stabilito!$J$30</definedName>
    <definedName name="CritMsCnmin" localSheetId="0">Stabilito!$G$30</definedName>
    <definedName name="CritMsmax" localSheetId="0">Stabilito!$J$29</definedName>
    <definedName name="CritMsmin" localSheetId="0">Stabilito!$G$29</definedName>
    <definedName name="Cx">Trajecto!$C$16</definedName>
    <definedName name="Cx_para">Trajecto!$C$30</definedName>
    <definedName name="Cx_satellite">Trajecto!$D$30</definedName>
    <definedName name="D_ail">Stabilito!$C$35</definedName>
    <definedName name="D_can" localSheetId="0">Stabilito!$D$35</definedName>
    <definedName name="D_int" localSheetId="0">Stabilito!$E$34</definedName>
    <definedName name="D_og">Stabilito!$C$24</definedName>
    <definedName name="D_ref">Stabilito!$C$15</definedName>
    <definedName name="D_var">Abaco!$B$43:$B$69</definedName>
    <definedName name="D1j">Stabilito!$M$7</definedName>
    <definedName name="D1r">Stabilito!$O$7</definedName>
    <definedName name="D2j">Stabilito!$M$8</definedName>
    <definedName name="D2r">Stabilito!$O$8</definedName>
    <definedName name="Débit">Calculs!$R$4:$R$1004</definedName>
    <definedName name="Depotage">Propu!$Z$2</definedName>
    <definedName name="Diam_propu">Propu!$T$2</definedName>
    <definedName name="Dt_para">Trajecto!$C$33</definedName>
    <definedName name="Dt_satellite">Trajecto!$D$33</definedName>
    <definedName name="Dx_para">Trajecto!$C$35</definedName>
    <definedName name="Dx_sat">Trajecto!$D$35</definedName>
    <definedName name="E_ail">Stabilito!$C$31</definedName>
    <definedName name="E_can">Stabilito!$D$31</definedName>
    <definedName name="E_int" localSheetId="0">Stabilito!$E$30</definedName>
    <definedName name="ep_ail">Stabilito!$C$32</definedName>
    <definedName name="ep_can">Stabilito!$D$32</definedName>
    <definedName name="ep_int" localSheetId="0">Stabilito!$E$31</definedName>
    <definedName name="Event">Calculs!$Y$4:$Y$1004</definedName>
    <definedName name="Event_para">Calculs!$Z$4:$Z$1004</definedName>
    <definedName name="Event_sat">Calculs!$AA$4:$AA$1004</definedName>
    <definedName name="f_ail" localSheetId="0">Stabilito!$C$36</definedName>
    <definedName name="f_can" localSheetId="0">Stabilito!$D$36</definedName>
    <definedName name="f_int" localSheetId="0">Stabilito!$E$35</definedName>
    <definedName name="FEUR">[1]Propu!$L$2</definedName>
    <definedName name="FEURD">[1]Propu!$H$2</definedName>
    <definedName name="Finesse">Stabilito!$H$27</definedName>
    <definedName name="Forme_ogive">Stabilito!$C$22</definedName>
    <definedName name="g">Info!$E$54</definedName>
    <definedName name="i_P">Calculs!$P$4:$P$1004</definedName>
    <definedName name="I_total">Propu!$D$2</definedName>
    <definedName name="ISP">Propu!$F$2</definedName>
    <definedName name="l_j">Stabilito!$M$6</definedName>
    <definedName name="l_r">Stabilito!$O$6</definedName>
    <definedName name="L_rampe">Trajecto!$C$19</definedName>
    <definedName name="Lang">Stabilito!$M$2</definedName>
    <definedName name="Liste_µfu">Propu!$F$317:$F$346</definedName>
    <definedName name="Liste_fusex">Propu!$R$317:$R$346</definedName>
    <definedName name="Liste_H2O">Propu!$C$317:$D$346</definedName>
    <definedName name="Liste_minif">Propu!$L$317:$M$346</definedName>
    <definedName name="Liste_minifT">Propu!$O$317:$O$346</definedName>
    <definedName name="Liste_propu">Propu!$A$317:$A$346</definedName>
    <definedName name="Liste_RC">Propu!$I$317:$J$346</definedName>
    <definedName name="Liste_Type_para">Trajecto!$I$104:$I$106</definedName>
    <definedName name="Long_ogive">Stabilito!$C$23</definedName>
    <definedName name="Long_propu">Propu!$R$2</definedName>
    <definedName name="Long_tot">Stabilito!$C$14</definedName>
    <definedName name="m">Calculs!$S$4:$S$1004</definedName>
    <definedName name="m_ail">Stabilito!$C$28</definedName>
    <definedName name="m_bal">Abaco!$F$43:$F$69</definedName>
    <definedName name="m_can">Stabilito!$D$28</definedName>
    <definedName name="m_int" localSheetId="0">Stabilito!$E$27</definedName>
    <definedName name="m_poudre">Propu!$J$2</definedName>
    <definedName name="m_prop">Abaco!$E$43:$E$69</definedName>
    <definedName name="m_satellite">Trajecto!$D$25</definedName>
    <definedName name="m_tot">Trajecto!$C$11</definedName>
    <definedName name="m_var">Abaco!$D$43:$D$69</definedName>
    <definedName name="m_vide">Trajecto!$C$25</definedName>
    <definedName name="Masse_ail">Controle!$H$63</definedName>
    <definedName name="MassePlein">Stabilito!$M$14</definedName>
    <definedName name="MasseSans">Stabilito!$P$14</definedName>
    <definedName name="MasseVide">Stabilito!$N$14</definedName>
    <definedName name="Matricule">Stabilito!$E$10</definedName>
    <definedName name="Menu_Empennage">Stabilito!$B$111:$B$112</definedName>
    <definedName name="Menu_Lang">Stabilito!$B$94:$B$95</definedName>
    <definedName name="Menu_Ogive">Stabilito!$B$107:$B$109</definedName>
    <definedName name="Menu_sat">Trajecto!$B$105:$B$106</definedName>
    <definedName name="Menu_Transitions">Stabilito!$B$114:$B$115</definedName>
    <definedName name="Menu_Type">Stabilito!$B$97:$B$100</definedName>
    <definedName name="Menu_with_motor">Stabilito!$B$103:$B$105</definedName>
    <definedName name="MpropuPlein">Propu!$H$2</definedName>
    <definedName name="MpropuVide">Propu!$L$2</definedName>
    <definedName name="MS_Cn_max">Stabilito!$I$30</definedName>
    <definedName name="MS_Cn_max0">Stabilito!#REF!</definedName>
    <definedName name="MS_Cn_min">Stabilito!$H$30</definedName>
    <definedName name="MS_Cn_min0">Stabilito!#REF!</definedName>
    <definedName name="MS_max">Stabilito!$I$29</definedName>
    <definedName name="MS_max0">Stabilito!#REF!</definedName>
    <definedName name="MS_min">Stabilito!$H$29</definedName>
    <definedName name="MS_min0">Stabilito!#REF!</definedName>
    <definedName name="n_ail">Stabilito!$C$29</definedName>
    <definedName name="n_can">Stabilito!$D$29</definedName>
    <definedName name="n_int" localSheetId="0">Stabilito!$E$28</definedName>
    <definedName name="Nb_diam">Stabilito!$M$4</definedName>
    <definedName name="Nb_sat">Trajecto!$D$24</definedName>
    <definedName name="Nom">Stabilito!$C$8</definedName>
    <definedName name="p_ail">Stabilito!$C$30</definedName>
    <definedName name="p_can">Stabilito!$D$30</definedName>
    <definedName name="p_int" localSheetId="0">Stabilito!$E$29</definedName>
    <definedName name="pas">Calculs!$A$4:$A$1004</definedName>
    <definedName name="Poids">Calculs!$T$4:$T$1004</definedName>
    <definedName name="Portee_balistique">Trajecto!$J$29</definedName>
    <definedName name="pos_x">Calculs!$J$4:$J$1004</definedName>
    <definedName name="pos_xz">Calculs!$L$4:$L$1004</definedName>
    <definedName name="pos_z">Calculs!$K$4:$K$1004</definedName>
    <definedName name="pos_z_montant">Calculs!$AE$4:$AE$1004</definedName>
    <definedName name="Poussee">Calculs!$Q$4:$Q$1004</definedName>
    <definedName name="Propu">Stabilito!$C$18</definedName>
    <definedName name="Q_ail">Stabilito!$C$33</definedName>
    <definedName name="Q_can">Stabilito!$D$33</definedName>
    <definedName name="Q_int" localSheetId="0">Stabilito!$E$32</definedName>
    <definedName name="Q_var">Abaco!$C$43:$C$69</definedName>
    <definedName name="R_rampe">Calculs!$U$4:$U$1004</definedName>
    <definedName name="Rho">Calculs!$V$4:$V$1004</definedName>
    <definedName name="Rho_moyen">Info!$E$55</definedName>
    <definedName name="S_ail">Controle!$H$64</definedName>
    <definedName name="S_para">Trajecto!$C$29</definedName>
    <definedName name="S_para_croix">Trajecto!$B$48</definedName>
    <definedName name="S_para_rond">Trajecto!$B$56</definedName>
    <definedName name="S_satellite">Trajecto!$D$29</definedName>
    <definedName name="Sref">Trajecto!$C$15</definedName>
    <definedName name="sS">Trajecto!$F$136</definedName>
    <definedName name="t">Calculs!$B$4:$B$1004</definedName>
    <definedName name="T_balistique">Trajecto!$H$29</definedName>
    <definedName name="T_ini">Trajecto!$H$42</definedName>
    <definedName name="T_para">Trajecto!$C$114</definedName>
    <definedName name="T_satellite">Trajecto!$D$27</definedName>
    <definedName name="Temps_culmi">Trajecto!$H$27</definedName>
    <definedName name="Temps_fin_propu">Propu!$X$3</definedName>
    <definedName name="Trainee">Calculs!$W$4:$W$1004</definedName>
    <definedName name="tT_fus">Trajecto!$F$137</definedName>
    <definedName name="tT_sat">Trajecto!$F$154</definedName>
    <definedName name="Type_fusee">Stabilito!$C$11</definedName>
    <definedName name="Type_masquage" localSheetId="5">Stabilito!$C$27</definedName>
    <definedName name="Type_masquage" localSheetId="0">Stabilito!$C$27</definedName>
    <definedName name="Type_propu">Propu!$V$2</definedName>
    <definedName name="V_ini">Trajecto!$K$42</definedName>
    <definedName name="V_ouv_sat">Trajecto!$K$26</definedName>
    <definedName name="V_ouverture">Trajecto!$K$28</definedName>
    <definedName name="V_para">Trajecto!$C$32</definedName>
    <definedName name="V_prop">Abaco!$K$43:$K$69</definedName>
    <definedName name="V_satellite">Trajecto!$D$32</definedName>
    <definedName name="V_vent">Trajecto!$C$31</definedName>
    <definedName name="V_vent_sat">Trajecto!$D$31</definedName>
    <definedName name="Version" localSheetId="0">Stabilito!$Q$37</definedName>
    <definedName name="Version" localSheetId="1">Trajecto!$N$37</definedName>
    <definedName name="Vit_culmi">Trajecto!$K$27</definedName>
    <definedName name="Vit_max">Trajecto!$K$25</definedName>
    <definedName name="vit_x">Calculs!$G$4:$G$1004</definedName>
    <definedName name="vit_xz">Calculs!$I$4:$I$1004</definedName>
    <definedName name="vit_z">Calculs!$H$4:$H$1004</definedName>
    <definedName name="Vsortie_de_rampe">Trajecto!$K$24</definedName>
    <definedName name="X_ail">Stabilito!$C$34</definedName>
    <definedName name="X_can">Stabilito!$D$34</definedName>
    <definedName name="X_culmi">Trajecto!$J$27</definedName>
    <definedName name="X_ini">Trajecto!$J$42</definedName>
    <definedName name="X_int" localSheetId="0">Stabilito!$E$33</definedName>
    <definedName name="X_j">Stabilito!$M$9</definedName>
    <definedName name="X_para">Trajecto!$J$28</definedName>
    <definedName name="X_r">Stabilito!$O$9</definedName>
    <definedName name="X_satellite">Trajecto!$J$26</definedName>
    <definedName name="XcgPlein">Stabilito!$M$15</definedName>
    <definedName name="XcgSans">Stabilito!$P$15</definedName>
    <definedName name="XcgVide">Stabilito!$N$15</definedName>
    <definedName name="XCp" localSheetId="0">Stabilito!$H$31</definedName>
    <definedName name="XCp0">Stabilito!$I$31</definedName>
    <definedName name="XCpa" localSheetId="0">Stabilito!$M$20</definedName>
    <definedName name="XCpai" localSheetId="0">Stabilito!$M$19</definedName>
    <definedName name="XCpai0">Stabilito!$N$19</definedName>
    <definedName name="XCpc" localSheetId="0">Stabilito!$M$21</definedName>
    <definedName name="XCpi" localSheetId="0">Stabilito!$M$22</definedName>
    <definedName name="XCpi0">Stabilito!$N$22</definedName>
    <definedName name="XCpj" localSheetId="0">Stabilito!$M$23</definedName>
    <definedName name="XCpo" localSheetId="0">Stabilito!$M$18</definedName>
    <definedName name="XCpr" localSheetId="0">Stabilito!$M$24</definedName>
    <definedName name="XpropuPlein">Propu!$N$2</definedName>
    <definedName name="XpropuRef">Stabilito!$C$19</definedName>
    <definedName name="XpropuVide">Propu!$P$2</definedName>
    <definedName name="Z_ini">Trajecto!$I$42</definedName>
    <definedName name="_xlnm.Print_Area" localSheetId="5">Abaco!$A$1:$M$37</definedName>
    <definedName name="_xlnm.Print_Area" localSheetId="2">Courbes!$A$1:$K$78</definedName>
    <definedName name="_xlnm.Print_Area" localSheetId="0">Stabilito!$A$1:$Q$37</definedName>
    <definedName name="_xlnm.Print_Area" localSheetId="1">Trajecto!$A$1:$N$36</definedName>
    <definedName name="zZ_fus">Trajecto!$F$138</definedName>
    <definedName name="zZ_sat">Trajecto!$F$155</definedName>
  </definedNames>
  <calcPr calcId="191029" iterate="1" iterateCount="1000"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5" i="1" l="1"/>
  <c r="B43" i="1"/>
  <c r="C10" i="6"/>
  <c r="E10" i="6" s="1"/>
  <c r="C10" i="8" s="1"/>
  <c r="L324" i="4"/>
  <c r="L323" i="4"/>
  <c r="L322" i="4"/>
  <c r="L321" i="4"/>
  <c r="L320" i="4"/>
  <c r="L319" i="4"/>
  <c r="L318" i="4"/>
  <c r="L317" i="4"/>
  <c r="R319" i="4"/>
  <c r="R318" i="4"/>
  <c r="R317" i="4"/>
  <c r="R320" i="4"/>
  <c r="N294" i="4"/>
  <c r="X307" i="4"/>
  <c r="W307" i="4"/>
  <c r="V307" i="4"/>
  <c r="U307" i="4"/>
  <c r="T307" i="4"/>
  <c r="S307" i="4"/>
  <c r="R307" i="4"/>
  <c r="Q307" i="4"/>
  <c r="P307" i="4"/>
  <c r="O307" i="4"/>
  <c r="N307" i="4"/>
  <c r="M307" i="4"/>
  <c r="L307" i="4"/>
  <c r="K307" i="4"/>
  <c r="J307" i="4"/>
  <c r="I307" i="4"/>
  <c r="H307" i="4"/>
  <c r="G307" i="4"/>
  <c r="F307" i="4"/>
  <c r="E307" i="4"/>
  <c r="D307" i="4"/>
  <c r="C307" i="4"/>
  <c r="B307" i="4"/>
  <c r="J304" i="4"/>
  <c r="B304" i="4"/>
  <c r="K25" i="7"/>
  <c r="H6" i="7"/>
  <c r="C20" i="6"/>
  <c r="I321" i="4"/>
  <c r="I320" i="4"/>
  <c r="I319" i="4"/>
  <c r="I318" i="4"/>
  <c r="I317" i="4"/>
  <c r="X151" i="4"/>
  <c r="W151" i="4"/>
  <c r="V151" i="4"/>
  <c r="U151" i="4"/>
  <c r="T151" i="4"/>
  <c r="S151" i="4"/>
  <c r="R151" i="4"/>
  <c r="Q151" i="4"/>
  <c r="P151" i="4"/>
  <c r="O151" i="4"/>
  <c r="N151" i="4"/>
  <c r="M151" i="4"/>
  <c r="L151" i="4"/>
  <c r="K151" i="4"/>
  <c r="J151" i="4"/>
  <c r="I151" i="4"/>
  <c r="H151" i="4"/>
  <c r="G151" i="4"/>
  <c r="F151" i="4"/>
  <c r="E151" i="4"/>
  <c r="D151" i="4"/>
  <c r="C151" i="4"/>
  <c r="B151" i="4"/>
  <c r="J148" i="4"/>
  <c r="B148" i="4"/>
  <c r="D103" i="4"/>
  <c r="E103" i="4"/>
  <c r="F103" i="4"/>
  <c r="G103" i="4"/>
  <c r="H103" i="4"/>
  <c r="I103" i="4"/>
  <c r="J103" i="4"/>
  <c r="K103" i="4"/>
  <c r="L103" i="4"/>
  <c r="M103" i="4"/>
  <c r="N103" i="4"/>
  <c r="O103" i="4"/>
  <c r="P103" i="4"/>
  <c r="Q103" i="4"/>
  <c r="R103" i="4"/>
  <c r="S103" i="4"/>
  <c r="T103" i="4"/>
  <c r="U103" i="4"/>
  <c r="V103" i="4"/>
  <c r="W103" i="4"/>
  <c r="X103" i="4"/>
  <c r="S98" i="4"/>
  <c r="T98" i="4"/>
  <c r="U98" i="4"/>
  <c r="V98" i="4"/>
  <c r="W98" i="4"/>
  <c r="X98" i="4"/>
  <c r="D98" i="4"/>
  <c r="E98" i="4"/>
  <c r="F98" i="4"/>
  <c r="G98" i="4"/>
  <c r="H98" i="4"/>
  <c r="I98" i="4"/>
  <c r="J98" i="4"/>
  <c r="K98" i="4"/>
  <c r="L98" i="4"/>
  <c r="M98" i="4"/>
  <c r="N98" i="4"/>
  <c r="O98" i="4"/>
  <c r="P98" i="4"/>
  <c r="Q98" i="4"/>
  <c r="R98" i="4"/>
  <c r="C103" i="4"/>
  <c r="C98" i="4"/>
  <c r="X104" i="4"/>
  <c r="W104" i="4"/>
  <c r="V104" i="4"/>
  <c r="U104" i="4"/>
  <c r="T105" i="4" s="1"/>
  <c r="T104" i="4"/>
  <c r="S104" i="4"/>
  <c r="R104" i="4"/>
  <c r="Q104" i="4"/>
  <c r="P104" i="4"/>
  <c r="O104" i="4"/>
  <c r="N105" i="4" s="1"/>
  <c r="N104" i="4"/>
  <c r="M104" i="4"/>
  <c r="L104" i="4"/>
  <c r="K104" i="4"/>
  <c r="J104" i="4"/>
  <c r="I105" i="4" s="1"/>
  <c r="I104" i="4"/>
  <c r="H104" i="4"/>
  <c r="G104" i="4"/>
  <c r="G105" i="4" s="1"/>
  <c r="F104" i="4"/>
  <c r="E104" i="4"/>
  <c r="E105" i="4" s="1"/>
  <c r="D104" i="4"/>
  <c r="C104" i="4"/>
  <c r="B104" i="4"/>
  <c r="L102" i="4"/>
  <c r="H102" i="4"/>
  <c r="B102" i="4"/>
  <c r="X99" i="4"/>
  <c r="W99" i="4"/>
  <c r="V99" i="4"/>
  <c r="U99" i="4"/>
  <c r="T99" i="4"/>
  <c r="S99" i="4"/>
  <c r="R100" i="4" s="1"/>
  <c r="R99" i="4"/>
  <c r="Q99" i="4"/>
  <c r="P99" i="4"/>
  <c r="P100" i="4" s="1"/>
  <c r="O99" i="4"/>
  <c r="N99" i="4"/>
  <c r="M99" i="4"/>
  <c r="L99" i="4"/>
  <c r="K99" i="4"/>
  <c r="J99" i="4"/>
  <c r="J100" i="4" s="1"/>
  <c r="I99" i="4"/>
  <c r="H99" i="4"/>
  <c r="G99" i="4"/>
  <c r="F99" i="4"/>
  <c r="E100" i="4"/>
  <c r="E99" i="4"/>
  <c r="D99" i="4"/>
  <c r="C99" i="4"/>
  <c r="B99" i="4"/>
  <c r="L97" i="4"/>
  <c r="H97" i="4"/>
  <c r="B97" i="4"/>
  <c r="X95" i="4"/>
  <c r="W95" i="4"/>
  <c r="V95" i="4"/>
  <c r="U95" i="4"/>
  <c r="T95" i="4"/>
  <c r="S95" i="4"/>
  <c r="R95" i="4"/>
  <c r="Q95" i="4"/>
  <c r="P95" i="4"/>
  <c r="O95" i="4"/>
  <c r="N95" i="4"/>
  <c r="M95" i="4"/>
  <c r="L95" i="4"/>
  <c r="K95" i="4"/>
  <c r="J95" i="4"/>
  <c r="I95" i="4"/>
  <c r="H95" i="4"/>
  <c r="D92" i="4" s="1"/>
  <c r="F92" i="4" s="1"/>
  <c r="G95" i="4"/>
  <c r="F95" i="4"/>
  <c r="E95" i="4"/>
  <c r="D95" i="4"/>
  <c r="C95" i="4"/>
  <c r="B95" i="4"/>
  <c r="J92" i="4"/>
  <c r="B92" i="4"/>
  <c r="O344" i="4"/>
  <c r="O343" i="4"/>
  <c r="O342" i="4"/>
  <c r="O341" i="4"/>
  <c r="Q206" i="4"/>
  <c r="P206" i="4"/>
  <c r="O206" i="4"/>
  <c r="N206" i="4"/>
  <c r="M206" i="4"/>
  <c r="L206" i="4"/>
  <c r="K206" i="4"/>
  <c r="J206" i="4"/>
  <c r="I206" i="4"/>
  <c r="H206" i="4"/>
  <c r="G206" i="4"/>
  <c r="F206" i="4"/>
  <c r="E206" i="4"/>
  <c r="D206" i="4"/>
  <c r="C206" i="4"/>
  <c r="B206" i="4"/>
  <c r="J203" i="4"/>
  <c r="B203" i="4"/>
  <c r="E5" i="7"/>
  <c r="H7" i="7"/>
  <c r="E7" i="7"/>
  <c r="E6" i="7"/>
  <c r="H9" i="7"/>
  <c r="K26" i="7"/>
  <c r="K23" i="7"/>
  <c r="J26" i="7"/>
  <c r="J25" i="7"/>
  <c r="J23" i="7"/>
  <c r="G27" i="7"/>
  <c r="G26" i="7"/>
  <c r="F26" i="7"/>
  <c r="G25" i="7"/>
  <c r="F25" i="7"/>
  <c r="G24" i="7"/>
  <c r="F24" i="7"/>
  <c r="G23" i="7"/>
  <c r="F23" i="7"/>
  <c r="D27" i="7"/>
  <c r="D24" i="7"/>
  <c r="B32" i="6"/>
  <c r="B31" i="6"/>
  <c r="B30" i="6"/>
  <c r="B29" i="6"/>
  <c r="B28" i="6"/>
  <c r="B36" i="6"/>
  <c r="B35" i="6"/>
  <c r="B34" i="6"/>
  <c r="B33" i="6"/>
  <c r="U35" i="7"/>
  <c r="U34" i="7"/>
  <c r="U33" i="7"/>
  <c r="U32" i="7"/>
  <c r="U31" i="7"/>
  <c r="U30" i="7"/>
  <c r="P32" i="7"/>
  <c r="P31" i="7"/>
  <c r="Q34" i="7"/>
  <c r="P29" i="7"/>
  <c r="U20" i="7"/>
  <c r="Q17" i="7"/>
  <c r="U16" i="7"/>
  <c r="U13" i="7"/>
  <c r="Q12" i="7"/>
  <c r="U11" i="7"/>
  <c r="Q3" i="7"/>
  <c r="E17" i="7"/>
  <c r="E16" i="7"/>
  <c r="E15" i="7"/>
  <c r="E13" i="7"/>
  <c r="B53" i="1"/>
  <c r="B51" i="1"/>
  <c r="B56" i="1"/>
  <c r="D29" i="1"/>
  <c r="I69" i="7" s="1"/>
  <c r="D25" i="1"/>
  <c r="E30" i="1" s="1"/>
  <c r="C19" i="1"/>
  <c r="H8" i="7" s="1"/>
  <c r="C161" i="6"/>
  <c r="C162" i="6"/>
  <c r="C160" i="6"/>
  <c r="C159" i="6"/>
  <c r="C158" i="6"/>
  <c r="C26" i="6"/>
  <c r="M21" i="6"/>
  <c r="C140" i="6"/>
  <c r="D25" i="7"/>
  <c r="F110" i="1"/>
  <c r="C114" i="1" s="1"/>
  <c r="C155" i="1"/>
  <c r="C153" i="1"/>
  <c r="C151" i="1"/>
  <c r="N35" i="1"/>
  <c r="C134" i="1"/>
  <c r="B26" i="1"/>
  <c r="J30" i="6"/>
  <c r="E191" i="6" s="1"/>
  <c r="G30" i="6"/>
  <c r="E182" i="6" s="1"/>
  <c r="J29" i="6"/>
  <c r="B188" i="6" s="1"/>
  <c r="G29" i="6"/>
  <c r="J28" i="6"/>
  <c r="C185" i="6" s="1"/>
  <c r="J27" i="6"/>
  <c r="G28" i="6"/>
  <c r="G27" i="6"/>
  <c r="W35" i="6"/>
  <c r="B100" i="6"/>
  <c r="B98" i="6"/>
  <c r="B99" i="6"/>
  <c r="Q241" i="4"/>
  <c r="P241" i="4"/>
  <c r="O241" i="4"/>
  <c r="N241" i="4"/>
  <c r="M241" i="4"/>
  <c r="L241" i="4"/>
  <c r="K241" i="4"/>
  <c r="J241" i="4"/>
  <c r="I241" i="4"/>
  <c r="H241" i="4"/>
  <c r="G241" i="4"/>
  <c r="F241" i="4"/>
  <c r="E241" i="4"/>
  <c r="D241" i="4"/>
  <c r="C241" i="4"/>
  <c r="B241" i="4"/>
  <c r="S240" i="4"/>
  <c r="T240" i="4" s="1"/>
  <c r="U240" i="4" s="1"/>
  <c r="V240" i="4" s="1"/>
  <c r="W240" i="4" s="1"/>
  <c r="S239" i="4"/>
  <c r="T239" i="4" s="1"/>
  <c r="J238" i="4"/>
  <c r="B238" i="4"/>
  <c r="O321" i="4"/>
  <c r="O320" i="4"/>
  <c r="S131" i="4"/>
  <c r="R131" i="4"/>
  <c r="Q131" i="4"/>
  <c r="P131" i="4"/>
  <c r="O131" i="4"/>
  <c r="N131" i="4"/>
  <c r="M131" i="4"/>
  <c r="L131" i="4"/>
  <c r="K131" i="4"/>
  <c r="J131" i="4"/>
  <c r="I131" i="4"/>
  <c r="H131" i="4"/>
  <c r="G131" i="4"/>
  <c r="F131" i="4"/>
  <c r="E131" i="4"/>
  <c r="D131" i="4"/>
  <c r="C131" i="4"/>
  <c r="B131" i="4"/>
  <c r="V130" i="4"/>
  <c r="U131" i="4" s="1"/>
  <c r="T131" i="4"/>
  <c r="J128" i="4"/>
  <c r="B128" i="4"/>
  <c r="R126" i="4"/>
  <c r="Q126" i="4"/>
  <c r="P126" i="4"/>
  <c r="O126" i="4"/>
  <c r="N126" i="4"/>
  <c r="M126" i="4"/>
  <c r="L126" i="4"/>
  <c r="K126" i="4"/>
  <c r="J126" i="4"/>
  <c r="I126" i="4"/>
  <c r="H126" i="4"/>
  <c r="G126" i="4"/>
  <c r="F126" i="4"/>
  <c r="E126" i="4"/>
  <c r="D126" i="4"/>
  <c r="C126" i="4"/>
  <c r="B126" i="4"/>
  <c r="T125" i="4"/>
  <c r="S126" i="4" s="1"/>
  <c r="J123" i="4"/>
  <c r="B123" i="4"/>
  <c r="O340" i="4"/>
  <c r="T256" i="4"/>
  <c r="S256" i="4"/>
  <c r="R256" i="4"/>
  <c r="Q256" i="4"/>
  <c r="P256" i="4"/>
  <c r="O256" i="4"/>
  <c r="N256" i="4"/>
  <c r="M256" i="4"/>
  <c r="L256" i="4"/>
  <c r="K256" i="4"/>
  <c r="J256" i="4"/>
  <c r="I256" i="4"/>
  <c r="H256" i="4"/>
  <c r="G256" i="4"/>
  <c r="F256" i="4"/>
  <c r="E256" i="4"/>
  <c r="D256" i="4"/>
  <c r="C256" i="4"/>
  <c r="B256" i="4"/>
  <c r="V255" i="4"/>
  <c r="W255" i="4" s="1"/>
  <c r="V254" i="4"/>
  <c r="W254" i="4" s="1"/>
  <c r="X254" i="4" s="1"/>
  <c r="J253" i="4"/>
  <c r="B253" i="4"/>
  <c r="O337" i="4"/>
  <c r="Q236" i="4"/>
  <c r="P236" i="4"/>
  <c r="O236" i="4"/>
  <c r="N236" i="4"/>
  <c r="M236" i="4"/>
  <c r="L236" i="4"/>
  <c r="K236" i="4"/>
  <c r="J236" i="4"/>
  <c r="I236" i="4"/>
  <c r="H236" i="4"/>
  <c r="G236" i="4"/>
  <c r="F236" i="4"/>
  <c r="E236" i="4"/>
  <c r="D236" i="4"/>
  <c r="C236" i="4"/>
  <c r="B236" i="4"/>
  <c r="S235" i="4"/>
  <c r="T235" i="4" s="1"/>
  <c r="S234" i="4"/>
  <c r="R236" i="4" s="1"/>
  <c r="J233" i="4"/>
  <c r="B233" i="4"/>
  <c r="O346" i="4"/>
  <c r="Q211" i="4"/>
  <c r="P211" i="4"/>
  <c r="O211" i="4"/>
  <c r="N211" i="4"/>
  <c r="M211" i="4"/>
  <c r="L211" i="4"/>
  <c r="K211" i="4"/>
  <c r="J211" i="4"/>
  <c r="I211" i="4"/>
  <c r="H211" i="4"/>
  <c r="G211" i="4"/>
  <c r="F211" i="4"/>
  <c r="E211" i="4"/>
  <c r="D211" i="4"/>
  <c r="C211" i="4"/>
  <c r="B211" i="4"/>
  <c r="S211" i="4"/>
  <c r="R211" i="4"/>
  <c r="J208" i="4"/>
  <c r="B208" i="4"/>
  <c r="O336" i="4"/>
  <c r="O335" i="4"/>
  <c r="O334" i="4"/>
  <c r="O333" i="4"/>
  <c r="O338" i="4"/>
  <c r="O339" i="4"/>
  <c r="O345" i="4"/>
  <c r="O323" i="4"/>
  <c r="O324" i="4"/>
  <c r="O325" i="4"/>
  <c r="O326" i="4"/>
  <c r="O327" i="4"/>
  <c r="O319" i="4"/>
  <c r="O322" i="4"/>
  <c r="O328" i="4"/>
  <c r="O329" i="4"/>
  <c r="O330" i="4"/>
  <c r="O331" i="4"/>
  <c r="O332" i="4"/>
  <c r="O318" i="4"/>
  <c r="O317" i="4"/>
  <c r="X231" i="4"/>
  <c r="W231" i="4"/>
  <c r="V231" i="4"/>
  <c r="U231" i="4"/>
  <c r="T231" i="4"/>
  <c r="S231" i="4"/>
  <c r="R231" i="4"/>
  <c r="Q231" i="4"/>
  <c r="P231" i="4"/>
  <c r="O231" i="4"/>
  <c r="N231" i="4"/>
  <c r="M231" i="4"/>
  <c r="L231" i="4"/>
  <c r="K231" i="4"/>
  <c r="J231" i="4"/>
  <c r="I231" i="4"/>
  <c r="H231" i="4"/>
  <c r="G231" i="4"/>
  <c r="D228" i="4" s="1"/>
  <c r="F228" i="4" s="1"/>
  <c r="F231" i="4"/>
  <c r="E231" i="4"/>
  <c r="D231" i="4"/>
  <c r="C231" i="4"/>
  <c r="B231" i="4"/>
  <c r="J228" i="4"/>
  <c r="B228" i="4"/>
  <c r="Q226" i="4"/>
  <c r="P226" i="4"/>
  <c r="O226" i="4"/>
  <c r="N226" i="4"/>
  <c r="M226" i="4"/>
  <c r="L226" i="4"/>
  <c r="K226" i="4"/>
  <c r="J226" i="4"/>
  <c r="I226" i="4"/>
  <c r="H226" i="4"/>
  <c r="G226" i="4"/>
  <c r="F226" i="4"/>
  <c r="E226" i="4"/>
  <c r="D226" i="4"/>
  <c r="C226" i="4"/>
  <c r="B226" i="4"/>
  <c r="T225" i="4"/>
  <c r="U225" i="4" s="1"/>
  <c r="R226" i="4"/>
  <c r="T224" i="4"/>
  <c r="U224" i="4" s="1"/>
  <c r="V224" i="4" s="1"/>
  <c r="W224" i="4" s="1"/>
  <c r="J223" i="4"/>
  <c r="B223" i="4"/>
  <c r="V249" i="4"/>
  <c r="W249" i="4" s="1"/>
  <c r="W244" i="4"/>
  <c r="Q251" i="4"/>
  <c r="P251" i="4"/>
  <c r="O251" i="4"/>
  <c r="N251" i="4"/>
  <c r="M251" i="4"/>
  <c r="L251" i="4"/>
  <c r="K251" i="4"/>
  <c r="J251" i="4"/>
  <c r="I251" i="4"/>
  <c r="H251" i="4"/>
  <c r="G251" i="4"/>
  <c r="F251" i="4"/>
  <c r="E251" i="4"/>
  <c r="D251" i="4"/>
  <c r="C251" i="4"/>
  <c r="B251" i="4"/>
  <c r="J248" i="4"/>
  <c r="B248" i="4"/>
  <c r="J246" i="4"/>
  <c r="I246" i="4"/>
  <c r="H246" i="4"/>
  <c r="G246" i="4"/>
  <c r="F246" i="4"/>
  <c r="E246" i="4"/>
  <c r="D246" i="4"/>
  <c r="C246" i="4"/>
  <c r="B246" i="4"/>
  <c r="J243" i="4"/>
  <c r="B243" i="4"/>
  <c r="L194" i="4"/>
  <c r="M194" i="4" s="1"/>
  <c r="R334" i="4"/>
  <c r="R335" i="4"/>
  <c r="R336" i="4"/>
  <c r="R337" i="4"/>
  <c r="R338" i="4"/>
  <c r="R339" i="4"/>
  <c r="S195" i="4"/>
  <c r="T195" i="4"/>
  <c r="U195" i="4" s="1"/>
  <c r="V195" i="4" s="1"/>
  <c r="W195" i="4" s="1"/>
  <c r="X195" i="4" s="1"/>
  <c r="X196" i="4" s="1"/>
  <c r="J196" i="4"/>
  <c r="I196" i="4"/>
  <c r="H196" i="4"/>
  <c r="G196" i="4"/>
  <c r="F196" i="4"/>
  <c r="E196" i="4"/>
  <c r="D196" i="4"/>
  <c r="C196" i="4"/>
  <c r="B196" i="4"/>
  <c r="J193" i="4"/>
  <c r="B193" i="4"/>
  <c r="S200" i="4"/>
  <c r="T200" i="4" s="1"/>
  <c r="S199" i="4"/>
  <c r="T199" i="4" s="1"/>
  <c r="U199" i="4" s="1"/>
  <c r="V199" i="4" s="1"/>
  <c r="W199" i="4" s="1"/>
  <c r="X199" i="4" s="1"/>
  <c r="Q201" i="4"/>
  <c r="P201" i="4"/>
  <c r="O201" i="4"/>
  <c r="N201" i="4"/>
  <c r="M201" i="4"/>
  <c r="L201" i="4"/>
  <c r="K201" i="4"/>
  <c r="J201" i="4"/>
  <c r="I201" i="4"/>
  <c r="H201" i="4"/>
  <c r="G201" i="4"/>
  <c r="F201" i="4"/>
  <c r="E201" i="4"/>
  <c r="D201" i="4"/>
  <c r="C201" i="4"/>
  <c r="B201" i="4"/>
  <c r="J198" i="4"/>
  <c r="B198" i="4"/>
  <c r="B213" i="4"/>
  <c r="B216" i="4"/>
  <c r="C216" i="4"/>
  <c r="D216" i="4"/>
  <c r="E216" i="4"/>
  <c r="F216" i="4"/>
  <c r="G216" i="4"/>
  <c r="H216" i="4"/>
  <c r="I216" i="4"/>
  <c r="J216" i="4"/>
  <c r="K216" i="4"/>
  <c r="L216" i="4"/>
  <c r="M216" i="4"/>
  <c r="N216" i="4"/>
  <c r="O216" i="4"/>
  <c r="P216" i="4"/>
  <c r="Q216" i="4"/>
  <c r="S215" i="4"/>
  <c r="T215" i="4" s="1"/>
  <c r="S214" i="4"/>
  <c r="J213" i="4"/>
  <c r="A2" i="4"/>
  <c r="B133" i="4"/>
  <c r="B4" i="3"/>
  <c r="AC4" i="3" s="1"/>
  <c r="B136" i="4"/>
  <c r="C136" i="4"/>
  <c r="D136" i="4"/>
  <c r="D133" i="4" s="1"/>
  <c r="F133" i="4" s="1"/>
  <c r="E136" i="4"/>
  <c r="F136" i="4"/>
  <c r="G136" i="4"/>
  <c r="H136" i="4"/>
  <c r="I136" i="4"/>
  <c r="J136" i="4"/>
  <c r="K136" i="4"/>
  <c r="L136" i="4"/>
  <c r="M136" i="4"/>
  <c r="N136" i="4"/>
  <c r="O136" i="4"/>
  <c r="P136" i="4"/>
  <c r="Q136" i="4"/>
  <c r="R136" i="4"/>
  <c r="S136" i="4"/>
  <c r="T136" i="4"/>
  <c r="U136" i="4"/>
  <c r="V136" i="4"/>
  <c r="W136" i="4"/>
  <c r="X136" i="4"/>
  <c r="J133" i="4"/>
  <c r="N4" i="3"/>
  <c r="M4" i="3" s="1"/>
  <c r="J4" i="3"/>
  <c r="K4" i="3"/>
  <c r="V4" i="3" s="1"/>
  <c r="I4" i="3"/>
  <c r="B113" i="4"/>
  <c r="C36" i="6"/>
  <c r="M18" i="6"/>
  <c r="B116" i="4"/>
  <c r="C116" i="4"/>
  <c r="D116" i="4"/>
  <c r="E116" i="4"/>
  <c r="F116" i="4"/>
  <c r="G116" i="4"/>
  <c r="H116" i="4"/>
  <c r="I116" i="4"/>
  <c r="J116" i="4"/>
  <c r="K116" i="4"/>
  <c r="L116" i="4"/>
  <c r="M116" i="4"/>
  <c r="N116" i="4"/>
  <c r="O116" i="4"/>
  <c r="P116" i="4"/>
  <c r="Q116" i="4"/>
  <c r="R116" i="4"/>
  <c r="S116" i="4"/>
  <c r="U115" i="4"/>
  <c r="T116" i="4" s="1"/>
  <c r="J113" i="4"/>
  <c r="B166" i="4"/>
  <c r="C166" i="4"/>
  <c r="D166" i="4"/>
  <c r="E166" i="4"/>
  <c r="F166" i="4"/>
  <c r="G166" i="4"/>
  <c r="H166" i="4"/>
  <c r="I166" i="4"/>
  <c r="J166" i="4"/>
  <c r="K166" i="4"/>
  <c r="L166" i="4"/>
  <c r="M166" i="4"/>
  <c r="N166" i="4"/>
  <c r="O166" i="4"/>
  <c r="P166" i="4"/>
  <c r="Q166" i="4"/>
  <c r="R166" i="4"/>
  <c r="T165" i="4"/>
  <c r="S166" i="4" s="1"/>
  <c r="X164" i="4"/>
  <c r="L163" i="4"/>
  <c r="J163" i="4" s="1"/>
  <c r="B48" i="1"/>
  <c r="C29" i="1" s="1"/>
  <c r="E127" i="7" s="1"/>
  <c r="D31" i="1"/>
  <c r="B29" i="4"/>
  <c r="C29" i="4"/>
  <c r="D29" i="4"/>
  <c r="E29" i="4"/>
  <c r="F29" i="4"/>
  <c r="G29" i="4"/>
  <c r="H29" i="4"/>
  <c r="I29" i="4"/>
  <c r="J29" i="4"/>
  <c r="K29" i="4"/>
  <c r="L29" i="4"/>
  <c r="M29" i="4"/>
  <c r="N29" i="4"/>
  <c r="O29" i="4"/>
  <c r="P29" i="4"/>
  <c r="Q29" i="4"/>
  <c r="R29" i="4"/>
  <c r="S29" i="4"/>
  <c r="T29" i="4"/>
  <c r="U29" i="4"/>
  <c r="V29" i="4"/>
  <c r="W29" i="4"/>
  <c r="X29" i="4"/>
  <c r="J26" i="4"/>
  <c r="B34" i="4"/>
  <c r="C34" i="4"/>
  <c r="D34" i="4"/>
  <c r="E34" i="4"/>
  <c r="F34" i="4"/>
  <c r="G34" i="4"/>
  <c r="H34" i="4"/>
  <c r="I34" i="4"/>
  <c r="J34" i="4"/>
  <c r="K34" i="4"/>
  <c r="L34" i="4"/>
  <c r="M34" i="4"/>
  <c r="N34" i="4"/>
  <c r="O34" i="4"/>
  <c r="P34" i="4"/>
  <c r="Q34" i="4"/>
  <c r="R34" i="4"/>
  <c r="S34" i="4"/>
  <c r="T34" i="4"/>
  <c r="U34" i="4"/>
  <c r="V34" i="4"/>
  <c r="W34" i="4"/>
  <c r="X34" i="4"/>
  <c r="J31" i="4"/>
  <c r="B39" i="4"/>
  <c r="C39" i="4"/>
  <c r="D39" i="4"/>
  <c r="E39" i="4"/>
  <c r="F39" i="4"/>
  <c r="G39" i="4"/>
  <c r="H39" i="4"/>
  <c r="I39" i="4"/>
  <c r="J39" i="4"/>
  <c r="K39" i="4"/>
  <c r="L39" i="4"/>
  <c r="M39" i="4"/>
  <c r="N39" i="4"/>
  <c r="O39" i="4"/>
  <c r="P39" i="4"/>
  <c r="Q39" i="4"/>
  <c r="R39" i="4"/>
  <c r="S39" i="4"/>
  <c r="T39" i="4"/>
  <c r="U39" i="4"/>
  <c r="V39" i="4"/>
  <c r="W39" i="4"/>
  <c r="X39" i="4"/>
  <c r="J36" i="4"/>
  <c r="B44" i="4"/>
  <c r="C44" i="4"/>
  <c r="D44" i="4"/>
  <c r="E44" i="4"/>
  <c r="F44" i="4"/>
  <c r="G44" i="4"/>
  <c r="H44" i="4"/>
  <c r="I44" i="4"/>
  <c r="J44" i="4"/>
  <c r="K44" i="4"/>
  <c r="L44" i="4"/>
  <c r="M44" i="4"/>
  <c r="N44" i="4"/>
  <c r="O44" i="4"/>
  <c r="P44" i="4"/>
  <c r="Q44" i="4"/>
  <c r="R44" i="4"/>
  <c r="S44" i="4"/>
  <c r="T44" i="4"/>
  <c r="U44" i="4"/>
  <c r="V44" i="4"/>
  <c r="W44" i="4"/>
  <c r="X44" i="4"/>
  <c r="J41" i="4"/>
  <c r="B49" i="4"/>
  <c r="C49" i="4"/>
  <c r="D49" i="4"/>
  <c r="E49" i="4"/>
  <c r="F49" i="4"/>
  <c r="G49" i="4"/>
  <c r="H49" i="4"/>
  <c r="I49" i="4"/>
  <c r="J49" i="4"/>
  <c r="K49" i="4"/>
  <c r="L49" i="4"/>
  <c r="M49" i="4"/>
  <c r="N49" i="4"/>
  <c r="O49" i="4"/>
  <c r="P49" i="4"/>
  <c r="Q49" i="4"/>
  <c r="R49" i="4"/>
  <c r="S49" i="4"/>
  <c r="T49" i="4"/>
  <c r="U49" i="4"/>
  <c r="V49" i="4"/>
  <c r="W49" i="4"/>
  <c r="X49" i="4"/>
  <c r="J46" i="4"/>
  <c r="B54" i="4"/>
  <c r="C54" i="4"/>
  <c r="D54" i="4"/>
  <c r="E54" i="4"/>
  <c r="F54" i="4"/>
  <c r="G54" i="4"/>
  <c r="H54" i="4"/>
  <c r="I54" i="4"/>
  <c r="J54" i="4"/>
  <c r="K54" i="4"/>
  <c r="L54" i="4"/>
  <c r="M54" i="4"/>
  <c r="N54" i="4"/>
  <c r="O54" i="4"/>
  <c r="P54" i="4"/>
  <c r="Q54" i="4"/>
  <c r="D51" i="4" s="1"/>
  <c r="F51" i="4" s="1"/>
  <c r="R54" i="4"/>
  <c r="S54" i="4"/>
  <c r="T54" i="4"/>
  <c r="U54" i="4"/>
  <c r="V54" i="4"/>
  <c r="W54" i="4"/>
  <c r="X54" i="4"/>
  <c r="J51" i="4"/>
  <c r="B59" i="4"/>
  <c r="C59" i="4"/>
  <c r="D59" i="4"/>
  <c r="E59" i="4"/>
  <c r="F59" i="4"/>
  <c r="G59" i="4"/>
  <c r="H59" i="4"/>
  <c r="I59" i="4"/>
  <c r="J59" i="4"/>
  <c r="K59" i="4"/>
  <c r="L59" i="4"/>
  <c r="M59" i="4"/>
  <c r="N59" i="4"/>
  <c r="O59" i="4"/>
  <c r="P59" i="4"/>
  <c r="Q59" i="4"/>
  <c r="R59" i="4"/>
  <c r="S59" i="4"/>
  <c r="T59" i="4"/>
  <c r="U59" i="4"/>
  <c r="V59" i="4"/>
  <c r="W59" i="4"/>
  <c r="X59" i="4"/>
  <c r="D56" i="4" s="1"/>
  <c r="F56" i="4" s="1"/>
  <c r="J56" i="4"/>
  <c r="B64" i="4"/>
  <c r="C64" i="4"/>
  <c r="D64" i="4"/>
  <c r="E64" i="4"/>
  <c r="F64" i="4"/>
  <c r="G64" i="4"/>
  <c r="H64" i="4"/>
  <c r="I64" i="4"/>
  <c r="J64" i="4"/>
  <c r="K64" i="4"/>
  <c r="L64" i="4"/>
  <c r="M64" i="4"/>
  <c r="N64" i="4"/>
  <c r="O64" i="4"/>
  <c r="P64" i="4"/>
  <c r="Q64" i="4"/>
  <c r="R64" i="4"/>
  <c r="S64" i="4"/>
  <c r="T64" i="4"/>
  <c r="U64" i="4"/>
  <c r="V64" i="4"/>
  <c r="W64" i="4"/>
  <c r="X64" i="4"/>
  <c r="J61" i="4"/>
  <c r="B70" i="4"/>
  <c r="C70" i="4"/>
  <c r="D70" i="4"/>
  <c r="E70" i="4"/>
  <c r="F70" i="4"/>
  <c r="G70" i="4"/>
  <c r="H70" i="4"/>
  <c r="I70" i="4"/>
  <c r="J70" i="4"/>
  <c r="K70" i="4"/>
  <c r="L70" i="4"/>
  <c r="M70" i="4"/>
  <c r="N70" i="4"/>
  <c r="O70" i="4"/>
  <c r="P70" i="4"/>
  <c r="Q70" i="4"/>
  <c r="R70" i="4"/>
  <c r="S70" i="4"/>
  <c r="T70" i="4"/>
  <c r="U70" i="4"/>
  <c r="V70" i="4"/>
  <c r="W70" i="4"/>
  <c r="X70" i="4"/>
  <c r="J67" i="4"/>
  <c r="B75" i="4"/>
  <c r="C75" i="4"/>
  <c r="D75" i="4"/>
  <c r="E75" i="4"/>
  <c r="F75" i="4"/>
  <c r="G75" i="4"/>
  <c r="H75" i="4"/>
  <c r="I75" i="4"/>
  <c r="J75" i="4"/>
  <c r="K75" i="4"/>
  <c r="L75" i="4"/>
  <c r="M75" i="4"/>
  <c r="N75" i="4"/>
  <c r="O75" i="4"/>
  <c r="D72" i="4" s="1"/>
  <c r="F72" i="4" s="1"/>
  <c r="P75" i="4"/>
  <c r="Q75" i="4"/>
  <c r="R75" i="4"/>
  <c r="S75" i="4"/>
  <c r="T75" i="4"/>
  <c r="U75" i="4"/>
  <c r="V75" i="4"/>
  <c r="W75" i="4"/>
  <c r="X75" i="4"/>
  <c r="J72" i="4"/>
  <c r="B80" i="4"/>
  <c r="C80" i="4"/>
  <c r="D80" i="4"/>
  <c r="E80" i="4"/>
  <c r="F80" i="4"/>
  <c r="G80" i="4"/>
  <c r="H80" i="4"/>
  <c r="I80" i="4"/>
  <c r="J80" i="4"/>
  <c r="K80" i="4"/>
  <c r="L80" i="4"/>
  <c r="M80" i="4"/>
  <c r="N80" i="4"/>
  <c r="O80" i="4"/>
  <c r="P80" i="4"/>
  <c r="Q80" i="4"/>
  <c r="R80" i="4"/>
  <c r="S80" i="4"/>
  <c r="T80" i="4"/>
  <c r="U80" i="4"/>
  <c r="V80" i="4"/>
  <c r="W80" i="4"/>
  <c r="D77" i="4" s="1"/>
  <c r="F77" i="4" s="1"/>
  <c r="X80" i="4"/>
  <c r="J77" i="4"/>
  <c r="C84" i="4"/>
  <c r="B84" i="4"/>
  <c r="B85" i="4" s="1"/>
  <c r="D84" i="4"/>
  <c r="E84" i="4"/>
  <c r="F84" i="4"/>
  <c r="E85" i="4" s="1"/>
  <c r="G84" i="4"/>
  <c r="F85" i="4" s="1"/>
  <c r="H84" i="4"/>
  <c r="H85" i="4" s="1"/>
  <c r="I84" i="4"/>
  <c r="J84" i="4"/>
  <c r="K84" i="4"/>
  <c r="L84" i="4"/>
  <c r="L85" i="4" s="1"/>
  <c r="M84" i="4"/>
  <c r="N84" i="4"/>
  <c r="M85" i="4" s="1"/>
  <c r="O84" i="4"/>
  <c r="P84" i="4"/>
  <c r="Q84" i="4"/>
  <c r="P85" i="4" s="1"/>
  <c r="R84" i="4"/>
  <c r="S84" i="4"/>
  <c r="S85" i="4" s="1"/>
  <c r="T84" i="4"/>
  <c r="U84" i="4"/>
  <c r="V84" i="4"/>
  <c r="W84" i="4"/>
  <c r="V85" i="4" s="1"/>
  <c r="X84" i="4"/>
  <c r="W85" i="4" s="1"/>
  <c r="H82" i="4"/>
  <c r="L82" i="4"/>
  <c r="C89" i="4"/>
  <c r="B89" i="4"/>
  <c r="D89" i="4"/>
  <c r="D90" i="4" s="1"/>
  <c r="E89" i="4"/>
  <c r="F89" i="4"/>
  <c r="G89" i="4"/>
  <c r="F90" i="4" s="1"/>
  <c r="H89" i="4"/>
  <c r="I89" i="4"/>
  <c r="J89" i="4"/>
  <c r="J90" i="4" s="1"/>
  <c r="K89" i="4"/>
  <c r="L89" i="4"/>
  <c r="M89" i="4"/>
  <c r="N89" i="4"/>
  <c r="O89" i="4"/>
  <c r="O90" i="4" s="1"/>
  <c r="P89" i="4"/>
  <c r="Q89" i="4"/>
  <c r="R89" i="4"/>
  <c r="S89" i="4"/>
  <c r="R90" i="4" s="1"/>
  <c r="T89" i="4"/>
  <c r="U89" i="4"/>
  <c r="U90" i="4" s="1"/>
  <c r="V89" i="4"/>
  <c r="V90" i="4" s="1"/>
  <c r="W89" i="4"/>
  <c r="X89" i="4"/>
  <c r="X90" i="4" s="1"/>
  <c r="H87" i="4"/>
  <c r="L87" i="4"/>
  <c r="B111" i="4"/>
  <c r="C111" i="4"/>
  <c r="D111" i="4"/>
  <c r="E111" i="4"/>
  <c r="F111" i="4"/>
  <c r="G111" i="4"/>
  <c r="H111" i="4"/>
  <c r="I111" i="4"/>
  <c r="J111" i="4"/>
  <c r="K111" i="4"/>
  <c r="L111" i="4"/>
  <c r="M111" i="4"/>
  <c r="N111" i="4"/>
  <c r="O111" i="4"/>
  <c r="P111" i="4"/>
  <c r="Q111" i="4"/>
  <c r="R111" i="4"/>
  <c r="T110" i="4"/>
  <c r="S111" i="4" s="1"/>
  <c r="J108" i="4"/>
  <c r="B121" i="4"/>
  <c r="C121" i="4"/>
  <c r="D121" i="4"/>
  <c r="E121" i="4"/>
  <c r="F121" i="4"/>
  <c r="G121" i="4"/>
  <c r="H121" i="4"/>
  <c r="I121" i="4"/>
  <c r="J121" i="4"/>
  <c r="K121" i="4"/>
  <c r="L121" i="4"/>
  <c r="M121" i="4"/>
  <c r="N121" i="4"/>
  <c r="O121" i="4"/>
  <c r="P121" i="4"/>
  <c r="Q121" i="4"/>
  <c r="R121" i="4"/>
  <c r="T120" i="4"/>
  <c r="S121" i="4" s="1"/>
  <c r="J118" i="4"/>
  <c r="B141" i="4"/>
  <c r="D138" i="4" s="1"/>
  <c r="F138" i="4" s="1"/>
  <c r="C141" i="4"/>
  <c r="D141" i="4"/>
  <c r="E141" i="4"/>
  <c r="F141" i="4"/>
  <c r="G141" i="4"/>
  <c r="H141" i="4"/>
  <c r="I141" i="4"/>
  <c r="J141" i="4"/>
  <c r="K141" i="4"/>
  <c r="L141" i="4"/>
  <c r="M141" i="4"/>
  <c r="N141" i="4"/>
  <c r="O141" i="4"/>
  <c r="P141" i="4"/>
  <c r="Q141" i="4"/>
  <c r="R141" i="4"/>
  <c r="S141" i="4"/>
  <c r="T141" i="4"/>
  <c r="U141" i="4"/>
  <c r="V141" i="4"/>
  <c r="W141" i="4"/>
  <c r="X141" i="4"/>
  <c r="J138" i="4"/>
  <c r="B146" i="4"/>
  <c r="C146" i="4"/>
  <c r="D146" i="4"/>
  <c r="E146" i="4"/>
  <c r="F146" i="4"/>
  <c r="G146" i="4"/>
  <c r="H146" i="4"/>
  <c r="I146" i="4"/>
  <c r="J146" i="4"/>
  <c r="K146" i="4"/>
  <c r="L146" i="4"/>
  <c r="M146" i="4"/>
  <c r="N146" i="4"/>
  <c r="O146" i="4"/>
  <c r="P146" i="4"/>
  <c r="Q146" i="4"/>
  <c r="R146" i="4"/>
  <c r="S146" i="4"/>
  <c r="T146" i="4"/>
  <c r="U146" i="4"/>
  <c r="V146" i="4"/>
  <c r="W146" i="4"/>
  <c r="X146" i="4"/>
  <c r="J143" i="4"/>
  <c r="B156" i="4"/>
  <c r="C156" i="4"/>
  <c r="D156" i="4"/>
  <c r="E156" i="4"/>
  <c r="F156" i="4"/>
  <c r="G156" i="4"/>
  <c r="H156" i="4"/>
  <c r="I156" i="4"/>
  <c r="D153" i="4" s="1"/>
  <c r="F153" i="4" s="1"/>
  <c r="J156" i="4"/>
  <c r="K156" i="4"/>
  <c r="L156" i="4"/>
  <c r="M156" i="4"/>
  <c r="N156" i="4"/>
  <c r="O156" i="4"/>
  <c r="P156" i="4"/>
  <c r="Q156" i="4"/>
  <c r="R156" i="4"/>
  <c r="S156" i="4"/>
  <c r="T156" i="4"/>
  <c r="U156" i="4"/>
  <c r="V156" i="4"/>
  <c r="W156" i="4"/>
  <c r="X156" i="4"/>
  <c r="J153" i="4"/>
  <c r="B161" i="4"/>
  <c r="C161" i="4"/>
  <c r="D161" i="4"/>
  <c r="E161" i="4"/>
  <c r="F161" i="4"/>
  <c r="G161" i="4"/>
  <c r="H161" i="4"/>
  <c r="I161" i="4"/>
  <c r="J161" i="4"/>
  <c r="K161" i="4"/>
  <c r="L161" i="4"/>
  <c r="M161" i="4"/>
  <c r="N161" i="4"/>
  <c r="O161" i="4"/>
  <c r="P161" i="4"/>
  <c r="Q161" i="4"/>
  <c r="R161" i="4"/>
  <c r="S161" i="4"/>
  <c r="T161" i="4"/>
  <c r="U161" i="4"/>
  <c r="V161" i="4"/>
  <c r="W161" i="4"/>
  <c r="X161" i="4"/>
  <c r="J158" i="4"/>
  <c r="B171" i="4"/>
  <c r="C171" i="4"/>
  <c r="D171" i="4"/>
  <c r="E171" i="4"/>
  <c r="F171" i="4"/>
  <c r="G171" i="4"/>
  <c r="H171" i="4"/>
  <c r="I171" i="4"/>
  <c r="J171" i="4"/>
  <c r="K171" i="4"/>
  <c r="L171" i="4"/>
  <c r="M171" i="4"/>
  <c r="N171" i="4"/>
  <c r="O171" i="4"/>
  <c r="P171" i="4"/>
  <c r="Q171" i="4"/>
  <c r="R171" i="4"/>
  <c r="S171" i="4"/>
  <c r="T171" i="4"/>
  <c r="U171" i="4"/>
  <c r="V171" i="4"/>
  <c r="W171" i="4"/>
  <c r="X171" i="4"/>
  <c r="J168" i="4"/>
  <c r="B176" i="4"/>
  <c r="C176" i="4"/>
  <c r="D176" i="4"/>
  <c r="E176" i="4"/>
  <c r="F176" i="4"/>
  <c r="G176" i="4"/>
  <c r="H176" i="4"/>
  <c r="I176" i="4"/>
  <c r="J176" i="4"/>
  <c r="K176" i="4"/>
  <c r="L176" i="4"/>
  <c r="D173" i="4" s="1"/>
  <c r="F173" i="4" s="1"/>
  <c r="M176" i="4"/>
  <c r="N176" i="4"/>
  <c r="O176" i="4"/>
  <c r="P176" i="4"/>
  <c r="Q176" i="4"/>
  <c r="R176" i="4"/>
  <c r="S176" i="4"/>
  <c r="T176" i="4"/>
  <c r="U176" i="4"/>
  <c r="V176" i="4"/>
  <c r="W176" i="4"/>
  <c r="X176" i="4"/>
  <c r="J173" i="4"/>
  <c r="B181" i="4"/>
  <c r="C181" i="4"/>
  <c r="D181" i="4"/>
  <c r="E181" i="4"/>
  <c r="F181" i="4"/>
  <c r="G181" i="4"/>
  <c r="H181" i="4"/>
  <c r="I181" i="4"/>
  <c r="J181" i="4"/>
  <c r="K181" i="4"/>
  <c r="L181" i="4"/>
  <c r="M181" i="4"/>
  <c r="N181" i="4"/>
  <c r="O181" i="4"/>
  <c r="P181" i="4"/>
  <c r="Q181" i="4"/>
  <c r="R181" i="4"/>
  <c r="S181" i="4"/>
  <c r="T181" i="4"/>
  <c r="U181" i="4"/>
  <c r="V181" i="4"/>
  <c r="W181" i="4"/>
  <c r="X181" i="4"/>
  <c r="J178" i="4"/>
  <c r="B186" i="4"/>
  <c r="D183" i="4" s="1"/>
  <c r="F183" i="4" s="1"/>
  <c r="C186" i="4"/>
  <c r="D186" i="4"/>
  <c r="E186" i="4"/>
  <c r="F186" i="4"/>
  <c r="G186" i="4"/>
  <c r="H186" i="4"/>
  <c r="I186" i="4"/>
  <c r="J186" i="4"/>
  <c r="K186" i="4"/>
  <c r="L186" i="4"/>
  <c r="M186" i="4"/>
  <c r="N186" i="4"/>
  <c r="O186" i="4"/>
  <c r="P186" i="4"/>
  <c r="Q186" i="4"/>
  <c r="R186" i="4"/>
  <c r="S186" i="4"/>
  <c r="T186" i="4"/>
  <c r="U186" i="4"/>
  <c r="V186" i="4"/>
  <c r="W186" i="4"/>
  <c r="X186" i="4"/>
  <c r="J183" i="4"/>
  <c r="B191" i="4"/>
  <c r="C191" i="4"/>
  <c r="D191" i="4"/>
  <c r="E191" i="4"/>
  <c r="F191" i="4"/>
  <c r="G191" i="4"/>
  <c r="H191" i="4"/>
  <c r="I191" i="4"/>
  <c r="J191" i="4"/>
  <c r="K191" i="4"/>
  <c r="L191" i="4"/>
  <c r="M191" i="4"/>
  <c r="N191" i="4"/>
  <c r="O191" i="4"/>
  <c r="P191" i="4"/>
  <c r="Q191" i="4"/>
  <c r="R191" i="4"/>
  <c r="T190" i="4"/>
  <c r="U190" i="4" s="1"/>
  <c r="X189" i="4"/>
  <c r="L188" i="4"/>
  <c r="J188" i="4" s="1"/>
  <c r="B221" i="4"/>
  <c r="C221" i="4"/>
  <c r="D221" i="4"/>
  <c r="E221" i="4"/>
  <c r="F221" i="4"/>
  <c r="G221" i="4"/>
  <c r="H221" i="4"/>
  <c r="I221" i="4"/>
  <c r="J221" i="4"/>
  <c r="K221" i="4"/>
  <c r="L221" i="4"/>
  <c r="M221" i="4"/>
  <c r="N221" i="4"/>
  <c r="O221" i="4"/>
  <c r="P221" i="4"/>
  <c r="Q221" i="4"/>
  <c r="R221" i="4"/>
  <c r="S221" i="4"/>
  <c r="T221" i="4"/>
  <c r="U221" i="4"/>
  <c r="V221" i="4"/>
  <c r="W221" i="4"/>
  <c r="X221" i="4"/>
  <c r="J218" i="4"/>
  <c r="B261" i="4"/>
  <c r="C261" i="4"/>
  <c r="D261" i="4"/>
  <c r="E261" i="4"/>
  <c r="F261" i="4"/>
  <c r="G261" i="4"/>
  <c r="H261" i="4"/>
  <c r="I261" i="4"/>
  <c r="J261" i="4"/>
  <c r="K261" i="4"/>
  <c r="L261" i="4"/>
  <c r="M261" i="4"/>
  <c r="N261" i="4"/>
  <c r="O261" i="4"/>
  <c r="P261" i="4"/>
  <c r="Q261" i="4"/>
  <c r="R261" i="4"/>
  <c r="S261" i="4"/>
  <c r="T261" i="4"/>
  <c r="U261" i="4"/>
  <c r="V261" i="4"/>
  <c r="W261" i="4"/>
  <c r="X261" i="4"/>
  <c r="J258" i="4"/>
  <c r="B266" i="4"/>
  <c r="D263" i="4" s="1"/>
  <c r="F263" i="4" s="1"/>
  <c r="C266" i="4"/>
  <c r="D266" i="4"/>
  <c r="E266" i="4"/>
  <c r="F266" i="4"/>
  <c r="G266" i="4"/>
  <c r="H266" i="4"/>
  <c r="I266" i="4"/>
  <c r="J266" i="4"/>
  <c r="K266" i="4"/>
  <c r="L266" i="4"/>
  <c r="M266" i="4"/>
  <c r="N266" i="4"/>
  <c r="O266" i="4"/>
  <c r="P266" i="4"/>
  <c r="Q266" i="4"/>
  <c r="R266" i="4"/>
  <c r="S266" i="4"/>
  <c r="T266" i="4"/>
  <c r="U266" i="4"/>
  <c r="V266" i="4"/>
  <c r="W266" i="4"/>
  <c r="X266" i="4"/>
  <c r="J263" i="4"/>
  <c r="B272" i="4"/>
  <c r="C272" i="4"/>
  <c r="D272" i="4"/>
  <c r="E272" i="4"/>
  <c r="F272" i="4"/>
  <c r="G272" i="4"/>
  <c r="H272" i="4"/>
  <c r="I272" i="4"/>
  <c r="J272" i="4"/>
  <c r="K272" i="4"/>
  <c r="L272" i="4"/>
  <c r="M272" i="4"/>
  <c r="N272" i="4"/>
  <c r="O272" i="4"/>
  <c r="P272" i="4"/>
  <c r="Q272" i="4"/>
  <c r="R272" i="4"/>
  <c r="S272" i="4"/>
  <c r="T272" i="4"/>
  <c r="U272" i="4"/>
  <c r="V272" i="4"/>
  <c r="W272" i="4"/>
  <c r="X272" i="4"/>
  <c r="J269" i="4"/>
  <c r="B277" i="4"/>
  <c r="C277" i="4"/>
  <c r="D277" i="4"/>
  <c r="E277" i="4"/>
  <c r="F277" i="4"/>
  <c r="G277" i="4"/>
  <c r="H277" i="4"/>
  <c r="I277" i="4"/>
  <c r="J277" i="4"/>
  <c r="K277" i="4"/>
  <c r="L277" i="4"/>
  <c r="M277" i="4"/>
  <c r="N277" i="4"/>
  <c r="O277" i="4"/>
  <c r="P277" i="4"/>
  <c r="Q277" i="4"/>
  <c r="R277" i="4"/>
  <c r="S277" i="4"/>
  <c r="T277" i="4"/>
  <c r="U277" i="4"/>
  <c r="V277" i="4"/>
  <c r="W277" i="4"/>
  <c r="X277" i="4"/>
  <c r="J274" i="4"/>
  <c r="B282" i="4"/>
  <c r="C282" i="4"/>
  <c r="D282" i="4"/>
  <c r="E282" i="4"/>
  <c r="F282" i="4"/>
  <c r="G282" i="4"/>
  <c r="H282" i="4"/>
  <c r="I282" i="4"/>
  <c r="J282" i="4"/>
  <c r="K282" i="4"/>
  <c r="L282" i="4"/>
  <c r="M282" i="4"/>
  <c r="N282" i="4"/>
  <c r="O282" i="4"/>
  <c r="P282" i="4"/>
  <c r="Q282" i="4"/>
  <c r="R282" i="4"/>
  <c r="S282" i="4"/>
  <c r="T282" i="4"/>
  <c r="U282" i="4"/>
  <c r="V282" i="4"/>
  <c r="W282" i="4"/>
  <c r="X282" i="4"/>
  <c r="J279" i="4"/>
  <c r="B287" i="4"/>
  <c r="C287" i="4"/>
  <c r="D287" i="4"/>
  <c r="E287" i="4"/>
  <c r="F287" i="4"/>
  <c r="G287" i="4"/>
  <c r="H287" i="4"/>
  <c r="I287" i="4"/>
  <c r="J287" i="4"/>
  <c r="K287" i="4"/>
  <c r="L287" i="4"/>
  <c r="M287" i="4"/>
  <c r="N287" i="4"/>
  <c r="O287" i="4"/>
  <c r="P287" i="4"/>
  <c r="Q287" i="4"/>
  <c r="R287" i="4"/>
  <c r="S287" i="4"/>
  <c r="T287" i="4"/>
  <c r="U287" i="4"/>
  <c r="V287" i="4"/>
  <c r="W287" i="4"/>
  <c r="X287" i="4"/>
  <c r="J284" i="4"/>
  <c r="B292" i="4"/>
  <c r="C292" i="4"/>
  <c r="D292" i="4"/>
  <c r="E292" i="4"/>
  <c r="F292" i="4"/>
  <c r="G292" i="4"/>
  <c r="H292" i="4"/>
  <c r="I292" i="4"/>
  <c r="J292" i="4"/>
  <c r="K292" i="4"/>
  <c r="L292" i="4"/>
  <c r="M292" i="4"/>
  <c r="N292" i="4"/>
  <c r="O292" i="4"/>
  <c r="P292" i="4"/>
  <c r="Q292" i="4"/>
  <c r="R292" i="4"/>
  <c r="S292" i="4"/>
  <c r="T292" i="4"/>
  <c r="U292" i="4"/>
  <c r="V292" i="4"/>
  <c r="W292" i="4"/>
  <c r="X292" i="4"/>
  <c r="J289" i="4"/>
  <c r="B297" i="4"/>
  <c r="C297" i="4"/>
  <c r="D297" i="4"/>
  <c r="E297" i="4"/>
  <c r="F297" i="4"/>
  <c r="G297" i="4"/>
  <c r="H297" i="4"/>
  <c r="I297" i="4"/>
  <c r="J297" i="4"/>
  <c r="K297" i="4"/>
  <c r="L297" i="4"/>
  <c r="M297" i="4"/>
  <c r="N297" i="4"/>
  <c r="O297" i="4"/>
  <c r="P297" i="4"/>
  <c r="Q297" i="4"/>
  <c r="R297" i="4"/>
  <c r="S297" i="4"/>
  <c r="T297" i="4"/>
  <c r="U297" i="4"/>
  <c r="V297" i="4"/>
  <c r="W297" i="4"/>
  <c r="X297" i="4"/>
  <c r="J294" i="4"/>
  <c r="B302" i="4"/>
  <c r="C302" i="4"/>
  <c r="D302" i="4"/>
  <c r="E302" i="4"/>
  <c r="F302" i="4"/>
  <c r="G302" i="4"/>
  <c r="H302" i="4"/>
  <c r="I302" i="4"/>
  <c r="J302" i="4"/>
  <c r="K302" i="4"/>
  <c r="L302" i="4"/>
  <c r="M302" i="4"/>
  <c r="N302" i="4"/>
  <c r="O302" i="4"/>
  <c r="P302" i="4"/>
  <c r="Q302" i="4"/>
  <c r="R302" i="4"/>
  <c r="S302" i="4"/>
  <c r="T302" i="4"/>
  <c r="U302" i="4"/>
  <c r="V302" i="4"/>
  <c r="W302" i="4"/>
  <c r="X302" i="4"/>
  <c r="J299" i="4"/>
  <c r="B312" i="4"/>
  <c r="C312" i="4"/>
  <c r="D312" i="4"/>
  <c r="E312" i="4"/>
  <c r="F312" i="4"/>
  <c r="G312" i="4"/>
  <c r="H312" i="4"/>
  <c r="I312" i="4"/>
  <c r="J312" i="4"/>
  <c r="K312" i="4"/>
  <c r="L312" i="4"/>
  <c r="M312" i="4"/>
  <c r="N312" i="4"/>
  <c r="O312" i="4"/>
  <c r="P312" i="4"/>
  <c r="Q312" i="4"/>
  <c r="R312" i="4"/>
  <c r="S312" i="4"/>
  <c r="T312" i="4"/>
  <c r="U312" i="4"/>
  <c r="V312" i="4"/>
  <c r="W312" i="4"/>
  <c r="X312" i="4"/>
  <c r="J309" i="4"/>
  <c r="A316" i="4"/>
  <c r="B26" i="4"/>
  <c r="N26" i="4"/>
  <c r="B31" i="4"/>
  <c r="N31" i="4"/>
  <c r="B36" i="4"/>
  <c r="N36" i="4"/>
  <c r="B41" i="4"/>
  <c r="N41" i="4"/>
  <c r="B46" i="4"/>
  <c r="N46" i="4"/>
  <c r="B51" i="4"/>
  <c r="N51" i="4"/>
  <c r="B56" i="4"/>
  <c r="N56" i="4"/>
  <c r="B61" i="4"/>
  <c r="N61" i="4"/>
  <c r="B67" i="4"/>
  <c r="B72" i="4"/>
  <c r="B77" i="4"/>
  <c r="B82" i="4"/>
  <c r="B87" i="4"/>
  <c r="B108" i="4"/>
  <c r="B118" i="4"/>
  <c r="B138" i="4"/>
  <c r="B143" i="4"/>
  <c r="B153" i="4"/>
  <c r="B158" i="4"/>
  <c r="B163" i="4"/>
  <c r="B168" i="4"/>
  <c r="B173" i="4"/>
  <c r="B178" i="4"/>
  <c r="B183" i="4"/>
  <c r="B188" i="4"/>
  <c r="B218" i="4"/>
  <c r="B258" i="4"/>
  <c r="B263" i="4"/>
  <c r="B269" i="4"/>
  <c r="B274" i="4"/>
  <c r="B279" i="4"/>
  <c r="B284" i="4"/>
  <c r="B289" i="4"/>
  <c r="B294" i="4"/>
  <c r="B299" i="4"/>
  <c r="B309" i="4"/>
  <c r="E116" i="7"/>
  <c r="F85" i="7"/>
  <c r="H118" i="7"/>
  <c r="H111" i="7"/>
  <c r="E102" i="7"/>
  <c r="E103" i="7"/>
  <c r="E104" i="7"/>
  <c r="E100" i="7"/>
  <c r="H105" i="7"/>
  <c r="J105" i="7"/>
  <c r="J101" i="7"/>
  <c r="J97" i="7"/>
  <c r="F97" i="7"/>
  <c r="J92" i="7"/>
  <c r="J88" i="7"/>
  <c r="J86" i="7"/>
  <c r="J84" i="7"/>
  <c r="F90" i="7"/>
  <c r="F82" i="7"/>
  <c r="D85" i="7"/>
  <c r="D83" i="7"/>
  <c r="D81" i="7"/>
  <c r="D80" i="7"/>
  <c r="B20" i="6"/>
  <c r="F321" i="4"/>
  <c r="F320" i="4"/>
  <c r="C21" i="5"/>
  <c r="C20" i="5"/>
  <c r="C26" i="5"/>
  <c r="C22" i="5"/>
  <c r="C17" i="5"/>
  <c r="C19" i="5"/>
  <c r="C16" i="5"/>
  <c r="C15" i="5"/>
  <c r="L2" i="6"/>
  <c r="C317" i="4"/>
  <c r="F317" i="4"/>
  <c r="C318" i="4"/>
  <c r="F318" i="4"/>
  <c r="C319" i="4"/>
  <c r="F319" i="4"/>
  <c r="C320" i="4"/>
  <c r="C321" i="4"/>
  <c r="C322" i="4"/>
  <c r="C323" i="4"/>
  <c r="C324" i="4"/>
  <c r="B146" i="2"/>
  <c r="B37" i="1"/>
  <c r="B37" i="6"/>
  <c r="B16" i="8"/>
  <c r="B76" i="2"/>
  <c r="B12" i="8"/>
  <c r="B108" i="1"/>
  <c r="F42" i="5"/>
  <c r="B73" i="8"/>
  <c r="B80" i="8"/>
  <c r="C5" i="8"/>
  <c r="B78" i="8"/>
  <c r="B76" i="8"/>
  <c r="B75" i="8"/>
  <c r="B11" i="8"/>
  <c r="C4" i="8"/>
  <c r="C17" i="8"/>
  <c r="C15" i="8"/>
  <c r="C13" i="8"/>
  <c r="B13" i="8"/>
  <c r="C9" i="8"/>
  <c r="C8" i="8"/>
  <c r="B8" i="8"/>
  <c r="C7" i="8"/>
  <c r="N37" i="6"/>
  <c r="C53" i="5"/>
  <c r="C55" i="5"/>
  <c r="T18" i="6"/>
  <c r="S17" i="6"/>
  <c r="S19" i="6"/>
  <c r="S18" i="6"/>
  <c r="S13" i="6"/>
  <c r="S14" i="6"/>
  <c r="S12" i="6"/>
  <c r="T16" i="6"/>
  <c r="T11" i="6"/>
  <c r="L39" i="6"/>
  <c r="B94" i="1"/>
  <c r="B79" i="2"/>
  <c r="H64" i="7"/>
  <c r="H63" i="7" s="1"/>
  <c r="E59" i="7"/>
  <c r="E55" i="7"/>
  <c r="H52" i="7"/>
  <c r="E45" i="7"/>
  <c r="D45" i="7"/>
  <c r="E44" i="7"/>
  <c r="D44" i="7"/>
  <c r="E46" i="7"/>
  <c r="D46" i="7"/>
  <c r="E43" i="7"/>
  <c r="D43" i="7"/>
  <c r="E41" i="7"/>
  <c r="E50" i="7"/>
  <c r="E48" i="7"/>
  <c r="E47" i="7"/>
  <c r="H50" i="7"/>
  <c r="E51" i="7"/>
  <c r="C31" i="7"/>
  <c r="C5" i="5"/>
  <c r="C6" i="5"/>
  <c r="C7" i="5"/>
  <c r="C8" i="5"/>
  <c r="C10" i="5"/>
  <c r="C11" i="5"/>
  <c r="C12" i="5"/>
  <c r="C13" i="5"/>
  <c r="C23" i="5"/>
  <c r="C25" i="5"/>
  <c r="C28" i="5"/>
  <c r="C33" i="5"/>
  <c r="F34" i="5"/>
  <c r="F35" i="5"/>
  <c r="F36" i="5"/>
  <c r="F37" i="5"/>
  <c r="F38" i="5"/>
  <c r="F39" i="5"/>
  <c r="F40" i="5"/>
  <c r="C54" i="5"/>
  <c r="A1" i="4"/>
  <c r="A3" i="4"/>
  <c r="A4" i="4"/>
  <c r="B77" i="2"/>
  <c r="B78" i="2"/>
  <c r="B131" i="2"/>
  <c r="B133" i="2"/>
  <c r="B134" i="2"/>
  <c r="B135" i="2"/>
  <c r="B137" i="2"/>
  <c r="B138" i="2"/>
  <c r="B140" i="2"/>
  <c r="B141" i="2"/>
  <c r="B144" i="2"/>
  <c r="C4" i="1"/>
  <c r="C6" i="1"/>
  <c r="C7" i="1"/>
  <c r="C24" i="1" s="1"/>
  <c r="B8" i="1"/>
  <c r="C8" i="1"/>
  <c r="C9" i="1"/>
  <c r="B11" i="1"/>
  <c r="B12" i="1"/>
  <c r="C12" i="1"/>
  <c r="C14" i="1"/>
  <c r="C18" i="1"/>
  <c r="B19" i="1"/>
  <c r="B20" i="1"/>
  <c r="C23" i="1"/>
  <c r="G23" i="1"/>
  <c r="H23" i="1"/>
  <c r="J23" i="1"/>
  <c r="K23" i="1"/>
  <c r="F24" i="1"/>
  <c r="B25" i="1"/>
  <c r="F25" i="1"/>
  <c r="B27" i="1"/>
  <c r="F26" i="1"/>
  <c r="H26" i="1"/>
  <c r="F28" i="1"/>
  <c r="B31" i="1"/>
  <c r="F29" i="1"/>
  <c r="B32" i="1"/>
  <c r="B33" i="1"/>
  <c r="H33" i="1"/>
  <c r="B34" i="1"/>
  <c r="F34" i="1"/>
  <c r="B35" i="1"/>
  <c r="F35" i="1"/>
  <c r="F36" i="1"/>
  <c r="A40" i="1"/>
  <c r="F40" i="1"/>
  <c r="H40" i="1"/>
  <c r="J40" i="1"/>
  <c r="K40" i="1"/>
  <c r="F42" i="1"/>
  <c r="M42" i="1"/>
  <c r="F43" i="1"/>
  <c r="F44" i="1"/>
  <c r="F45" i="1"/>
  <c r="F47" i="1"/>
  <c r="F48" i="1"/>
  <c r="F49" i="1"/>
  <c r="L49" i="1"/>
  <c r="F50" i="1"/>
  <c r="H50" i="1"/>
  <c r="F51" i="1"/>
  <c r="I51" i="1"/>
  <c r="L51" i="1"/>
  <c r="M51" i="1"/>
  <c r="B103" i="1"/>
  <c r="B110" i="1"/>
  <c r="B111" i="1"/>
  <c r="B112" i="1"/>
  <c r="B113" i="1"/>
  <c r="B114" i="1"/>
  <c r="B118" i="1"/>
  <c r="C143" i="1"/>
  <c r="C145" i="1"/>
  <c r="C147" i="1"/>
  <c r="B149" i="1"/>
  <c r="C4" i="6"/>
  <c r="C6" i="6"/>
  <c r="L6" i="6"/>
  <c r="C7" i="6"/>
  <c r="L7" i="6"/>
  <c r="B8" i="6"/>
  <c r="L8" i="6"/>
  <c r="L9" i="6"/>
  <c r="B12" i="6"/>
  <c r="M11" i="6"/>
  <c r="N11" i="6"/>
  <c r="P11" i="6"/>
  <c r="B13" i="6"/>
  <c r="L12" i="6"/>
  <c r="B14" i="6"/>
  <c r="L13" i="6"/>
  <c r="B15" i="6"/>
  <c r="L14" i="6"/>
  <c r="L15" i="6"/>
  <c r="C17" i="6"/>
  <c r="B19" i="6"/>
  <c r="L18" i="6"/>
  <c r="L19" i="6"/>
  <c r="C21" i="6"/>
  <c r="L20" i="6"/>
  <c r="B22" i="6"/>
  <c r="L21" i="6"/>
  <c r="B23" i="6"/>
  <c r="L22" i="6"/>
  <c r="B24" i="6"/>
  <c r="D26" i="6"/>
  <c r="F26" i="6"/>
  <c r="H26" i="6"/>
  <c r="E27" i="6"/>
  <c r="F28" i="6"/>
  <c r="F29" i="6"/>
  <c r="F30" i="6"/>
  <c r="E31" i="6"/>
  <c r="E32" i="6"/>
  <c r="D36" i="6"/>
  <c r="B92" i="6"/>
  <c r="B97" i="6"/>
  <c r="B103" i="6"/>
  <c r="B104" i="6"/>
  <c r="B105" i="6"/>
  <c r="B107" i="6"/>
  <c r="B108" i="6"/>
  <c r="B109" i="6"/>
  <c r="B114" i="6"/>
  <c r="B115" i="6"/>
  <c r="B117" i="6"/>
  <c r="B118" i="6"/>
  <c r="B119" i="6"/>
  <c r="B121" i="6"/>
  <c r="C124" i="6"/>
  <c r="E124" i="6"/>
  <c r="C125" i="6"/>
  <c r="C126" i="6" s="1"/>
  <c r="C127" i="6" s="1"/>
  <c r="C128" i="6" s="1"/>
  <c r="C129" i="6" s="1"/>
  <c r="D125" i="6"/>
  <c r="E125" i="6" s="1"/>
  <c r="C130" i="6"/>
  <c r="C131" i="6"/>
  <c r="E131" i="6"/>
  <c r="B137" i="6"/>
  <c r="B140" i="6"/>
  <c r="B143" i="6"/>
  <c r="B146" i="6"/>
  <c r="B155" i="6"/>
  <c r="E175" i="6"/>
  <c r="C176" i="6"/>
  <c r="F176" i="6"/>
  <c r="G176" i="6"/>
  <c r="H176" i="6"/>
  <c r="C177" i="6"/>
  <c r="F177" i="6"/>
  <c r="G177" i="6"/>
  <c r="D177" i="6" s="1"/>
  <c r="E177" i="6" s="1"/>
  <c r="H177" i="6"/>
  <c r="C178" i="6"/>
  <c r="F178" i="6"/>
  <c r="G178" i="6"/>
  <c r="H178" i="6"/>
  <c r="C179" i="6"/>
  <c r="F179" i="6"/>
  <c r="G179" i="6"/>
  <c r="D179" i="6" s="1"/>
  <c r="E179" i="6" s="1"/>
  <c r="H179" i="6"/>
  <c r="C180" i="6"/>
  <c r="D180" i="6"/>
  <c r="E180" i="6" s="1"/>
  <c r="F180" i="6"/>
  <c r="G180" i="6"/>
  <c r="H180" i="6"/>
  <c r="U120" i="4"/>
  <c r="T121" i="4" s="1"/>
  <c r="U85" i="4"/>
  <c r="O85" i="4"/>
  <c r="R216" i="4"/>
  <c r="V115" i="4"/>
  <c r="J87" i="4"/>
  <c r="S90" i="4"/>
  <c r="Q90" i="4"/>
  <c r="K90" i="4"/>
  <c r="I90" i="4"/>
  <c r="G90" i="4"/>
  <c r="T214" i="4"/>
  <c r="U214" i="4" s="1"/>
  <c r="V214" i="4" s="1"/>
  <c r="W214" i="4" s="1"/>
  <c r="D269" i="4"/>
  <c r="F269" i="4" s="1"/>
  <c r="X85" i="4"/>
  <c r="T85" i="4"/>
  <c r="R85" i="4"/>
  <c r="J85" i="4"/>
  <c r="D85" i="4"/>
  <c r="L90" i="4"/>
  <c r="D36" i="4"/>
  <c r="F36" i="4" s="1"/>
  <c r="D31" i="4"/>
  <c r="F31" i="4" s="1"/>
  <c r="U165" i="4"/>
  <c r="T166" i="4" s="1"/>
  <c r="R201" i="4"/>
  <c r="K196" i="4"/>
  <c r="T211" i="4"/>
  <c r="S226" i="4"/>
  <c r="S251" i="4"/>
  <c r="L246" i="4"/>
  <c r="K246" i="4"/>
  <c r="R251" i="4"/>
  <c r="U116" i="4"/>
  <c r="W115" i="4"/>
  <c r="X115" i="4" s="1"/>
  <c r="V116" i="4"/>
  <c r="U211" i="4"/>
  <c r="M246" i="4"/>
  <c r="V250" i="4"/>
  <c r="T251" i="4"/>
  <c r="V211" i="4"/>
  <c r="N246" i="4"/>
  <c r="X245" i="4"/>
  <c r="W211" i="4"/>
  <c r="X211" i="4"/>
  <c r="O246" i="4"/>
  <c r="P246" i="4"/>
  <c r="Q246" i="4"/>
  <c r="R246" i="4"/>
  <c r="S246" i="4"/>
  <c r="T246" i="4"/>
  <c r="U246" i="4"/>
  <c r="X244" i="4"/>
  <c r="V246" i="4"/>
  <c r="W130" i="4"/>
  <c r="V131" i="4" s="1"/>
  <c r="U125" i="4"/>
  <c r="V125" i="4" s="1"/>
  <c r="R241" i="4"/>
  <c r="C133" i="6"/>
  <c r="D161" i="6"/>
  <c r="E161" i="6" s="1"/>
  <c r="D158" i="6"/>
  <c r="E158" i="6" s="1"/>
  <c r="D162" i="6"/>
  <c r="E162" i="6" s="1"/>
  <c r="D160" i="6"/>
  <c r="E160" i="6" s="1"/>
  <c r="D159" i="6"/>
  <c r="E159" i="6" s="1"/>
  <c r="S206" i="4"/>
  <c r="R206" i="4"/>
  <c r="T206" i="4"/>
  <c r="U206" i="4"/>
  <c r="X205" i="4"/>
  <c r="W206" i="4" s="1"/>
  <c r="V206" i="4"/>
  <c r="X100" i="4"/>
  <c r="L105" i="4"/>
  <c r="C105" i="4"/>
  <c r="K105" i="4"/>
  <c r="O105" i="4"/>
  <c r="S100" i="4"/>
  <c r="U100" i="4"/>
  <c r="H100" i="4"/>
  <c r="Q100" i="4"/>
  <c r="Q105" i="4"/>
  <c r="D176" i="6" l="1"/>
  <c r="E176" i="6" s="1"/>
  <c r="I38" i="7"/>
  <c r="B81" i="8"/>
  <c r="L4" i="3"/>
  <c r="H4" i="3"/>
  <c r="E8" i="7"/>
  <c r="C198" i="6"/>
  <c r="C197" i="6"/>
  <c r="B197" i="6" s="1"/>
  <c r="C182" i="6"/>
  <c r="E188" i="6"/>
  <c r="B189" i="6"/>
  <c r="C184" i="6"/>
  <c r="E192" i="6"/>
  <c r="D284" i="4"/>
  <c r="F284" i="4" s="1"/>
  <c r="N194" i="4"/>
  <c r="L196" i="4"/>
  <c r="C90" i="4"/>
  <c r="D67" i="4"/>
  <c r="F67" i="4" s="1"/>
  <c r="D46" i="4"/>
  <c r="F46" i="4" s="1"/>
  <c r="W90" i="4"/>
  <c r="D168" i="4"/>
  <c r="F168" i="4" s="1"/>
  <c r="J82" i="4"/>
  <c r="J105" i="4"/>
  <c r="N90" i="4"/>
  <c r="H69" i="7"/>
  <c r="G100" i="4"/>
  <c r="X246" i="4"/>
  <c r="S191" i="4"/>
  <c r="U251" i="4"/>
  <c r="V120" i="4"/>
  <c r="W120" i="4" s="1"/>
  <c r="X120" i="4" s="1"/>
  <c r="G85" i="4"/>
  <c r="T90" i="4"/>
  <c r="C136" i="6"/>
  <c r="V165" i="4"/>
  <c r="U166" i="4" s="1"/>
  <c r="D143" i="4"/>
  <c r="F143" i="4" s="1"/>
  <c r="Q85" i="4"/>
  <c r="T234" i="4"/>
  <c r="U234" i="4" s="1"/>
  <c r="V234" i="4" s="1"/>
  <c r="W234" i="4" s="1"/>
  <c r="L100" i="4"/>
  <c r="P105" i="4"/>
  <c r="R105" i="4"/>
  <c r="N85" i="4"/>
  <c r="S105" i="4"/>
  <c r="D274" i="4"/>
  <c r="F274" i="4" s="1"/>
  <c r="D218" i="4"/>
  <c r="F218" i="4" s="1"/>
  <c r="M20" i="6"/>
  <c r="K85" i="4"/>
  <c r="X105" i="4"/>
  <c r="B79" i="8"/>
  <c r="C148" i="6"/>
  <c r="D178" i="4"/>
  <c r="F178" i="4" s="1"/>
  <c r="P90" i="4"/>
  <c r="I85" i="4"/>
  <c r="T126" i="4"/>
  <c r="V100" i="4"/>
  <c r="D279" i="4"/>
  <c r="F279" i="4" s="1"/>
  <c r="D258" i="4"/>
  <c r="F258" i="4" s="1"/>
  <c r="M90" i="4"/>
  <c r="D61" i="4"/>
  <c r="F61" i="4" s="1"/>
  <c r="D41" i="4"/>
  <c r="F41" i="4" s="1"/>
  <c r="D158" i="4"/>
  <c r="F158" i="4" s="1"/>
  <c r="H90" i="4"/>
  <c r="B105" i="4"/>
  <c r="U256" i="4"/>
  <c r="E90" i="4"/>
  <c r="B100" i="4"/>
  <c r="D26" i="4"/>
  <c r="F26" i="4" s="1"/>
  <c r="E185" i="6"/>
  <c r="W116" i="4"/>
  <c r="X116" i="4"/>
  <c r="U239" i="4"/>
  <c r="V239" i="4" s="1"/>
  <c r="W239" i="4" s="1"/>
  <c r="X239" i="4" s="1"/>
  <c r="S241" i="4"/>
  <c r="U126" i="4"/>
  <c r="W125" i="4"/>
  <c r="S216" i="4"/>
  <c r="U215" i="4"/>
  <c r="T216" i="4" s="1"/>
  <c r="D309" i="4"/>
  <c r="F309" i="4" s="1"/>
  <c r="D299" i="4"/>
  <c r="F299" i="4" s="1"/>
  <c r="D294" i="4"/>
  <c r="F294" i="4" s="1"/>
  <c r="D208" i="4"/>
  <c r="F208" i="4" s="1"/>
  <c r="B90" i="4"/>
  <c r="U121" i="4"/>
  <c r="U110" i="4"/>
  <c r="J97" i="4"/>
  <c r="F100" i="4"/>
  <c r="N100" i="4"/>
  <c r="T100" i="4"/>
  <c r="V105" i="4"/>
  <c r="T241" i="4"/>
  <c r="C100" i="4"/>
  <c r="W100" i="4"/>
  <c r="H105" i="4"/>
  <c r="U105" i="4"/>
  <c r="D126" i="6"/>
  <c r="W250" i="4"/>
  <c r="X250" i="4" s="1"/>
  <c r="X251" i="4" s="1"/>
  <c r="D289" i="4"/>
  <c r="F289" i="4" s="1"/>
  <c r="X130" i="4"/>
  <c r="W246" i="4"/>
  <c r="C85" i="4"/>
  <c r="B199" i="6"/>
  <c r="D100" i="4"/>
  <c r="J102" i="4"/>
  <c r="F105" i="4"/>
  <c r="M105" i="4"/>
  <c r="E186" i="6"/>
  <c r="E187" i="6"/>
  <c r="J24" i="7"/>
  <c r="D304" i="4"/>
  <c r="F304" i="4" s="1"/>
  <c r="U200" i="4"/>
  <c r="S201" i="4"/>
  <c r="T191" i="4"/>
  <c r="V190" i="4"/>
  <c r="T226" i="4"/>
  <c r="V225" i="4"/>
  <c r="X255" i="4"/>
  <c r="V256" i="4"/>
  <c r="X240" i="4"/>
  <c r="V241" i="4"/>
  <c r="U235" i="4"/>
  <c r="S236" i="4"/>
  <c r="D113" i="4"/>
  <c r="F113" i="4" s="1"/>
  <c r="K100" i="4"/>
  <c r="M100" i="4"/>
  <c r="O100" i="4"/>
  <c r="D105" i="4"/>
  <c r="W105" i="4"/>
  <c r="I100" i="4"/>
  <c r="X206" i="4"/>
  <c r="D203" i="4" s="1"/>
  <c r="F203" i="4" s="1"/>
  <c r="B2" i="4"/>
  <c r="M24" i="6"/>
  <c r="K24" i="7"/>
  <c r="F94" i="7"/>
  <c r="M23" i="6"/>
  <c r="B59" i="8"/>
  <c r="C59" i="8" s="1"/>
  <c r="C15" i="1"/>
  <c r="H51" i="7" s="1"/>
  <c r="B61" i="8"/>
  <c r="C61" i="8" s="1"/>
  <c r="D178" i="6"/>
  <c r="E178" i="6" s="1"/>
  <c r="E56" i="7"/>
  <c r="B63" i="8"/>
  <c r="C63" i="8" s="1"/>
  <c r="E40" i="7"/>
  <c r="O23" i="6"/>
  <c r="O24" i="6"/>
  <c r="B55" i="8"/>
  <c r="C55" i="8" s="1"/>
  <c r="B65" i="8"/>
  <c r="C65" i="8" s="1"/>
  <c r="B69" i="8"/>
  <c r="C69" i="8" s="1"/>
  <c r="B64" i="8"/>
  <c r="C64" i="8" s="1"/>
  <c r="B67" i="8"/>
  <c r="C67" i="8" s="1"/>
  <c r="H27" i="6"/>
  <c r="H45" i="7" s="1"/>
  <c r="C16" i="8"/>
  <c r="B68" i="8"/>
  <c r="C68" i="8" s="1"/>
  <c r="B56" i="8"/>
  <c r="C56" i="8" s="1"/>
  <c r="B58" i="8"/>
  <c r="C58" i="8" s="1"/>
  <c r="B62" i="8"/>
  <c r="C62" i="8" s="1"/>
  <c r="O18" i="6"/>
  <c r="D35" i="6"/>
  <c r="O21" i="6" s="1"/>
  <c r="B54" i="8"/>
  <c r="C54" i="8" s="1"/>
  <c r="D26" i="7"/>
  <c r="B53" i="8"/>
  <c r="C53" i="8" s="1"/>
  <c r="B60" i="8"/>
  <c r="C60" i="8" s="1"/>
  <c r="B66" i="8"/>
  <c r="C66" i="8" s="1"/>
  <c r="B52" i="8"/>
  <c r="C52" i="8" s="1"/>
  <c r="B57" i="8"/>
  <c r="C57" i="8" s="1"/>
  <c r="T14" i="6"/>
  <c r="C173" i="6"/>
  <c r="C172" i="6"/>
  <c r="C195" i="6"/>
  <c r="A317" i="4" a="1"/>
  <c r="A341" i="4" s="1"/>
  <c r="D148" i="4"/>
  <c r="F148" i="4" s="1"/>
  <c r="H28" i="1"/>
  <c r="H67" i="7"/>
  <c r="H17" i="7"/>
  <c r="B107" i="1"/>
  <c r="E24" i="1"/>
  <c r="B109" i="1"/>
  <c r="H48" i="1"/>
  <c r="B158" i="1"/>
  <c r="B132" i="1"/>
  <c r="G4" i="3"/>
  <c r="C139" i="6"/>
  <c r="C134" i="6"/>
  <c r="C143" i="6"/>
  <c r="C146" i="6"/>
  <c r="AD4" i="3"/>
  <c r="E190" i="6"/>
  <c r="D32" i="1"/>
  <c r="I68" i="7" s="1"/>
  <c r="AE4" i="3"/>
  <c r="T19" i="6"/>
  <c r="C142" i="6"/>
  <c r="C141" i="6"/>
  <c r="C145" i="6"/>
  <c r="I71" i="7"/>
  <c r="B77" i="8"/>
  <c r="C196" i="6"/>
  <c r="B196" i="6" s="1"/>
  <c r="C147" i="6"/>
  <c r="E42" i="7"/>
  <c r="E193" i="6"/>
  <c r="E189" i="6"/>
  <c r="C183" i="6"/>
  <c r="J90" i="7"/>
  <c r="F118" i="7" s="1"/>
  <c r="C132" i="6"/>
  <c r="F27" i="7"/>
  <c r="C137" i="6"/>
  <c r="C135" i="6"/>
  <c r="C138" i="6"/>
  <c r="E33" i="6"/>
  <c r="C144" i="6"/>
  <c r="T17" i="6"/>
  <c r="E14" i="7"/>
  <c r="B201" i="6"/>
  <c r="C201" i="6" s="1"/>
  <c r="B186" i="6"/>
  <c r="B200" i="6"/>
  <c r="C200" i="6" s="1"/>
  <c r="E183" i="6"/>
  <c r="B187" i="6"/>
  <c r="E184" i="6"/>
  <c r="B202" i="6"/>
  <c r="Y4" i="4"/>
  <c r="T3" i="4"/>
  <c r="Q3" i="4"/>
  <c r="C163" i="6" l="1"/>
  <c r="C166" i="6"/>
  <c r="C167" i="6"/>
  <c r="E4" i="7"/>
  <c r="V215" i="4"/>
  <c r="W215" i="4" s="1"/>
  <c r="V121" i="4"/>
  <c r="U241" i="4"/>
  <c r="D82" i="4"/>
  <c r="F82" i="4" s="1"/>
  <c r="D97" i="4"/>
  <c r="F97" i="4" s="1"/>
  <c r="D243" i="4"/>
  <c r="F243" i="4" s="1"/>
  <c r="W251" i="4"/>
  <c r="W165" i="4"/>
  <c r="D87" i="4"/>
  <c r="F87" i="4" s="1"/>
  <c r="O194" i="4"/>
  <c r="M196" i="4"/>
  <c r="V166" i="4"/>
  <c r="X165" i="4"/>
  <c r="V126" i="4"/>
  <c r="X125" i="4"/>
  <c r="V251" i="4"/>
  <c r="D248" i="4" s="1"/>
  <c r="F248" i="4" s="1"/>
  <c r="X131" i="4"/>
  <c r="W131" i="4"/>
  <c r="D128" i="4" s="1"/>
  <c r="V110" i="4"/>
  <c r="T111" i="4"/>
  <c r="D102" i="4"/>
  <c r="F102" i="4" s="1"/>
  <c r="E126" i="6"/>
  <c r="D127" i="6"/>
  <c r="W121" i="4"/>
  <c r="X121" i="4"/>
  <c r="W225" i="4"/>
  <c r="U226" i="4"/>
  <c r="X256" i="4"/>
  <c r="W256" i="4"/>
  <c r="D253" i="4" s="1"/>
  <c r="T201" i="4"/>
  <c r="V200" i="4"/>
  <c r="T236" i="4"/>
  <c r="V235" i="4"/>
  <c r="X241" i="4"/>
  <c r="W241" i="4"/>
  <c r="U191" i="4"/>
  <c r="W190" i="4"/>
  <c r="D157" i="6"/>
  <c r="D137" i="6"/>
  <c r="W4" i="3"/>
  <c r="D139" i="6"/>
  <c r="D133" i="6"/>
  <c r="E133" i="6" s="1"/>
  <c r="D156" i="6"/>
  <c r="D135" i="6"/>
  <c r="E135" i="6" s="1"/>
  <c r="E52" i="7"/>
  <c r="D140" i="6"/>
  <c r="E30" i="6"/>
  <c r="E34" i="6"/>
  <c r="D138" i="6"/>
  <c r="D145" i="6"/>
  <c r="D148" i="6"/>
  <c r="D143" i="6"/>
  <c r="D141" i="6"/>
  <c r="D134" i="6"/>
  <c r="E134" i="6" s="1"/>
  <c r="O20" i="6"/>
  <c r="I28" i="6" s="1"/>
  <c r="D136" i="6"/>
  <c r="E136" i="6" s="1"/>
  <c r="D147" i="6"/>
  <c r="E57" i="7"/>
  <c r="D142" i="6"/>
  <c r="D155" i="6"/>
  <c r="D132" i="6"/>
  <c r="E132" i="6" s="1"/>
  <c r="C168" i="6"/>
  <c r="C169" i="6" s="1"/>
  <c r="D168" i="6"/>
  <c r="D169" i="6" s="1"/>
  <c r="D144" i="6"/>
  <c r="E53" i="7"/>
  <c r="D146" i="6"/>
  <c r="S27" i="6"/>
  <c r="H12" i="7"/>
  <c r="I16" i="7"/>
  <c r="K51" i="1"/>
  <c r="R28" i="1"/>
  <c r="A323" i="4"/>
  <c r="A330" i="4"/>
  <c r="A331" i="4"/>
  <c r="A343" i="4"/>
  <c r="A339" i="4"/>
  <c r="A327" i="4"/>
  <c r="A338" i="4"/>
  <c r="A320" i="4"/>
  <c r="A332" i="4"/>
  <c r="A337" i="4"/>
  <c r="A340" i="4"/>
  <c r="A318" i="4"/>
  <c r="A333" i="4"/>
  <c r="A328" i="4"/>
  <c r="A342" i="4"/>
  <c r="A325" i="4"/>
  <c r="A336" i="4"/>
  <c r="A317" i="4"/>
  <c r="A346" i="4"/>
  <c r="A322" i="4"/>
  <c r="A329" i="4"/>
  <c r="A321" i="4"/>
  <c r="A326" i="4"/>
  <c r="A345" i="4"/>
  <c r="A319" i="4"/>
  <c r="A324" i="4"/>
  <c r="A335" i="4"/>
  <c r="A344" i="4"/>
  <c r="A334" i="4"/>
  <c r="I4" i="4"/>
  <c r="H2" i="4"/>
  <c r="V2" i="4"/>
  <c r="H3" i="4"/>
  <c r="P2" i="4"/>
  <c r="V4" i="4"/>
  <c r="X3" i="4"/>
  <c r="R3" i="4"/>
  <c r="M4" i="4"/>
  <c r="L2" i="4"/>
  <c r="Y3" i="4"/>
  <c r="C3" i="4"/>
  <c r="Z2" i="4"/>
  <c r="X4" i="4"/>
  <c r="E3" i="4"/>
  <c r="J2" i="4"/>
  <c r="N2" i="4"/>
  <c r="Q4" i="4"/>
  <c r="N3" i="4"/>
  <c r="D4" i="4"/>
  <c r="N4" i="4"/>
  <c r="P3" i="4"/>
  <c r="L4" i="4"/>
  <c r="R4" i="4"/>
  <c r="S3" i="4"/>
  <c r="J4" i="4"/>
  <c r="O4" i="4"/>
  <c r="C4" i="4"/>
  <c r="F4" i="4"/>
  <c r="H4" i="4"/>
  <c r="X2" i="4"/>
  <c r="O3" i="4"/>
  <c r="M3" i="4"/>
  <c r="E4" i="4"/>
  <c r="D3" i="4"/>
  <c r="G3" i="4"/>
  <c r="U3" i="4"/>
  <c r="K3" i="4"/>
  <c r="T4" i="4"/>
  <c r="V3" i="4"/>
  <c r="U4" i="4"/>
  <c r="F3" i="4"/>
  <c r="K4" i="4"/>
  <c r="W4" i="4"/>
  <c r="B4" i="4"/>
  <c r="T2" i="4"/>
  <c r="L3" i="4"/>
  <c r="G4" i="4"/>
  <c r="W3" i="4"/>
  <c r="I3" i="4"/>
  <c r="J3" i="4"/>
  <c r="P4" i="4"/>
  <c r="S4" i="4"/>
  <c r="R2" i="4"/>
  <c r="B3" i="4"/>
  <c r="P14" i="6" l="1"/>
  <c r="N14" i="6" s="1"/>
  <c r="I41" i="7" s="1"/>
  <c r="D166" i="6"/>
  <c r="E166" i="6" s="1"/>
  <c r="D167" i="6"/>
  <c r="E167" i="6" s="1"/>
  <c r="D163" i="6"/>
  <c r="E163" i="6" s="1"/>
  <c r="E28" i="6"/>
  <c r="D164" i="6"/>
  <c r="E164" i="6" s="1"/>
  <c r="D165" i="6"/>
  <c r="E165" i="6" s="1"/>
  <c r="A5" i="3"/>
  <c r="B5" i="3" s="1"/>
  <c r="Z5" i="3" s="1"/>
  <c r="N12" i="6"/>
  <c r="N13" i="6"/>
  <c r="C206" i="6"/>
  <c r="C205" i="6"/>
  <c r="C207" i="6"/>
  <c r="C209" i="6"/>
  <c r="C208" i="6"/>
  <c r="C210" i="6"/>
  <c r="N196" i="4"/>
  <c r="P194" i="4"/>
  <c r="D238" i="4"/>
  <c r="U216" i="4"/>
  <c r="F108" i="1"/>
  <c r="F107" i="1"/>
  <c r="F106" i="1"/>
  <c r="H18" i="7"/>
  <c r="F109" i="1"/>
  <c r="F105" i="1"/>
  <c r="E101" i="7"/>
  <c r="C171" i="6"/>
  <c r="C170" i="6"/>
  <c r="E49" i="7"/>
  <c r="E18" i="7"/>
  <c r="T13" i="6"/>
  <c r="T12" i="6"/>
  <c r="C174" i="6"/>
  <c r="M13" i="6"/>
  <c r="D171" i="6"/>
  <c r="B50" i="8"/>
  <c r="C50" i="8" s="1"/>
  <c r="D174" i="6"/>
  <c r="B45" i="8"/>
  <c r="C45" i="8" s="1"/>
  <c r="B51" i="8"/>
  <c r="C51" i="8" s="1"/>
  <c r="B43" i="8"/>
  <c r="C43" i="8" s="1"/>
  <c r="B44" i="8"/>
  <c r="C44" i="8" s="1"/>
  <c r="B46" i="8"/>
  <c r="C46" i="8" s="1"/>
  <c r="D172" i="6"/>
  <c r="D170" i="6"/>
  <c r="D173" i="6"/>
  <c r="B48" i="8"/>
  <c r="C48" i="8" s="1"/>
  <c r="B49" i="8"/>
  <c r="C49" i="8" s="1"/>
  <c r="B47" i="8"/>
  <c r="C47" i="8" s="1"/>
  <c r="M12" i="6"/>
  <c r="W166" i="4"/>
  <c r="X166" i="4"/>
  <c r="E127" i="6"/>
  <c r="D128" i="6"/>
  <c r="W110" i="4"/>
  <c r="U111" i="4"/>
  <c r="X126" i="4"/>
  <c r="W126" i="4"/>
  <c r="D123" i="4" s="1"/>
  <c r="D118" i="4"/>
  <c r="F118" i="4" s="1"/>
  <c r="D163" i="4"/>
  <c r="F163" i="4" s="1"/>
  <c r="W235" i="4"/>
  <c r="U236" i="4"/>
  <c r="W200" i="4"/>
  <c r="U201" i="4"/>
  <c r="X215" i="4"/>
  <c r="V216" i="4"/>
  <c r="V226" i="4"/>
  <c r="X225" i="4"/>
  <c r="X190" i="4"/>
  <c r="V191" i="4"/>
  <c r="I31" i="6"/>
  <c r="C154" i="6" s="1"/>
  <c r="E29" i="6"/>
  <c r="C191" i="6"/>
  <c r="D153" i="6"/>
  <c r="C192" i="6"/>
  <c r="D62" i="8" l="1"/>
  <c r="F62" i="8" s="1"/>
  <c r="I62" i="8" s="1"/>
  <c r="D69" i="8"/>
  <c r="F69" i="8" s="1"/>
  <c r="I69" i="8" s="1"/>
  <c r="D64" i="8"/>
  <c r="E64" i="8" s="1"/>
  <c r="H64" i="8" s="1"/>
  <c r="D56" i="8"/>
  <c r="F56" i="8" s="1"/>
  <c r="I56" i="8" s="1"/>
  <c r="D54" i="8"/>
  <c r="E54" i="8" s="1"/>
  <c r="H54" i="8" s="1"/>
  <c r="D63" i="8"/>
  <c r="E63" i="8" s="1"/>
  <c r="H63" i="8" s="1"/>
  <c r="D60" i="8"/>
  <c r="E60" i="8" s="1"/>
  <c r="H60" i="8" s="1"/>
  <c r="D49" i="8"/>
  <c r="E49" i="8" s="1"/>
  <c r="H49" i="8" s="1"/>
  <c r="D55" i="8"/>
  <c r="F55" i="8" s="1"/>
  <c r="I55" i="8" s="1"/>
  <c r="D45" i="8"/>
  <c r="E45" i="8" s="1"/>
  <c r="H45" i="8" s="1"/>
  <c r="D43" i="8"/>
  <c r="E43" i="8" s="1"/>
  <c r="H43" i="8" s="1"/>
  <c r="D61" i="8"/>
  <c r="F61" i="8" s="1"/>
  <c r="I61" i="8" s="1"/>
  <c r="D47" i="8"/>
  <c r="E47" i="8" s="1"/>
  <c r="H47" i="8" s="1"/>
  <c r="D58" i="8"/>
  <c r="F58" i="8" s="1"/>
  <c r="I58" i="8" s="1"/>
  <c r="D48" i="8"/>
  <c r="F48" i="8" s="1"/>
  <c r="I48" i="8" s="1"/>
  <c r="D67" i="8"/>
  <c r="E67" i="8" s="1"/>
  <c r="H67" i="8" s="1"/>
  <c r="M14" i="6"/>
  <c r="F107" i="7" s="1"/>
  <c r="D51" i="8"/>
  <c r="E51" i="8" s="1"/>
  <c r="H51" i="8" s="1"/>
  <c r="D50" i="8"/>
  <c r="F50" i="8" s="1"/>
  <c r="I50" i="8" s="1"/>
  <c r="D44" i="8"/>
  <c r="E44" i="8" s="1"/>
  <c r="H44" i="8" s="1"/>
  <c r="D53" i="8"/>
  <c r="E53" i="8" s="1"/>
  <c r="H53" i="8" s="1"/>
  <c r="D46" i="8"/>
  <c r="F46" i="8" s="1"/>
  <c r="I46" i="8" s="1"/>
  <c r="D66" i="8"/>
  <c r="E66" i="8" s="1"/>
  <c r="H66" i="8" s="1"/>
  <c r="D68" i="8"/>
  <c r="F68" i="8" s="1"/>
  <c r="I68" i="8" s="1"/>
  <c r="D52" i="8"/>
  <c r="F52" i="8" s="1"/>
  <c r="I52" i="8" s="1"/>
  <c r="D57" i="8"/>
  <c r="E57" i="8" s="1"/>
  <c r="H57" i="8" s="1"/>
  <c r="D65" i="8"/>
  <c r="E65" i="8" s="1"/>
  <c r="H65" i="8" s="1"/>
  <c r="D59" i="8"/>
  <c r="E59" i="8" s="1"/>
  <c r="H59" i="8" s="1"/>
  <c r="E11" i="7"/>
  <c r="C11" i="8"/>
  <c r="H5" i="7"/>
  <c r="H41" i="7"/>
  <c r="E107" i="7"/>
  <c r="P15" i="6"/>
  <c r="E35" i="6"/>
  <c r="O22" i="6" s="1"/>
  <c r="O19" i="6" s="1"/>
  <c r="H28" i="6" s="1"/>
  <c r="C190" i="6" s="1"/>
  <c r="M22" i="6"/>
  <c r="C164" i="6"/>
  <c r="C165" i="6"/>
  <c r="AC5" i="3"/>
  <c r="P5" i="3"/>
  <c r="Q5" i="3" s="1"/>
  <c r="A6" i="3"/>
  <c r="B6" i="3" s="1"/>
  <c r="AC6" i="3" s="1"/>
  <c r="E110" i="7"/>
  <c r="C25" i="1"/>
  <c r="C32" i="1" s="1"/>
  <c r="K49" i="1" s="1"/>
  <c r="AA5" i="3"/>
  <c r="AD5" i="3"/>
  <c r="C204" i="6"/>
  <c r="Q194" i="4"/>
  <c r="O196" i="4"/>
  <c r="V111" i="4"/>
  <c r="X110" i="4"/>
  <c r="E128" i="6"/>
  <c r="D129" i="6"/>
  <c r="X200" i="4"/>
  <c r="V201" i="4"/>
  <c r="W226" i="4"/>
  <c r="X226" i="4"/>
  <c r="X191" i="4"/>
  <c r="W191" i="4"/>
  <c r="W216" i="4"/>
  <c r="X216" i="4"/>
  <c r="V236" i="4"/>
  <c r="X235" i="4"/>
  <c r="C153" i="6"/>
  <c r="F63" i="8" l="1"/>
  <c r="I63" i="8" s="1"/>
  <c r="M15" i="6"/>
  <c r="J42" i="7" s="1"/>
  <c r="E69" i="8"/>
  <c r="H69" i="8" s="1"/>
  <c r="E62" i="8"/>
  <c r="H62" i="8" s="1"/>
  <c r="F60" i="8"/>
  <c r="I60" i="8" s="1"/>
  <c r="E46" i="8"/>
  <c r="H46" i="8" s="1"/>
  <c r="E58" i="8"/>
  <c r="H58" i="8" s="1"/>
  <c r="F53" i="8"/>
  <c r="I53" i="8" s="1"/>
  <c r="F54" i="8"/>
  <c r="I54" i="8" s="1"/>
  <c r="F47" i="8"/>
  <c r="I47" i="8" s="1"/>
  <c r="F49" i="8"/>
  <c r="I49" i="8" s="1"/>
  <c r="E68" i="8"/>
  <c r="H68" i="8" s="1"/>
  <c r="F67" i="8"/>
  <c r="I67" i="8" s="1"/>
  <c r="F43" i="8"/>
  <c r="I43" i="8" s="1"/>
  <c r="F45" i="8"/>
  <c r="I45" i="8" s="1"/>
  <c r="F64" i="8"/>
  <c r="I64" i="8" s="1"/>
  <c r="E61" i="8"/>
  <c r="H61" i="8" s="1"/>
  <c r="E55" i="8"/>
  <c r="H55" i="8" s="1"/>
  <c r="E56" i="8"/>
  <c r="H56" i="8" s="1"/>
  <c r="E52" i="8"/>
  <c r="H52" i="8" s="1"/>
  <c r="E50" i="8"/>
  <c r="H50" i="8" s="1"/>
  <c r="J41" i="7"/>
  <c r="C11" i="1"/>
  <c r="S4" i="3" s="1"/>
  <c r="T4" i="3" s="1"/>
  <c r="U4" i="3" s="1"/>
  <c r="E58" i="7"/>
  <c r="H65" i="7" s="1"/>
  <c r="C12" i="8"/>
  <c r="F51" i="8"/>
  <c r="I51" i="8" s="1"/>
  <c r="F66" i="8"/>
  <c r="I66" i="8" s="1"/>
  <c r="F59" i="8"/>
  <c r="I59" i="8" s="1"/>
  <c r="E48" i="8"/>
  <c r="H48" i="8" s="1"/>
  <c r="F44" i="8"/>
  <c r="I44" i="8" s="1"/>
  <c r="F57" i="8"/>
  <c r="I57" i="8" s="1"/>
  <c r="F65" i="8"/>
  <c r="I65" i="8" s="1"/>
  <c r="N15" i="6"/>
  <c r="I42" i="7" s="1"/>
  <c r="H42" i="7"/>
  <c r="E108" i="7"/>
  <c r="D23" i="7"/>
  <c r="M19" i="6"/>
  <c r="H31" i="6" s="1"/>
  <c r="AA6" i="3"/>
  <c r="P29" i="1"/>
  <c r="A7" i="3"/>
  <c r="B7" i="3" s="1"/>
  <c r="P7" i="3" s="1"/>
  <c r="Q7" i="3" s="1"/>
  <c r="AD6" i="3"/>
  <c r="P6" i="3"/>
  <c r="Q6" i="3" s="1"/>
  <c r="H71" i="7"/>
  <c r="Z6" i="3"/>
  <c r="H68" i="7"/>
  <c r="H16" i="7"/>
  <c r="P28" i="1"/>
  <c r="H46" i="7"/>
  <c r="D152" i="6"/>
  <c r="H13" i="7"/>
  <c r="R194" i="4"/>
  <c r="P196" i="4"/>
  <c r="D213" i="4"/>
  <c r="F213" i="4" s="1"/>
  <c r="C194" i="6"/>
  <c r="D223" i="4"/>
  <c r="F223" i="4" s="1"/>
  <c r="X111" i="4"/>
  <c r="W111" i="4"/>
  <c r="D108" i="4" s="1"/>
  <c r="D188" i="4"/>
  <c r="F188" i="4" s="1"/>
  <c r="D130" i="6"/>
  <c r="E130" i="6" s="1"/>
  <c r="E129" i="6"/>
  <c r="S28" i="6"/>
  <c r="C193" i="6"/>
  <c r="X236" i="4"/>
  <c r="W236" i="4"/>
  <c r="W201" i="4"/>
  <c r="X201" i="4"/>
  <c r="D198" i="4" s="1"/>
  <c r="D2" i="4"/>
  <c r="C149" i="6" l="1"/>
  <c r="F108" i="7"/>
  <c r="H29" i="6"/>
  <c r="H47" i="7" s="1"/>
  <c r="B191" i="6"/>
  <c r="C155" i="6"/>
  <c r="I29" i="6"/>
  <c r="I47" i="7" s="1"/>
  <c r="C150" i="6"/>
  <c r="B192" i="6"/>
  <c r="B193" i="6"/>
  <c r="H32" i="6"/>
  <c r="I32" i="6"/>
  <c r="C157" i="6"/>
  <c r="C152" i="6"/>
  <c r="C151" i="6"/>
  <c r="G57" i="8"/>
  <c r="G65" i="8"/>
  <c r="G49" i="8"/>
  <c r="G59" i="8"/>
  <c r="G51" i="8"/>
  <c r="G64" i="8"/>
  <c r="G54" i="8"/>
  <c r="G63" i="8"/>
  <c r="G44" i="8"/>
  <c r="G45" i="8"/>
  <c r="G53" i="8"/>
  <c r="G43" i="8"/>
  <c r="G60" i="8"/>
  <c r="G47" i="8"/>
  <c r="G66" i="8"/>
  <c r="G67" i="8"/>
  <c r="G48" i="8"/>
  <c r="K48" i="8" s="1"/>
  <c r="M48" i="8" s="1"/>
  <c r="G52" i="8"/>
  <c r="J52" i="8" s="1"/>
  <c r="G68" i="8"/>
  <c r="J68" i="8" s="1"/>
  <c r="G56" i="8"/>
  <c r="J56" i="8" s="1"/>
  <c r="G50" i="8"/>
  <c r="K50" i="8" s="1"/>
  <c r="G61" i="8"/>
  <c r="K61" i="8" s="1"/>
  <c r="M61" i="8" s="1"/>
  <c r="G46" i="8"/>
  <c r="K46" i="8" s="1"/>
  <c r="M46" i="8" s="1"/>
  <c r="G62" i="8"/>
  <c r="J62" i="8" s="1"/>
  <c r="G58" i="8"/>
  <c r="K58" i="8" s="1"/>
  <c r="M58" i="8" s="1"/>
  <c r="G69" i="8"/>
  <c r="J69" i="8" s="1"/>
  <c r="G55" i="8"/>
  <c r="K55" i="8" s="1"/>
  <c r="M55" i="8" s="1"/>
  <c r="F198" i="4"/>
  <c r="A8" i="3"/>
  <c r="B8" i="3" s="1"/>
  <c r="Z8" i="3" s="1"/>
  <c r="Z7" i="3"/>
  <c r="AD7" i="3"/>
  <c r="AA7" i="3"/>
  <c r="AC7" i="3"/>
  <c r="S194" i="4"/>
  <c r="Q196" i="4"/>
  <c r="F108" i="4"/>
  <c r="D233" i="4"/>
  <c r="F233" i="4" s="1"/>
  <c r="F2" i="4"/>
  <c r="H14" i="7" l="1"/>
  <c r="B194" i="6"/>
  <c r="B190" i="6"/>
  <c r="H30" i="6"/>
  <c r="H48" i="7" s="1"/>
  <c r="S29" i="6"/>
  <c r="I30" i="6"/>
  <c r="I48" i="7" s="1"/>
  <c r="I14" i="7"/>
  <c r="C156" i="6"/>
  <c r="J58" i="8"/>
  <c r="L58" i="8" s="1"/>
  <c r="J61" i="8"/>
  <c r="L61" i="8" s="1"/>
  <c r="J46" i="8"/>
  <c r="L46" i="8" s="1"/>
  <c r="J50" i="8"/>
  <c r="L50" i="8" s="1"/>
  <c r="K62" i="8"/>
  <c r="M62" i="8" s="1"/>
  <c r="K69" i="8"/>
  <c r="M69" i="8" s="1"/>
  <c r="J55" i="8"/>
  <c r="L55" i="8" s="1"/>
  <c r="R5" i="3"/>
  <c r="S5" i="3" s="1"/>
  <c r="T5" i="3" s="1"/>
  <c r="R6" i="3"/>
  <c r="R7" i="3"/>
  <c r="K67" i="8"/>
  <c r="M67" i="8" s="1"/>
  <c r="J67" i="8"/>
  <c r="K43" i="8"/>
  <c r="M43" i="8" s="1"/>
  <c r="J43" i="8"/>
  <c r="J48" i="8"/>
  <c r="L48" i="8" s="1"/>
  <c r="J44" i="8"/>
  <c r="K44" i="8"/>
  <c r="M44" i="8" s="1"/>
  <c r="K54" i="8"/>
  <c r="M54" i="8" s="1"/>
  <c r="J54" i="8"/>
  <c r="K51" i="8"/>
  <c r="M51" i="8" s="1"/>
  <c r="J51" i="8"/>
  <c r="K65" i="8"/>
  <c r="M65" i="8" s="1"/>
  <c r="J65" i="8"/>
  <c r="K66" i="8"/>
  <c r="M66" i="8" s="1"/>
  <c r="J66" i="8"/>
  <c r="J47" i="8"/>
  <c r="K47" i="8"/>
  <c r="M47" i="8" s="1"/>
  <c r="J60" i="8"/>
  <c r="K60" i="8"/>
  <c r="M60" i="8" s="1"/>
  <c r="J53" i="8"/>
  <c r="K53" i="8"/>
  <c r="M53" i="8" s="1"/>
  <c r="K56" i="8"/>
  <c r="M56" i="8" s="1"/>
  <c r="J45" i="8"/>
  <c r="K45" i="8"/>
  <c r="M45" i="8" s="1"/>
  <c r="J63" i="8"/>
  <c r="K63" i="8"/>
  <c r="M63" i="8" s="1"/>
  <c r="K52" i="8"/>
  <c r="M52" i="8" s="1"/>
  <c r="J64" i="8"/>
  <c r="K64" i="8"/>
  <c r="M64" i="8" s="1"/>
  <c r="K68" i="8"/>
  <c r="M68" i="8" s="1"/>
  <c r="J59" i="8"/>
  <c r="K59" i="8"/>
  <c r="K49" i="8"/>
  <c r="M49" i="8" s="1"/>
  <c r="J49" i="8"/>
  <c r="J57" i="8"/>
  <c r="K57" i="8"/>
  <c r="M57" i="8" s="1"/>
  <c r="AC8" i="3"/>
  <c r="A9" i="3"/>
  <c r="B9" i="3" s="1"/>
  <c r="P9" i="3" s="1"/>
  <c r="Q9" i="3" s="1"/>
  <c r="R9" i="3" s="1"/>
  <c r="P8" i="3"/>
  <c r="Q8" i="3" s="1"/>
  <c r="R8" i="3" s="1"/>
  <c r="AD8" i="3"/>
  <c r="AA8" i="3"/>
  <c r="M50" i="8"/>
  <c r="R196" i="4"/>
  <c r="T194" i="4"/>
  <c r="H15" i="7" l="1"/>
  <c r="S30" i="6"/>
  <c r="H33" i="6"/>
  <c r="I15" i="7"/>
  <c r="L49" i="8"/>
  <c r="L65" i="8"/>
  <c r="L67" i="8"/>
  <c r="L51" i="8"/>
  <c r="S6" i="3"/>
  <c r="T6" i="3" s="1"/>
  <c r="L66" i="8"/>
  <c r="L43" i="8"/>
  <c r="L56" i="8"/>
  <c r="L68" i="8"/>
  <c r="L69" i="8"/>
  <c r="L62" i="8"/>
  <c r="L52" i="8"/>
  <c r="L54" i="8"/>
  <c r="L44" i="8"/>
  <c r="L57" i="8"/>
  <c r="L63" i="8"/>
  <c r="L45" i="8"/>
  <c r="L53" i="8"/>
  <c r="L60" i="8"/>
  <c r="L47" i="8"/>
  <c r="L59" i="8"/>
  <c r="M59" i="8"/>
  <c r="L64" i="8"/>
  <c r="AG5" i="3"/>
  <c r="AH5" i="3"/>
  <c r="D5" i="3"/>
  <c r="E5" i="3"/>
  <c r="H5" i="3" s="1"/>
  <c r="K5" i="3" s="1"/>
  <c r="AC9" i="3"/>
  <c r="AA9" i="3"/>
  <c r="AD9" i="3"/>
  <c r="Z9" i="3"/>
  <c r="A10" i="3"/>
  <c r="B10" i="3" s="1"/>
  <c r="A11" i="3" s="1"/>
  <c r="B11" i="3" s="1"/>
  <c r="AC11" i="3" s="1"/>
  <c r="U194" i="4"/>
  <c r="S196" i="4"/>
  <c r="S7" i="3" l="1"/>
  <c r="T7" i="3" s="1"/>
  <c r="V5" i="3"/>
  <c r="AE5" i="3"/>
  <c r="G5" i="3"/>
  <c r="F5" i="3"/>
  <c r="AA10" i="3"/>
  <c r="Z10" i="3"/>
  <c r="AD11" i="3"/>
  <c r="A12" i="3"/>
  <c r="B12" i="3" s="1"/>
  <c r="A13" i="3" s="1"/>
  <c r="B13" i="3" s="1"/>
  <c r="Z11" i="3"/>
  <c r="P11" i="3"/>
  <c r="Q11" i="3" s="1"/>
  <c r="R11" i="3" s="1"/>
  <c r="AA11" i="3"/>
  <c r="AD10" i="3"/>
  <c r="P10" i="3"/>
  <c r="Q10" i="3" s="1"/>
  <c r="R10" i="3" s="1"/>
  <c r="AC10" i="3"/>
  <c r="T196" i="4"/>
  <c r="V194" i="4"/>
  <c r="S8" i="3" l="1"/>
  <c r="T8" i="3" s="1"/>
  <c r="I5" i="3"/>
  <c r="W5" i="3" s="1"/>
  <c r="J5" i="3"/>
  <c r="L5" i="3" s="1"/>
  <c r="M5" i="3"/>
  <c r="N5" i="3" s="1"/>
  <c r="P12" i="3"/>
  <c r="Q12" i="3" s="1"/>
  <c r="R12" i="3" s="1"/>
  <c r="AC12" i="3"/>
  <c r="AA12" i="3"/>
  <c r="AD12" i="3"/>
  <c r="Z12" i="3"/>
  <c r="U196" i="4"/>
  <c r="W194" i="4"/>
  <c r="P13" i="3"/>
  <c r="Q13" i="3" s="1"/>
  <c r="R13" i="3" s="1"/>
  <c r="A14" i="3"/>
  <c r="B14" i="3" s="1"/>
  <c r="AC13" i="3"/>
  <c r="AD13" i="3"/>
  <c r="AA13" i="3"/>
  <c r="Z13" i="3"/>
  <c r="S9" i="3" l="1"/>
  <c r="T9" i="3" s="1"/>
  <c r="U5" i="3"/>
  <c r="D6" i="3" s="1"/>
  <c r="G6" i="3" s="1"/>
  <c r="J6" i="3" s="1"/>
  <c r="AG6" i="3"/>
  <c r="AH6" i="3"/>
  <c r="V196" i="4"/>
  <c r="W196" i="4"/>
  <c r="A15" i="3"/>
  <c r="B15" i="3" s="1"/>
  <c r="P14" i="3"/>
  <c r="Q14" i="3" s="1"/>
  <c r="R14" i="3" s="1"/>
  <c r="AD14" i="3"/>
  <c r="AA14" i="3"/>
  <c r="Z14" i="3"/>
  <c r="AC14" i="3"/>
  <c r="S10" i="3" l="1"/>
  <c r="T10" i="3" s="1"/>
  <c r="E6" i="3"/>
  <c r="H6" i="3" s="1"/>
  <c r="K6" i="3" s="1"/>
  <c r="L6" i="3" s="1"/>
  <c r="D193" i="4"/>
  <c r="AA15" i="3"/>
  <c r="P15" i="3"/>
  <c r="Q15" i="3" s="1"/>
  <c r="R15" i="3" s="1"/>
  <c r="AC15" i="3"/>
  <c r="Z15" i="3"/>
  <c r="AD15" i="3"/>
  <c r="A16" i="3"/>
  <c r="B16" i="3" s="1"/>
  <c r="M6" i="3" l="1"/>
  <c r="N6" i="3" s="1"/>
  <c r="S11" i="3"/>
  <c r="T11" i="3" s="1"/>
  <c r="V6" i="3"/>
  <c r="AE6" i="3"/>
  <c r="F6" i="3"/>
  <c r="I6" i="3"/>
  <c r="F193" i="4"/>
  <c r="AA16" i="3"/>
  <c r="AD16" i="3"/>
  <c r="AC16" i="3"/>
  <c r="P16" i="3"/>
  <c r="Q16" i="3" s="1"/>
  <c r="R16" i="3" s="1"/>
  <c r="Z16" i="3"/>
  <c r="A17" i="3"/>
  <c r="B17" i="3" s="1"/>
  <c r="Y5" i="3"/>
  <c r="U6" i="3" l="1"/>
  <c r="N36" i="1"/>
  <c r="M37" i="6"/>
  <c r="S12" i="3"/>
  <c r="S13" i="3" s="1"/>
  <c r="W6" i="3"/>
  <c r="P17" i="3"/>
  <c r="Q17" i="3" s="1"/>
  <c r="R17" i="3" s="1"/>
  <c r="A18" i="3"/>
  <c r="B18" i="3" s="1"/>
  <c r="AC17" i="3"/>
  <c r="Z17" i="3"/>
  <c r="AD17" i="3"/>
  <c r="AA17" i="3"/>
  <c r="E7" i="3" l="1"/>
  <c r="H7" i="3" s="1"/>
  <c r="K7" i="3" s="1"/>
  <c r="T12" i="3"/>
  <c r="AH7" i="3"/>
  <c r="AG7" i="3"/>
  <c r="D7" i="3"/>
  <c r="G7" i="3" s="1"/>
  <c r="S14" i="3"/>
  <c r="T13" i="3"/>
  <c r="AA18" i="3"/>
  <c r="P18" i="3"/>
  <c r="Q18" i="3" s="1"/>
  <c r="R18" i="3" s="1"/>
  <c r="AC18" i="3"/>
  <c r="A19" i="3"/>
  <c r="B19" i="3" s="1"/>
  <c r="AD18" i="3"/>
  <c r="Z18" i="3"/>
  <c r="M7" i="3" l="1"/>
  <c r="N7" i="3" s="1"/>
  <c r="J7" i="3"/>
  <c r="L7" i="3" s="1"/>
  <c r="I7" i="3"/>
  <c r="F7" i="3"/>
  <c r="S15" i="3"/>
  <c r="T14" i="3"/>
  <c r="P19" i="3"/>
  <c r="Q19" i="3" s="1"/>
  <c r="R19" i="3" s="1"/>
  <c r="A20" i="3"/>
  <c r="B20" i="3" s="1"/>
  <c r="Z19" i="3"/>
  <c r="AD19" i="3"/>
  <c r="AA19" i="3"/>
  <c r="AC19" i="3"/>
  <c r="V7" i="3"/>
  <c r="AE7" i="3"/>
  <c r="W7" i="3" l="1"/>
  <c r="AH8" i="3" s="1"/>
  <c r="T15" i="3"/>
  <c r="S16" i="3"/>
  <c r="U7" i="3"/>
  <c r="Y6" i="3"/>
  <c r="P20" i="3"/>
  <c r="Q20" i="3" s="1"/>
  <c r="R20" i="3" s="1"/>
  <c r="A21" i="3"/>
  <c r="B21" i="3" s="1"/>
  <c r="AA20" i="3"/>
  <c r="Z20" i="3"/>
  <c r="AD20" i="3"/>
  <c r="AC20" i="3"/>
  <c r="AG8" i="3" l="1"/>
  <c r="D8" i="3"/>
  <c r="G8" i="3" s="1"/>
  <c r="T16" i="3"/>
  <c r="S17" i="3"/>
  <c r="E8" i="3"/>
  <c r="H8" i="3" s="1"/>
  <c r="K8" i="3" s="1"/>
  <c r="AD21" i="3"/>
  <c r="P21" i="3"/>
  <c r="Q21" i="3" s="1"/>
  <c r="R21" i="3" s="1"/>
  <c r="AC21" i="3"/>
  <c r="AA21" i="3"/>
  <c r="Z21" i="3"/>
  <c r="A22" i="3"/>
  <c r="B22" i="3" s="1"/>
  <c r="T17" i="3" l="1"/>
  <c r="S18" i="3"/>
  <c r="F8" i="3"/>
  <c r="AC22" i="3"/>
  <c r="A23" i="3"/>
  <c r="B23" i="3" s="1"/>
  <c r="AD22" i="3"/>
  <c r="AA22" i="3"/>
  <c r="Z22" i="3"/>
  <c r="P22" i="3"/>
  <c r="Q22" i="3" s="1"/>
  <c r="R22" i="3" s="1"/>
  <c r="I8" i="3"/>
  <c r="J8" i="3"/>
  <c r="M8" i="3"/>
  <c r="N8" i="3" s="1"/>
  <c r="V8" i="3"/>
  <c r="AE8" i="3"/>
  <c r="S19" i="3" l="1"/>
  <c r="T18" i="3"/>
  <c r="W8" i="3"/>
  <c r="A24" i="3"/>
  <c r="B24" i="3" s="1"/>
  <c r="Z23" i="3"/>
  <c r="AA23" i="3"/>
  <c r="AC23" i="3"/>
  <c r="AD23" i="3"/>
  <c r="P23" i="3"/>
  <c r="Q23" i="3" s="1"/>
  <c r="R23" i="3" s="1"/>
  <c r="L8" i="3"/>
  <c r="S20" i="3" l="1"/>
  <c r="T19" i="3"/>
  <c r="U8" i="3"/>
  <c r="D9" i="3" s="1"/>
  <c r="AH9" i="3"/>
  <c r="AG9" i="3"/>
  <c r="Y7" i="3"/>
  <c r="AA24" i="3"/>
  <c r="Z24" i="3"/>
  <c r="AC24" i="3"/>
  <c r="AD24" i="3"/>
  <c r="A25" i="3"/>
  <c r="B25" i="3" s="1"/>
  <c r="P24" i="3"/>
  <c r="Q24" i="3" s="1"/>
  <c r="R24" i="3" s="1"/>
  <c r="S21" i="3" l="1"/>
  <c r="T20" i="3"/>
  <c r="E9" i="3"/>
  <c r="H9" i="3" s="1"/>
  <c r="K9" i="3" s="1"/>
  <c r="P25" i="3"/>
  <c r="Q25" i="3" s="1"/>
  <c r="R25" i="3" s="1"/>
  <c r="Z25" i="3"/>
  <c r="A26" i="3"/>
  <c r="B26" i="3" s="1"/>
  <c r="AC25" i="3"/>
  <c r="AA25" i="3"/>
  <c r="AD25" i="3"/>
  <c r="G9" i="3"/>
  <c r="T21" i="3" l="1"/>
  <c r="S22" i="3"/>
  <c r="F9" i="3"/>
  <c r="AD26" i="3"/>
  <c r="P26" i="3"/>
  <c r="Q26" i="3" s="1"/>
  <c r="R26" i="3" s="1"/>
  <c r="A27" i="3"/>
  <c r="B27" i="3" s="1"/>
  <c r="AA26" i="3"/>
  <c r="Z26" i="3"/>
  <c r="AC26" i="3"/>
  <c r="V9" i="3"/>
  <c r="AE9" i="3"/>
  <c r="I9" i="3"/>
  <c r="J9" i="3"/>
  <c r="M9" i="3"/>
  <c r="N9" i="3" s="1"/>
  <c r="T22" i="3" l="1"/>
  <c r="S23" i="3"/>
  <c r="W9" i="3"/>
  <c r="P27" i="3"/>
  <c r="Q27" i="3" s="1"/>
  <c r="R27" i="3" s="1"/>
  <c r="Z27" i="3"/>
  <c r="AA27" i="3"/>
  <c r="AD27" i="3"/>
  <c r="A28" i="3"/>
  <c r="B28" i="3" s="1"/>
  <c r="AC27" i="3"/>
  <c r="L9" i="3"/>
  <c r="S24" i="3" l="1"/>
  <c r="T23" i="3"/>
  <c r="Z28" i="3"/>
  <c r="P28" i="3"/>
  <c r="Q28" i="3" s="1"/>
  <c r="R28" i="3" s="1"/>
  <c r="A29" i="3"/>
  <c r="B29" i="3" s="1"/>
  <c r="AA28" i="3"/>
  <c r="AC28" i="3"/>
  <c r="AD28" i="3"/>
  <c r="AH10" i="3"/>
  <c r="U9" i="3"/>
  <c r="E10" i="3" s="1"/>
  <c r="H10" i="3" s="1"/>
  <c r="AG10" i="3"/>
  <c r="Y8" i="3"/>
  <c r="S25" i="3" l="1"/>
  <c r="T24" i="3"/>
  <c r="K10" i="3"/>
  <c r="AC29" i="3"/>
  <c r="P29" i="3"/>
  <c r="Q29" i="3" s="1"/>
  <c r="R29" i="3" s="1"/>
  <c r="A30" i="3"/>
  <c r="B30" i="3" s="1"/>
  <c r="AD29" i="3"/>
  <c r="Z29" i="3"/>
  <c r="AA29" i="3"/>
  <c r="D10" i="3"/>
  <c r="T25" i="3" l="1"/>
  <c r="S26" i="3"/>
  <c r="Z30" i="3"/>
  <c r="P30" i="3"/>
  <c r="Q30" i="3" s="1"/>
  <c r="R30" i="3" s="1"/>
  <c r="AC30" i="3"/>
  <c r="AA30" i="3"/>
  <c r="AD30" i="3"/>
  <c r="A31" i="3"/>
  <c r="B31" i="3" s="1"/>
  <c r="F10" i="3"/>
  <c r="G10" i="3"/>
  <c r="V10" i="3"/>
  <c r="AE10" i="3"/>
  <c r="T26" i="3" l="1"/>
  <c r="S27" i="3"/>
  <c r="I10" i="3"/>
  <c r="W10" i="3" s="1"/>
  <c r="J10" i="3"/>
  <c r="M10" i="3"/>
  <c r="N10" i="3" s="1"/>
  <c r="AC31" i="3"/>
  <c r="A32" i="3"/>
  <c r="B32" i="3" s="1"/>
  <c r="Z31" i="3"/>
  <c r="P31" i="3"/>
  <c r="Q31" i="3" s="1"/>
  <c r="R31" i="3" s="1"/>
  <c r="AD31" i="3"/>
  <c r="AA31" i="3"/>
  <c r="S28" i="3" l="1"/>
  <c r="T27" i="3"/>
  <c r="A33" i="3"/>
  <c r="B33" i="3" s="1"/>
  <c r="Z32" i="3"/>
  <c r="P32" i="3"/>
  <c r="Q32" i="3" s="1"/>
  <c r="R32" i="3" s="1"/>
  <c r="AD32" i="3"/>
  <c r="AC32" i="3"/>
  <c r="AA32" i="3"/>
  <c r="L10" i="3"/>
  <c r="S29" i="3" l="1"/>
  <c r="T28" i="3"/>
  <c r="P33" i="3"/>
  <c r="Q33" i="3" s="1"/>
  <c r="R33" i="3" s="1"/>
  <c r="AC33" i="3"/>
  <c r="A34" i="3"/>
  <c r="B34" i="3" s="1"/>
  <c r="AA33" i="3"/>
  <c r="Z33" i="3"/>
  <c r="AD33" i="3"/>
  <c r="AG11" i="3"/>
  <c r="AH11" i="3"/>
  <c r="U10" i="3"/>
  <c r="E11" i="3" s="1"/>
  <c r="H11" i="3" s="1"/>
  <c r="Y9" i="3"/>
  <c r="T29" i="3" l="1"/>
  <c r="S30" i="3"/>
  <c r="K11" i="3"/>
  <c r="Z34" i="3"/>
  <c r="P34" i="3"/>
  <c r="Q34" i="3" s="1"/>
  <c r="R34" i="3" s="1"/>
  <c r="AC34" i="3"/>
  <c r="A35" i="3"/>
  <c r="B35" i="3" s="1"/>
  <c r="AA34" i="3"/>
  <c r="D11" i="3"/>
  <c r="S31" i="3" l="1"/>
  <c r="T30" i="3"/>
  <c r="V11" i="3"/>
  <c r="AE11" i="3"/>
  <c r="A36" i="3"/>
  <c r="B36" i="3" s="1"/>
  <c r="Z35" i="3"/>
  <c r="AD35" i="3"/>
  <c r="AA35" i="3"/>
  <c r="AC35" i="3"/>
  <c r="P35" i="3"/>
  <c r="Q35" i="3" s="1"/>
  <c r="R35" i="3" s="1"/>
  <c r="F11" i="3"/>
  <c r="G11" i="3"/>
  <c r="T31" i="3" l="1"/>
  <c r="S32" i="3"/>
  <c r="AD36" i="3"/>
  <c r="AA36" i="3"/>
  <c r="P36" i="3"/>
  <c r="Q36" i="3" s="1"/>
  <c r="R36" i="3" s="1"/>
  <c r="Z36" i="3"/>
  <c r="A37" i="3"/>
  <c r="B37" i="3" s="1"/>
  <c r="AC36" i="3"/>
  <c r="I11" i="3"/>
  <c r="W11" i="3" s="1"/>
  <c r="J11" i="3"/>
  <c r="M11" i="3"/>
  <c r="N11" i="3" s="1"/>
  <c r="T32" i="3" l="1"/>
  <c r="S33" i="3"/>
  <c r="AD37" i="3"/>
  <c r="Z37" i="3"/>
  <c r="AA37" i="3"/>
  <c r="AC37" i="3"/>
  <c r="P37" i="3"/>
  <c r="Q37" i="3" s="1"/>
  <c r="R37" i="3" s="1"/>
  <c r="A38" i="3"/>
  <c r="B38" i="3" s="1"/>
  <c r="L11" i="3"/>
  <c r="S34" i="3" l="1"/>
  <c r="T33" i="3"/>
  <c r="P38" i="3"/>
  <c r="Q38" i="3" s="1"/>
  <c r="R38" i="3" s="1"/>
  <c r="A39" i="3"/>
  <c r="B39" i="3" s="1"/>
  <c r="AC38" i="3"/>
  <c r="AA38" i="3"/>
  <c r="AD38" i="3"/>
  <c r="Z38" i="3"/>
  <c r="AH12" i="3"/>
  <c r="U11" i="3"/>
  <c r="E12" i="3" s="1"/>
  <c r="H12" i="3" s="1"/>
  <c r="AG12" i="3"/>
  <c r="Y10" i="3"/>
  <c r="S35" i="3" l="1"/>
  <c r="T34" i="3"/>
  <c r="D12" i="3"/>
  <c r="G12" i="3" s="1"/>
  <c r="K12" i="3"/>
  <c r="AC39" i="3"/>
  <c r="P39" i="3"/>
  <c r="Q39" i="3" s="1"/>
  <c r="R39" i="3" s="1"/>
  <c r="AD39" i="3"/>
  <c r="Z39" i="3"/>
  <c r="A40" i="3"/>
  <c r="B40" i="3" s="1"/>
  <c r="AA39" i="3"/>
  <c r="T35" i="3" l="1"/>
  <c r="S36" i="3"/>
  <c r="F12" i="3"/>
  <c r="P40" i="3"/>
  <c r="Q40" i="3" s="1"/>
  <c r="R40" i="3" s="1"/>
  <c r="AA40" i="3"/>
  <c r="A41" i="3"/>
  <c r="B41" i="3" s="1"/>
  <c r="AC40" i="3"/>
  <c r="Z40" i="3"/>
  <c r="AD40" i="3"/>
  <c r="V12" i="3"/>
  <c r="AE12" i="3"/>
  <c r="I12" i="3"/>
  <c r="J12" i="3"/>
  <c r="M12" i="3"/>
  <c r="N12" i="3" s="1"/>
  <c r="T36" i="3" l="1"/>
  <c r="S37" i="3"/>
  <c r="W12" i="3"/>
  <c r="P41" i="3"/>
  <c r="Q41" i="3" s="1"/>
  <c r="R41" i="3" s="1"/>
  <c r="AC41" i="3"/>
  <c r="A42" i="3"/>
  <c r="B42" i="3" s="1"/>
  <c r="AA41" i="3"/>
  <c r="Z41" i="3"/>
  <c r="AD41" i="3"/>
  <c r="L12" i="3"/>
  <c r="S38" i="3" l="1"/>
  <c r="T37" i="3"/>
  <c r="AG13" i="3"/>
  <c r="U12" i="3"/>
  <c r="E13" i="3" s="1"/>
  <c r="H13" i="3" s="1"/>
  <c r="AH13" i="3"/>
  <c r="Y11" i="3"/>
  <c r="P42" i="3"/>
  <c r="Q42" i="3" s="1"/>
  <c r="R42" i="3" s="1"/>
  <c r="Z42" i="3"/>
  <c r="AA42" i="3"/>
  <c r="A43" i="3"/>
  <c r="B43" i="3" s="1"/>
  <c r="AD42" i="3"/>
  <c r="AC42" i="3"/>
  <c r="S39" i="3" l="1"/>
  <c r="T38" i="3"/>
  <c r="D13" i="3"/>
  <c r="F13" i="3" s="1"/>
  <c r="K13" i="3"/>
  <c r="AC43" i="3"/>
  <c r="P43" i="3"/>
  <c r="Q43" i="3" s="1"/>
  <c r="R43" i="3" s="1"/>
  <c r="AD43" i="3"/>
  <c r="Z43" i="3"/>
  <c r="A44" i="3"/>
  <c r="B44" i="3" s="1"/>
  <c r="AA43" i="3"/>
  <c r="S40" i="3" l="1"/>
  <c r="T39" i="3"/>
  <c r="G13" i="3"/>
  <c r="I13" i="3" s="1"/>
  <c r="AA44" i="3"/>
  <c r="P44" i="3"/>
  <c r="Q44" i="3" s="1"/>
  <c r="R44" i="3" s="1"/>
  <c r="A45" i="3"/>
  <c r="B45" i="3" s="1"/>
  <c r="Z44" i="3"/>
  <c r="AC44" i="3"/>
  <c r="V13" i="3"/>
  <c r="AE13" i="3"/>
  <c r="S41" i="3" l="1"/>
  <c r="T40" i="3"/>
  <c r="J13" i="3"/>
  <c r="L13" i="3" s="1"/>
  <c r="M13" i="3"/>
  <c r="N13" i="3" s="1"/>
  <c r="P45" i="3"/>
  <c r="Q45" i="3" s="1"/>
  <c r="R45" i="3" s="1"/>
  <c r="A46" i="3"/>
  <c r="B46" i="3" s="1"/>
  <c r="AA45" i="3"/>
  <c r="AD45" i="3"/>
  <c r="Z45" i="3"/>
  <c r="AC45" i="3"/>
  <c r="W13" i="3"/>
  <c r="T41" i="3" l="1"/>
  <c r="S42" i="3"/>
  <c r="P46" i="3"/>
  <c r="Q46" i="3" s="1"/>
  <c r="R46" i="3" s="1"/>
  <c r="AA46" i="3"/>
  <c r="AD46" i="3"/>
  <c r="A47" i="3"/>
  <c r="B47" i="3" s="1"/>
  <c r="Z46" i="3"/>
  <c r="AC46" i="3"/>
  <c r="AH14" i="3"/>
  <c r="AG14" i="3"/>
  <c r="U13" i="3"/>
  <c r="D14" i="3" s="1"/>
  <c r="Y12" i="3"/>
  <c r="S43" i="3" l="1"/>
  <c r="T42" i="3"/>
  <c r="E14" i="3"/>
  <c r="H14" i="3" s="1"/>
  <c r="K14" i="3" s="1"/>
  <c r="AD47" i="3"/>
  <c r="AA47" i="3"/>
  <c r="P47" i="3"/>
  <c r="Q47" i="3" s="1"/>
  <c r="R47" i="3" s="1"/>
  <c r="A48" i="3"/>
  <c r="B48" i="3" s="1"/>
  <c r="Z47" i="3"/>
  <c r="AC47" i="3"/>
  <c r="G14" i="3"/>
  <c r="S44" i="3" l="1"/>
  <c r="T43" i="3"/>
  <c r="F14" i="3"/>
  <c r="AC48" i="3"/>
  <c r="Z48" i="3"/>
  <c r="AA48" i="3"/>
  <c r="A49" i="3"/>
  <c r="B49" i="3" s="1"/>
  <c r="AD48" i="3"/>
  <c r="P48" i="3"/>
  <c r="Q48" i="3" s="1"/>
  <c r="R48" i="3" s="1"/>
  <c r="V14" i="3"/>
  <c r="AE14" i="3"/>
  <c r="I14" i="3"/>
  <c r="J14" i="3"/>
  <c r="M14" i="3"/>
  <c r="N14" i="3" s="1"/>
  <c r="S45" i="3" l="1"/>
  <c r="T44" i="3"/>
  <c r="A50" i="3"/>
  <c r="B50" i="3" s="1"/>
  <c r="P49" i="3"/>
  <c r="Q49" i="3" s="1"/>
  <c r="R49" i="3" s="1"/>
  <c r="AC49" i="3"/>
  <c r="AD49" i="3"/>
  <c r="AA49" i="3"/>
  <c r="Z49" i="3"/>
  <c r="W14" i="3"/>
  <c r="L14" i="3"/>
  <c r="T45" i="3" l="1"/>
  <c r="S46" i="3"/>
  <c r="U14" i="3"/>
  <c r="E15" i="3" s="1"/>
  <c r="H15" i="3" s="1"/>
  <c r="AG15" i="3"/>
  <c r="AH15" i="3"/>
  <c r="Y13" i="3"/>
  <c r="Z50" i="3"/>
  <c r="AA50" i="3"/>
  <c r="P50" i="3"/>
  <c r="Q50" i="3" s="1"/>
  <c r="R50" i="3" s="1"/>
  <c r="A51" i="3"/>
  <c r="B51" i="3" s="1"/>
  <c r="AD50" i="3"/>
  <c r="AC50" i="3"/>
  <c r="T46" i="3" l="1"/>
  <c r="S47" i="3"/>
  <c r="D15" i="3"/>
  <c r="F15" i="3" s="1"/>
  <c r="AD51" i="3"/>
  <c r="A52" i="3"/>
  <c r="B52" i="3" s="1"/>
  <c r="P51" i="3"/>
  <c r="Q51" i="3" s="1"/>
  <c r="R51" i="3" s="1"/>
  <c r="AA51" i="3"/>
  <c r="Z51" i="3"/>
  <c r="AC51" i="3"/>
  <c r="K15" i="3"/>
  <c r="T47" i="3" l="1"/>
  <c r="S48" i="3"/>
  <c r="G15" i="3"/>
  <c r="I15" i="3" s="1"/>
  <c r="A53" i="3"/>
  <c r="B53" i="3" s="1"/>
  <c r="AC52" i="3"/>
  <c r="P52" i="3"/>
  <c r="Q52" i="3" s="1"/>
  <c r="R52" i="3" s="1"/>
  <c r="AA52" i="3"/>
  <c r="AD52" i="3"/>
  <c r="Z52" i="3"/>
  <c r="V15" i="3"/>
  <c r="AE15" i="3"/>
  <c r="T48" i="3" l="1"/>
  <c r="S49" i="3"/>
  <c r="J15" i="3"/>
  <c r="L15" i="3" s="1"/>
  <c r="M15" i="3"/>
  <c r="N15" i="3" s="1"/>
  <c r="A54" i="3"/>
  <c r="B54" i="3" s="1"/>
  <c r="AD53" i="3"/>
  <c r="P53" i="3"/>
  <c r="Q53" i="3" s="1"/>
  <c r="R53" i="3" s="1"/>
  <c r="AA53" i="3"/>
  <c r="AC53" i="3"/>
  <c r="Z53" i="3"/>
  <c r="W15" i="3"/>
  <c r="S50" i="3" l="1"/>
  <c r="T49" i="3"/>
  <c r="AC54" i="3"/>
  <c r="P54" i="3"/>
  <c r="Q54" i="3" s="1"/>
  <c r="R54" i="3" s="1"/>
  <c r="A55" i="3"/>
  <c r="B55" i="3" s="1"/>
  <c r="AA54" i="3"/>
  <c r="Z54" i="3"/>
  <c r="AD54" i="3"/>
  <c r="U15" i="3"/>
  <c r="D16" i="3" s="1"/>
  <c r="AG16" i="3"/>
  <c r="AH16" i="3"/>
  <c r="Y14" i="3"/>
  <c r="S51" i="3" l="1"/>
  <c r="T50" i="3"/>
  <c r="E16" i="3"/>
  <c r="H16" i="3" s="1"/>
  <c r="K16" i="3" s="1"/>
  <c r="G16" i="3"/>
  <c r="P55" i="3"/>
  <c r="Q55" i="3" s="1"/>
  <c r="R55" i="3" s="1"/>
  <c r="A56" i="3"/>
  <c r="B56" i="3" s="1"/>
  <c r="AC55" i="3"/>
  <c r="AA55" i="3"/>
  <c r="Z55" i="3"/>
  <c r="AD55" i="3"/>
  <c r="T51" i="3" l="1"/>
  <c r="S52" i="3"/>
  <c r="F16" i="3"/>
  <c r="P56" i="3"/>
  <c r="Q56" i="3" s="1"/>
  <c r="R56" i="3" s="1"/>
  <c r="AA56" i="3"/>
  <c r="A57" i="3"/>
  <c r="B57" i="3" s="1"/>
  <c r="AD56" i="3"/>
  <c r="Z56" i="3"/>
  <c r="AC56" i="3"/>
  <c r="I16" i="3"/>
  <c r="J16" i="3"/>
  <c r="M16" i="3"/>
  <c r="N16" i="3" s="1"/>
  <c r="V16" i="3"/>
  <c r="AE16" i="3"/>
  <c r="S53" i="3" l="1"/>
  <c r="T52" i="3"/>
  <c r="AD57" i="3"/>
  <c r="AA57" i="3"/>
  <c r="A58" i="3"/>
  <c r="B58" i="3" s="1"/>
  <c r="AC57" i="3"/>
  <c r="P57" i="3"/>
  <c r="Q57" i="3" s="1"/>
  <c r="R57" i="3" s="1"/>
  <c r="Z57" i="3"/>
  <c r="L16" i="3"/>
  <c r="W16" i="3"/>
  <c r="S54" i="3" l="1"/>
  <c r="T53" i="3"/>
  <c r="Z58" i="3"/>
  <c r="AD58" i="3"/>
  <c r="AA58" i="3"/>
  <c r="P58" i="3"/>
  <c r="Q58" i="3" s="1"/>
  <c r="R58" i="3" s="1"/>
  <c r="A59" i="3"/>
  <c r="B59" i="3" s="1"/>
  <c r="AC58" i="3"/>
  <c r="U16" i="3"/>
  <c r="D17" i="3" s="1"/>
  <c r="AG17" i="3"/>
  <c r="AH17" i="3"/>
  <c r="Y15" i="3"/>
  <c r="S55" i="3" l="1"/>
  <c r="T54" i="3"/>
  <c r="G17" i="3"/>
  <c r="P59" i="3"/>
  <c r="Q59" i="3" s="1"/>
  <c r="R59" i="3" s="1"/>
  <c r="A60" i="3"/>
  <c r="B60" i="3" s="1"/>
  <c r="AC59" i="3"/>
  <c r="AD59" i="3"/>
  <c r="Z59" i="3"/>
  <c r="AA59" i="3"/>
  <c r="E17" i="3"/>
  <c r="H17" i="3" s="1"/>
  <c r="S56" i="3" l="1"/>
  <c r="T55" i="3"/>
  <c r="AC60" i="3"/>
  <c r="AD60" i="3"/>
  <c r="Z60" i="3"/>
  <c r="P60" i="3"/>
  <c r="Q60" i="3" s="1"/>
  <c r="R60" i="3" s="1"/>
  <c r="A61" i="3"/>
  <c r="B61" i="3" s="1"/>
  <c r="AA60" i="3"/>
  <c r="F17" i="3"/>
  <c r="I17" i="3"/>
  <c r="J17" i="3"/>
  <c r="M17" i="3"/>
  <c r="N17" i="3" s="1"/>
  <c r="K17" i="3"/>
  <c r="S57" i="3" l="1"/>
  <c r="T56" i="3"/>
  <c r="A62" i="3"/>
  <c r="B62" i="3" s="1"/>
  <c r="Z61" i="3"/>
  <c r="AD61" i="3"/>
  <c r="AC61" i="3"/>
  <c r="P61" i="3"/>
  <c r="Q61" i="3" s="1"/>
  <c r="R61" i="3" s="1"/>
  <c r="AA61" i="3"/>
  <c r="V17" i="3"/>
  <c r="W17" i="3" s="1"/>
  <c r="AE17" i="3"/>
  <c r="L17" i="3"/>
  <c r="S58" i="3" l="1"/>
  <c r="T57" i="3"/>
  <c r="AD62" i="3"/>
  <c r="P62" i="3"/>
  <c r="Q62" i="3" s="1"/>
  <c r="R62" i="3" s="1"/>
  <c r="Z62" i="3"/>
  <c r="AA62" i="3"/>
  <c r="AC62" i="3"/>
  <c r="A63" i="3"/>
  <c r="B63" i="3" s="1"/>
  <c r="U17" i="3"/>
  <c r="E18" i="3" s="1"/>
  <c r="H18" i="3" s="1"/>
  <c r="AG18" i="3"/>
  <c r="AH18" i="3"/>
  <c r="Y16" i="3"/>
  <c r="S59" i="3" l="1"/>
  <c r="T58" i="3"/>
  <c r="D18" i="3"/>
  <c r="G18" i="3" s="1"/>
  <c r="K18" i="3"/>
  <c r="AC63" i="3"/>
  <c r="AA63" i="3"/>
  <c r="A64" i="3"/>
  <c r="B64" i="3" s="1"/>
  <c r="AD63" i="3"/>
  <c r="P63" i="3"/>
  <c r="Q63" i="3" s="1"/>
  <c r="R63" i="3" s="1"/>
  <c r="Z63" i="3"/>
  <c r="T59" i="3" l="1"/>
  <c r="S60" i="3"/>
  <c r="F18" i="3"/>
  <c r="I18" i="3"/>
  <c r="J18" i="3"/>
  <c r="M18" i="3"/>
  <c r="N18" i="3" s="1"/>
  <c r="A65" i="3"/>
  <c r="B65" i="3" s="1"/>
  <c r="Z64" i="3"/>
  <c r="AA64" i="3"/>
  <c r="AC64" i="3"/>
  <c r="AD64" i="3"/>
  <c r="P64" i="3"/>
  <c r="Q64" i="3" s="1"/>
  <c r="R64" i="3" s="1"/>
  <c r="V18" i="3"/>
  <c r="AE18" i="3"/>
  <c r="T60" i="3" l="1"/>
  <c r="S61" i="3"/>
  <c r="Z65" i="3"/>
  <c r="AA65" i="3"/>
  <c r="A66" i="3"/>
  <c r="B66" i="3" s="1"/>
  <c r="AC65" i="3"/>
  <c r="P65" i="3"/>
  <c r="Q65" i="3" s="1"/>
  <c r="R65" i="3" s="1"/>
  <c r="AD65" i="3"/>
  <c r="L18" i="3"/>
  <c r="W18" i="3"/>
  <c r="T61" i="3" l="1"/>
  <c r="S62" i="3"/>
  <c r="A67" i="3"/>
  <c r="B67" i="3" s="1"/>
  <c r="P66" i="3"/>
  <c r="Q66" i="3" s="1"/>
  <c r="R66" i="3" s="1"/>
  <c r="AC66" i="3"/>
  <c r="Z66" i="3"/>
  <c r="AD66" i="3"/>
  <c r="AA66" i="3"/>
  <c r="U18" i="3"/>
  <c r="D19" i="3" s="1"/>
  <c r="AH19" i="3"/>
  <c r="AG19" i="3"/>
  <c r="Y17" i="3"/>
  <c r="S63" i="3" l="1"/>
  <c r="T62" i="3"/>
  <c r="G19" i="3"/>
  <c r="E19" i="3"/>
  <c r="H19" i="3" s="1"/>
  <c r="AA67" i="3"/>
  <c r="Z67" i="3"/>
  <c r="AD67" i="3"/>
  <c r="AC67" i="3"/>
  <c r="P67" i="3"/>
  <c r="Q67" i="3" s="1"/>
  <c r="R67" i="3" s="1"/>
  <c r="A68" i="3"/>
  <c r="B68" i="3" s="1"/>
  <c r="T63" i="3" l="1"/>
  <c r="S64" i="3"/>
  <c r="F19" i="3"/>
  <c r="AD68" i="3"/>
  <c r="AC68" i="3"/>
  <c r="Z68" i="3"/>
  <c r="AA68" i="3"/>
  <c r="A69" i="3"/>
  <c r="B69" i="3" s="1"/>
  <c r="P68" i="3"/>
  <c r="Q68" i="3" s="1"/>
  <c r="R68" i="3" s="1"/>
  <c r="I19" i="3"/>
  <c r="J19" i="3"/>
  <c r="M19" i="3"/>
  <c r="N19" i="3" s="1"/>
  <c r="K19" i="3"/>
  <c r="S65" i="3" l="1"/>
  <c r="T64" i="3"/>
  <c r="Z69" i="3"/>
  <c r="AC69" i="3"/>
  <c r="P69" i="3"/>
  <c r="Q69" i="3" s="1"/>
  <c r="R69" i="3" s="1"/>
  <c r="AA69" i="3"/>
  <c r="AD69" i="3"/>
  <c r="A70" i="3"/>
  <c r="B70" i="3" s="1"/>
  <c r="V19" i="3"/>
  <c r="W19" i="3" s="1"/>
  <c r="AE19" i="3"/>
  <c r="L19" i="3"/>
  <c r="T65" i="3" l="1"/>
  <c r="S66" i="3"/>
  <c r="AH20" i="3"/>
  <c r="U19" i="3"/>
  <c r="E20" i="3" s="1"/>
  <c r="H20" i="3" s="1"/>
  <c r="AG20" i="3"/>
  <c r="Y18" i="3"/>
  <c r="A71" i="3"/>
  <c r="B71" i="3" s="1"/>
  <c r="AC70" i="3"/>
  <c r="AA70" i="3"/>
  <c r="AD70" i="3"/>
  <c r="P70" i="3"/>
  <c r="Q70" i="3" s="1"/>
  <c r="R70" i="3" s="1"/>
  <c r="Z70" i="3"/>
  <c r="S67" i="3" l="1"/>
  <c r="T66" i="3"/>
  <c r="D20" i="3"/>
  <c r="G20" i="3" s="1"/>
  <c r="K20" i="3"/>
  <c r="AA71" i="3"/>
  <c r="A72" i="3"/>
  <c r="B72" i="3" s="1"/>
  <c r="AC71" i="3"/>
  <c r="Z71" i="3"/>
  <c r="AD71" i="3"/>
  <c r="P71" i="3"/>
  <c r="Q71" i="3" s="1"/>
  <c r="R71" i="3" s="1"/>
  <c r="S68" i="3" l="1"/>
  <c r="T67" i="3"/>
  <c r="F20" i="3"/>
  <c r="A73" i="3"/>
  <c r="B73" i="3" s="1"/>
  <c r="Z72" i="3"/>
  <c r="P72" i="3"/>
  <c r="Q72" i="3" s="1"/>
  <c r="R72" i="3" s="1"/>
  <c r="AD72" i="3"/>
  <c r="AA72" i="3"/>
  <c r="AC72" i="3"/>
  <c r="V20" i="3"/>
  <c r="AE20" i="3"/>
  <c r="I20" i="3"/>
  <c r="J20" i="3"/>
  <c r="M20" i="3"/>
  <c r="N20" i="3" s="1"/>
  <c r="S69" i="3" l="1"/>
  <c r="T68" i="3"/>
  <c r="AC73" i="3"/>
  <c r="A74" i="3"/>
  <c r="B74" i="3" s="1"/>
  <c r="Z73" i="3"/>
  <c r="AA73" i="3"/>
  <c r="AD73" i="3"/>
  <c r="P73" i="3"/>
  <c r="Q73" i="3" s="1"/>
  <c r="R73" i="3" s="1"/>
  <c r="L20" i="3"/>
  <c r="W20" i="3"/>
  <c r="T69" i="3" l="1"/>
  <c r="S70" i="3"/>
  <c r="AD74" i="3"/>
  <c r="P74" i="3"/>
  <c r="Q74" i="3" s="1"/>
  <c r="R74" i="3" s="1"/>
  <c r="AC74" i="3"/>
  <c r="A75" i="3"/>
  <c r="B75" i="3" s="1"/>
  <c r="AA74" i="3"/>
  <c r="Z74" i="3"/>
  <c r="AG21" i="3"/>
  <c r="U20" i="3"/>
  <c r="E21" i="3" s="1"/>
  <c r="H21" i="3" s="1"/>
  <c r="AH21" i="3"/>
  <c r="Y19" i="3"/>
  <c r="T70" i="3" l="1"/>
  <c r="S71" i="3"/>
  <c r="D21" i="3"/>
  <c r="G21" i="3" s="1"/>
  <c r="K21" i="3"/>
  <c r="P75" i="3"/>
  <c r="Q75" i="3" s="1"/>
  <c r="R75" i="3" s="1"/>
  <c r="Z75" i="3"/>
  <c r="A76" i="3"/>
  <c r="B76" i="3" s="1"/>
  <c r="AA75" i="3"/>
  <c r="AC75" i="3"/>
  <c r="AD75" i="3"/>
  <c r="S72" i="3" l="1"/>
  <c r="T71" i="3"/>
  <c r="F21" i="3"/>
  <c r="AC76" i="3"/>
  <c r="Z76" i="3"/>
  <c r="AD76" i="3"/>
  <c r="AA76" i="3"/>
  <c r="A77" i="3"/>
  <c r="B77" i="3" s="1"/>
  <c r="P76" i="3"/>
  <c r="Q76" i="3" s="1"/>
  <c r="R76" i="3" s="1"/>
  <c r="I21" i="3"/>
  <c r="J21" i="3"/>
  <c r="M21" i="3"/>
  <c r="N21" i="3" s="1"/>
  <c r="V21" i="3"/>
  <c r="AE21" i="3"/>
  <c r="S73" i="3" l="1"/>
  <c r="T72" i="3"/>
  <c r="W21" i="3"/>
  <c r="A78" i="3"/>
  <c r="B78" i="3" s="1"/>
  <c r="AA77" i="3"/>
  <c r="Z77" i="3"/>
  <c r="P77" i="3"/>
  <c r="Q77" i="3" s="1"/>
  <c r="R77" i="3" s="1"/>
  <c r="AD77" i="3"/>
  <c r="AC77" i="3"/>
  <c r="L21" i="3"/>
  <c r="T73" i="3" l="1"/>
  <c r="S74" i="3"/>
  <c r="AG22" i="3"/>
  <c r="U21" i="3"/>
  <c r="D22" i="3" s="1"/>
  <c r="AH22" i="3"/>
  <c r="Y20" i="3"/>
  <c r="A79" i="3"/>
  <c r="B79" i="3" s="1"/>
  <c r="AD78" i="3"/>
  <c r="P78" i="3"/>
  <c r="Q78" i="3" s="1"/>
  <c r="R78" i="3" s="1"/>
  <c r="AC78" i="3"/>
  <c r="AA78" i="3"/>
  <c r="Z78" i="3"/>
  <c r="S75" i="3" l="1"/>
  <c r="T74" i="3"/>
  <c r="G22" i="3"/>
  <c r="E22" i="3"/>
  <c r="H22" i="3" s="1"/>
  <c r="P79" i="3"/>
  <c r="Q79" i="3" s="1"/>
  <c r="R79" i="3" s="1"/>
  <c r="A80" i="3"/>
  <c r="B80" i="3" s="1"/>
  <c r="Z79" i="3"/>
  <c r="AC79" i="3"/>
  <c r="AA79" i="3"/>
  <c r="AD79" i="3"/>
  <c r="T75" i="3" l="1"/>
  <c r="S76" i="3"/>
  <c r="AA80" i="3"/>
  <c r="A81" i="3"/>
  <c r="B81" i="3" s="1"/>
  <c r="AD80" i="3"/>
  <c r="AC80" i="3"/>
  <c r="P80" i="3"/>
  <c r="Q80" i="3" s="1"/>
  <c r="R80" i="3" s="1"/>
  <c r="Z80" i="3"/>
  <c r="I22" i="3"/>
  <c r="J22" i="3"/>
  <c r="M22" i="3"/>
  <c r="N22" i="3" s="1"/>
  <c r="K22" i="3"/>
  <c r="F22" i="3"/>
  <c r="S77" i="3" l="1"/>
  <c r="T76" i="3"/>
  <c r="L22" i="3"/>
  <c r="Z81" i="3"/>
  <c r="AC81" i="3"/>
  <c r="A82" i="3"/>
  <c r="B82" i="3" s="1"/>
  <c r="AA81" i="3"/>
  <c r="AD81" i="3"/>
  <c r="P81" i="3"/>
  <c r="Q81" i="3" s="1"/>
  <c r="R81" i="3" s="1"/>
  <c r="V22" i="3"/>
  <c r="W22" i="3" s="1"/>
  <c r="AE22" i="3"/>
  <c r="T77" i="3" l="1"/>
  <c r="S78" i="3"/>
  <c r="U22" i="3"/>
  <c r="E23" i="3" s="1"/>
  <c r="H23" i="3" s="1"/>
  <c r="AH23" i="3"/>
  <c r="AG23" i="3"/>
  <c r="Y21" i="3"/>
  <c r="A83" i="3"/>
  <c r="B83" i="3" s="1"/>
  <c r="P82" i="3"/>
  <c r="Q82" i="3" s="1"/>
  <c r="R82" i="3" s="1"/>
  <c r="AC82" i="3"/>
  <c r="AA82" i="3"/>
  <c r="Z82" i="3"/>
  <c r="AD82" i="3"/>
  <c r="S79" i="3" l="1"/>
  <c r="T78" i="3"/>
  <c r="AA83" i="3"/>
  <c r="AC83" i="3"/>
  <c r="P83" i="3"/>
  <c r="Q83" i="3" s="1"/>
  <c r="R83" i="3" s="1"/>
  <c r="Z83" i="3"/>
  <c r="AD83" i="3"/>
  <c r="A84" i="3"/>
  <c r="B84" i="3" s="1"/>
  <c r="K23" i="3"/>
  <c r="D23" i="3"/>
  <c r="S80" i="3" l="1"/>
  <c r="T79" i="3"/>
  <c r="AA84" i="3"/>
  <c r="Z84" i="3"/>
  <c r="A85" i="3"/>
  <c r="B85" i="3" s="1"/>
  <c r="P84" i="3"/>
  <c r="Q84" i="3" s="1"/>
  <c r="R84" i="3" s="1"/>
  <c r="AD84" i="3"/>
  <c r="AC84" i="3"/>
  <c r="V23" i="3"/>
  <c r="AE23" i="3"/>
  <c r="F23" i="3"/>
  <c r="G23" i="3"/>
  <c r="T80" i="3" l="1"/>
  <c r="S81" i="3"/>
  <c r="A86" i="3"/>
  <c r="B86" i="3" s="1"/>
  <c r="P85" i="3"/>
  <c r="Q85" i="3" s="1"/>
  <c r="R85" i="3" s="1"/>
  <c r="AA85" i="3"/>
  <c r="AC85" i="3"/>
  <c r="Z85" i="3"/>
  <c r="AD85" i="3"/>
  <c r="I23" i="3"/>
  <c r="W23" i="3" s="1"/>
  <c r="J23" i="3"/>
  <c r="M23" i="3"/>
  <c r="N23" i="3" s="1"/>
  <c r="T81" i="3" l="1"/>
  <c r="S82" i="3"/>
  <c r="AC86" i="3"/>
  <c r="Z86" i="3"/>
  <c r="P86" i="3"/>
  <c r="Q86" i="3" s="1"/>
  <c r="R86" i="3" s="1"/>
  <c r="AA86" i="3"/>
  <c r="A87" i="3"/>
  <c r="B87" i="3" s="1"/>
  <c r="AD86" i="3"/>
  <c r="L23" i="3"/>
  <c r="T82" i="3" l="1"/>
  <c r="S83" i="3"/>
  <c r="P87" i="3"/>
  <c r="Q87" i="3" s="1"/>
  <c r="R87" i="3" s="1"/>
  <c r="Z87" i="3"/>
  <c r="A88" i="3"/>
  <c r="B88" i="3" s="1"/>
  <c r="AD87" i="3"/>
  <c r="AC87" i="3"/>
  <c r="AA87" i="3"/>
  <c r="AG24" i="3"/>
  <c r="AH24" i="3"/>
  <c r="U23" i="3"/>
  <c r="E24" i="3" s="1"/>
  <c r="H24" i="3" s="1"/>
  <c r="Y22" i="3"/>
  <c r="T83" i="3" l="1"/>
  <c r="S84" i="3"/>
  <c r="D24" i="3"/>
  <c r="G24" i="3" s="1"/>
  <c r="A89" i="3"/>
  <c r="B89" i="3" s="1"/>
  <c r="P88" i="3"/>
  <c r="Q88" i="3" s="1"/>
  <c r="R88" i="3" s="1"/>
  <c r="AC88" i="3"/>
  <c r="Z88" i="3"/>
  <c r="AA88" i="3"/>
  <c r="AD88" i="3"/>
  <c r="K24" i="3"/>
  <c r="T84" i="3" l="1"/>
  <c r="S85" i="3"/>
  <c r="F24" i="3"/>
  <c r="AD89" i="3"/>
  <c r="AC89" i="3"/>
  <c r="P89" i="3"/>
  <c r="Q89" i="3" s="1"/>
  <c r="R89" i="3" s="1"/>
  <c r="Z89" i="3"/>
  <c r="AA89" i="3"/>
  <c r="A90" i="3"/>
  <c r="B90" i="3" s="1"/>
  <c r="V24" i="3"/>
  <c r="AE24" i="3"/>
  <c r="I24" i="3"/>
  <c r="J24" i="3"/>
  <c r="M24" i="3"/>
  <c r="N24" i="3" s="1"/>
  <c r="T85" i="3" l="1"/>
  <c r="S86" i="3"/>
  <c r="A91" i="3"/>
  <c r="B91" i="3" s="1"/>
  <c r="P90" i="3"/>
  <c r="Q90" i="3" s="1"/>
  <c r="R90" i="3" s="1"/>
  <c r="AC90" i="3"/>
  <c r="Z90" i="3"/>
  <c r="AA90" i="3"/>
  <c r="AD90" i="3"/>
  <c r="L24" i="3"/>
  <c r="W24" i="3"/>
  <c r="T86" i="3" l="1"/>
  <c r="S87" i="3"/>
  <c r="P91" i="3"/>
  <c r="Q91" i="3" s="1"/>
  <c r="R91" i="3" s="1"/>
  <c r="AD91" i="3"/>
  <c r="AA91" i="3"/>
  <c r="A92" i="3"/>
  <c r="B92" i="3" s="1"/>
  <c r="AC91" i="3"/>
  <c r="Z91" i="3"/>
  <c r="AH25" i="3"/>
  <c r="AG25" i="3"/>
  <c r="U24" i="3"/>
  <c r="D25" i="3" s="1"/>
  <c r="Y23" i="3"/>
  <c r="S88" i="3" l="1"/>
  <c r="T87" i="3"/>
  <c r="E25" i="3"/>
  <c r="H25" i="3" s="1"/>
  <c r="K25" i="3" s="1"/>
  <c r="G25" i="3"/>
  <c r="AA92" i="3"/>
  <c r="AD92" i="3"/>
  <c r="AC92" i="3"/>
  <c r="P92" i="3"/>
  <c r="Q92" i="3" s="1"/>
  <c r="R92" i="3" s="1"/>
  <c r="Z92" i="3"/>
  <c r="A93" i="3"/>
  <c r="B93" i="3" s="1"/>
  <c r="T88" i="3" l="1"/>
  <c r="S89" i="3"/>
  <c r="F25" i="3"/>
  <c r="Z93" i="3"/>
  <c r="AA93" i="3"/>
  <c r="P93" i="3"/>
  <c r="Q93" i="3" s="1"/>
  <c r="R93" i="3" s="1"/>
  <c r="A94" i="3"/>
  <c r="B94" i="3" s="1"/>
  <c r="AD93" i="3"/>
  <c r="AC93" i="3"/>
  <c r="I25" i="3"/>
  <c r="J25" i="3"/>
  <c r="M25" i="3"/>
  <c r="N25" i="3" s="1"/>
  <c r="V25" i="3"/>
  <c r="AE25" i="3"/>
  <c r="S90" i="3" l="1"/>
  <c r="T89" i="3"/>
  <c r="W25" i="3"/>
  <c r="AC94" i="3"/>
  <c r="Z94" i="3"/>
  <c r="AA94" i="3"/>
  <c r="AD94" i="3"/>
  <c r="A95" i="3"/>
  <c r="B95" i="3" s="1"/>
  <c r="P94" i="3"/>
  <c r="Q94" i="3" s="1"/>
  <c r="R94" i="3" s="1"/>
  <c r="L25" i="3"/>
  <c r="S91" i="3" l="1"/>
  <c r="T90" i="3"/>
  <c r="U25" i="3"/>
  <c r="E26" i="3" s="1"/>
  <c r="H26" i="3" s="1"/>
  <c r="AH26" i="3"/>
  <c r="AG26" i="3"/>
  <c r="Y24" i="3"/>
  <c r="Z95" i="3"/>
  <c r="A96" i="3"/>
  <c r="B96" i="3" s="1"/>
  <c r="P95" i="3"/>
  <c r="Q95" i="3" s="1"/>
  <c r="R95" i="3" s="1"/>
  <c r="AC95" i="3"/>
  <c r="AD95" i="3"/>
  <c r="AA95" i="3"/>
  <c r="T91" i="3" l="1"/>
  <c r="S92" i="3"/>
  <c r="D26" i="3"/>
  <c r="G26" i="3" s="1"/>
  <c r="K26" i="3"/>
  <c r="Z96" i="3"/>
  <c r="P96" i="3"/>
  <c r="Q96" i="3" s="1"/>
  <c r="R96" i="3" s="1"/>
  <c r="AC96" i="3"/>
  <c r="AA96" i="3"/>
  <c r="AD96" i="3"/>
  <c r="A97" i="3"/>
  <c r="B97" i="3" s="1"/>
  <c r="S93" i="3" l="1"/>
  <c r="T92" i="3"/>
  <c r="F26" i="3"/>
  <c r="I26" i="3"/>
  <c r="J26" i="3"/>
  <c r="M26" i="3"/>
  <c r="N26" i="3" s="1"/>
  <c r="A98" i="3"/>
  <c r="B98" i="3" s="1"/>
  <c r="P97" i="3"/>
  <c r="Q97" i="3" s="1"/>
  <c r="R97" i="3" s="1"/>
  <c r="AD97" i="3"/>
  <c r="AA97" i="3"/>
  <c r="Z97" i="3"/>
  <c r="AC97" i="3"/>
  <c r="V26" i="3"/>
  <c r="AE26" i="3"/>
  <c r="T93" i="3" l="1"/>
  <c r="S94" i="3"/>
  <c r="W26" i="3"/>
  <c r="A99" i="3"/>
  <c r="B99" i="3" s="1"/>
  <c r="AD98" i="3"/>
  <c r="AA98" i="3"/>
  <c r="P98" i="3"/>
  <c r="Q98" i="3" s="1"/>
  <c r="R98" i="3" s="1"/>
  <c r="Z98" i="3"/>
  <c r="AC98" i="3"/>
  <c r="L26" i="3"/>
  <c r="T94" i="3" l="1"/>
  <c r="S95" i="3"/>
  <c r="AD99" i="3"/>
  <c r="P99" i="3"/>
  <c r="Q99" i="3" s="1"/>
  <c r="R99" i="3" s="1"/>
  <c r="Z99" i="3"/>
  <c r="A100" i="3"/>
  <c r="B100" i="3" s="1"/>
  <c r="AC99" i="3"/>
  <c r="AA99" i="3"/>
  <c r="AH27" i="3"/>
  <c r="U26" i="3"/>
  <c r="D27" i="3" s="1"/>
  <c r="AG27" i="3"/>
  <c r="Y25" i="3"/>
  <c r="S96" i="3" l="1"/>
  <c r="T95" i="3"/>
  <c r="E27" i="3"/>
  <c r="H27" i="3" s="1"/>
  <c r="K27" i="3" s="1"/>
  <c r="G27" i="3"/>
  <c r="A101" i="3"/>
  <c r="B101" i="3" s="1"/>
  <c r="AA100" i="3"/>
  <c r="AC100" i="3"/>
  <c r="Z100" i="3"/>
  <c r="AD100" i="3"/>
  <c r="P100" i="3"/>
  <c r="Q100" i="3" s="1"/>
  <c r="R100" i="3" s="1"/>
  <c r="S97" i="3" l="1"/>
  <c r="T96" i="3"/>
  <c r="F27" i="3"/>
  <c r="AD101" i="3"/>
  <c r="Z101" i="3"/>
  <c r="P101" i="3"/>
  <c r="Q101" i="3" s="1"/>
  <c r="R101" i="3" s="1"/>
  <c r="AC101" i="3"/>
  <c r="A102" i="3"/>
  <c r="B102" i="3" s="1"/>
  <c r="AA101" i="3"/>
  <c r="I27" i="3"/>
  <c r="J27" i="3"/>
  <c r="M27" i="3"/>
  <c r="N27" i="3" s="1"/>
  <c r="V27" i="3"/>
  <c r="AE27" i="3"/>
  <c r="S98" i="3" l="1"/>
  <c r="T97" i="3"/>
  <c r="P102" i="3"/>
  <c r="Q102" i="3" s="1"/>
  <c r="R102" i="3" s="1"/>
  <c r="A103" i="3"/>
  <c r="B103" i="3" s="1"/>
  <c r="AA102" i="3"/>
  <c r="AC102" i="3"/>
  <c r="AD102" i="3"/>
  <c r="Z102" i="3"/>
  <c r="L27" i="3"/>
  <c r="W27" i="3"/>
  <c r="T98" i="3" l="1"/>
  <c r="S99" i="3"/>
  <c r="P103" i="3"/>
  <c r="Q103" i="3" s="1"/>
  <c r="R103" i="3" s="1"/>
  <c r="AD103" i="3"/>
  <c r="AC103" i="3"/>
  <c r="Z103" i="3"/>
  <c r="A104" i="3"/>
  <c r="B104" i="3" s="1"/>
  <c r="AA103" i="3"/>
  <c r="U27" i="3"/>
  <c r="E28" i="3" s="1"/>
  <c r="H28" i="3" s="1"/>
  <c r="AG28" i="3"/>
  <c r="AH28" i="3"/>
  <c r="Y26" i="3"/>
  <c r="S100" i="3" l="1"/>
  <c r="T99" i="3"/>
  <c r="D28" i="3"/>
  <c r="F28" i="3" s="1"/>
  <c r="K28" i="3"/>
  <c r="AC104" i="3"/>
  <c r="P104" i="3"/>
  <c r="Q104" i="3" s="1"/>
  <c r="R104" i="3" s="1"/>
  <c r="Z104" i="3"/>
  <c r="AA104" i="3"/>
  <c r="S101" i="3" l="1"/>
  <c r="T100" i="3"/>
  <c r="G28" i="3"/>
  <c r="I28" i="3" s="1"/>
  <c r="V28" i="3"/>
  <c r="AE28" i="3"/>
  <c r="T101" i="3" l="1"/>
  <c r="S102" i="3"/>
  <c r="M28" i="3"/>
  <c r="N28" i="3" s="1"/>
  <c r="J28" i="3"/>
  <c r="L28" i="3" s="1"/>
  <c r="W28" i="3"/>
  <c r="S103" i="3" l="1"/>
  <c r="T102" i="3"/>
  <c r="AH29" i="3"/>
  <c r="AG29" i="3"/>
  <c r="U28" i="3"/>
  <c r="E29" i="3" s="1"/>
  <c r="H29" i="3" s="1"/>
  <c r="Y27" i="3"/>
  <c r="S104" i="3" l="1"/>
  <c r="T103" i="3"/>
  <c r="D29" i="3"/>
  <c r="F29" i="3" s="1"/>
  <c r="K29" i="3"/>
  <c r="T104" i="3" l="1"/>
  <c r="G29" i="3"/>
  <c r="M29" i="3" s="1"/>
  <c r="N29" i="3" s="1"/>
  <c r="V29" i="3"/>
  <c r="AE29" i="3"/>
  <c r="J29" i="3" l="1"/>
  <c r="L29" i="3" s="1"/>
  <c r="I29" i="3"/>
  <c r="W29" i="3" s="1"/>
  <c r="U29" i="3" l="1"/>
  <c r="D30" i="3" s="1"/>
  <c r="AG30" i="3"/>
  <c r="AH30" i="3"/>
  <c r="Y28" i="3"/>
  <c r="E30" i="3" l="1"/>
  <c r="H30" i="3" s="1"/>
  <c r="K30" i="3" s="1"/>
  <c r="G30" i="3"/>
  <c r="F30" i="3" l="1"/>
  <c r="I30" i="3"/>
  <c r="J30" i="3"/>
  <c r="M30" i="3"/>
  <c r="N30" i="3" s="1"/>
  <c r="V30" i="3"/>
  <c r="AE30" i="3"/>
  <c r="W30" i="3" l="1"/>
  <c r="L30" i="3"/>
  <c r="U30" i="3" l="1"/>
  <c r="D31" i="3" s="1"/>
  <c r="AG31" i="3"/>
  <c r="AH31" i="3"/>
  <c r="Y29" i="3"/>
  <c r="E31" i="3" l="1"/>
  <c r="H31" i="3" s="1"/>
  <c r="K31" i="3" s="1"/>
  <c r="G31" i="3"/>
  <c r="F31" i="3" l="1"/>
  <c r="V31" i="3"/>
  <c r="AE31" i="3"/>
  <c r="I31" i="3"/>
  <c r="J31" i="3"/>
  <c r="M31" i="3"/>
  <c r="N31" i="3" s="1"/>
  <c r="L31" i="3" l="1"/>
  <c r="W31" i="3"/>
  <c r="AG32" i="3" l="1"/>
  <c r="AH32" i="3"/>
  <c r="U31" i="3"/>
  <c r="E32" i="3" s="1"/>
  <c r="H32" i="3" s="1"/>
  <c r="Y30" i="3"/>
  <c r="D32" i="3" l="1"/>
  <c r="F32" i="3" s="1"/>
  <c r="K32" i="3"/>
  <c r="G32" i="3" l="1"/>
  <c r="I32" i="3" s="1"/>
  <c r="V32" i="3"/>
  <c r="AE32" i="3"/>
  <c r="M32" i="3" l="1"/>
  <c r="N32" i="3" s="1"/>
  <c r="J32" i="3"/>
  <c r="L32" i="3" s="1"/>
  <c r="W32" i="3"/>
  <c r="AH33" i="3" l="1"/>
  <c r="AG33" i="3"/>
  <c r="U32" i="3"/>
  <c r="D33" i="3" s="1"/>
  <c r="Y31" i="3"/>
  <c r="E33" i="3" l="1"/>
  <c r="H33" i="3" s="1"/>
  <c r="K33" i="3" s="1"/>
  <c r="G33" i="3"/>
  <c r="F33" i="3" l="1"/>
  <c r="I33" i="3"/>
  <c r="J33" i="3"/>
  <c r="M33" i="3"/>
  <c r="N33" i="3" s="1"/>
  <c r="V33" i="3"/>
  <c r="AE33" i="3"/>
  <c r="W33" i="3" l="1"/>
  <c r="L33" i="3"/>
  <c r="AH34" i="3" l="1"/>
  <c r="AG34" i="3"/>
  <c r="U33" i="3"/>
  <c r="D34" i="3" s="1"/>
  <c r="Y32" i="3"/>
  <c r="G34" i="3" l="1"/>
  <c r="E34" i="3"/>
  <c r="H34" i="3" s="1"/>
  <c r="F34" i="3" l="1"/>
  <c r="I34" i="3"/>
  <c r="J34" i="3"/>
  <c r="AD34" i="3" s="1"/>
  <c r="M34" i="3"/>
  <c r="N34" i="3" s="1"/>
  <c r="K34" i="3"/>
  <c r="V34" i="3" l="1"/>
  <c r="W34" i="3" s="1"/>
  <c r="AE34" i="3"/>
  <c r="L34" i="3"/>
  <c r="U34" i="3" l="1"/>
  <c r="E35" i="3" s="1"/>
  <c r="H35" i="3" s="1"/>
  <c r="AH35" i="3"/>
  <c r="AG35" i="3"/>
  <c r="Y33" i="3"/>
  <c r="D35" i="3" l="1"/>
  <c r="G35" i="3" s="1"/>
  <c r="K35" i="3"/>
  <c r="F35" i="3" l="1"/>
  <c r="I35" i="3"/>
  <c r="J35" i="3"/>
  <c r="M35" i="3"/>
  <c r="N35" i="3" s="1"/>
  <c r="V35" i="3"/>
  <c r="AE35" i="3"/>
  <c r="W35" i="3" l="1"/>
  <c r="L35" i="3"/>
  <c r="U35" i="3" l="1"/>
  <c r="E36" i="3" s="1"/>
  <c r="H36" i="3" s="1"/>
  <c r="AG36" i="3"/>
  <c r="AH36" i="3"/>
  <c r="Y34" i="3"/>
  <c r="K36" i="3" l="1"/>
  <c r="D36" i="3"/>
  <c r="F36" i="3" l="1"/>
  <c r="G36" i="3"/>
  <c r="V36" i="3"/>
  <c r="AE36" i="3"/>
  <c r="I36" i="3" l="1"/>
  <c r="W36" i="3" s="1"/>
  <c r="J36" i="3"/>
  <c r="M36" i="3"/>
  <c r="N36" i="3" s="1"/>
  <c r="L36" i="3" l="1"/>
  <c r="AH37" i="3" l="1"/>
  <c r="AG37" i="3"/>
  <c r="U36" i="3"/>
  <c r="E37" i="3" s="1"/>
  <c r="H37" i="3" s="1"/>
  <c r="Y35" i="3"/>
  <c r="D37" i="3" l="1"/>
  <c r="G37" i="3" s="1"/>
  <c r="K37" i="3"/>
  <c r="F37" i="3" l="1"/>
  <c r="I37" i="3"/>
  <c r="J37" i="3"/>
  <c r="M37" i="3"/>
  <c r="N37" i="3" s="1"/>
  <c r="V37" i="3"/>
  <c r="AE37" i="3"/>
  <c r="W37" i="3" l="1"/>
  <c r="L37" i="3"/>
  <c r="AH38" i="3" l="1"/>
  <c r="AG38" i="3"/>
  <c r="U37" i="3"/>
  <c r="D38" i="3" s="1"/>
  <c r="Y36" i="3"/>
  <c r="G38" i="3" l="1"/>
  <c r="E38" i="3"/>
  <c r="H38" i="3" s="1"/>
  <c r="K38" i="3" l="1"/>
  <c r="F38" i="3"/>
  <c r="I38" i="3"/>
  <c r="J38" i="3"/>
  <c r="M38" i="3"/>
  <c r="N38" i="3" s="1"/>
  <c r="L38" i="3" l="1"/>
  <c r="V38" i="3"/>
  <c r="W38" i="3" s="1"/>
  <c r="AE38" i="3"/>
  <c r="U38" i="3" l="1"/>
  <c r="D39" i="3" s="1"/>
  <c r="AG39" i="3"/>
  <c r="AH39" i="3"/>
  <c r="Y37" i="3"/>
  <c r="G39" i="3" l="1"/>
  <c r="E39" i="3"/>
  <c r="H39" i="3" s="1"/>
  <c r="F39" i="3" l="1"/>
  <c r="K39" i="3"/>
  <c r="I39" i="3"/>
  <c r="J39" i="3"/>
  <c r="M39" i="3"/>
  <c r="N39" i="3" s="1"/>
  <c r="L39" i="3" l="1"/>
  <c r="V39" i="3"/>
  <c r="W39" i="3" s="1"/>
  <c r="AE39" i="3"/>
  <c r="U39" i="3" l="1"/>
  <c r="E40" i="3" s="1"/>
  <c r="H40" i="3" s="1"/>
  <c r="AH40" i="3"/>
  <c r="AG40" i="3"/>
  <c r="Y38" i="3"/>
  <c r="D40" i="3" l="1"/>
  <c r="F40" i="3" s="1"/>
  <c r="K40" i="3"/>
  <c r="G40" i="3" l="1"/>
  <c r="M40" i="3" s="1"/>
  <c r="N40" i="3" s="1"/>
  <c r="V40" i="3"/>
  <c r="AE40" i="3"/>
  <c r="I40" i="3" l="1"/>
  <c r="W40" i="3" s="1"/>
  <c r="J40" i="3"/>
  <c r="L40" i="3" s="1"/>
  <c r="U40" i="3" l="1"/>
  <c r="D41" i="3" s="1"/>
  <c r="AG41" i="3"/>
  <c r="AH41" i="3"/>
  <c r="Y39" i="3"/>
  <c r="G41" i="3" l="1"/>
  <c r="E41" i="3"/>
  <c r="H41" i="3" s="1"/>
  <c r="F41" i="3" l="1"/>
  <c r="I41" i="3"/>
  <c r="J41" i="3"/>
  <c r="M41" i="3"/>
  <c r="N41" i="3" s="1"/>
  <c r="K41" i="3"/>
  <c r="V41" i="3" l="1"/>
  <c r="W41" i="3" s="1"/>
  <c r="AE41" i="3"/>
  <c r="L41" i="3"/>
  <c r="U41" i="3" l="1"/>
  <c r="E42" i="3" s="1"/>
  <c r="H42" i="3" s="1"/>
  <c r="AG42" i="3"/>
  <c r="AH42" i="3"/>
  <c r="Y40" i="3"/>
  <c r="D42" i="3" l="1"/>
  <c r="G42" i="3" s="1"/>
  <c r="K42" i="3"/>
  <c r="F42" i="3" l="1"/>
  <c r="V42" i="3"/>
  <c r="AE42" i="3"/>
  <c r="I42" i="3"/>
  <c r="J42" i="3"/>
  <c r="M42" i="3"/>
  <c r="N42" i="3" s="1"/>
  <c r="W42" i="3" l="1"/>
  <c r="L42" i="3"/>
  <c r="AG43" i="3" l="1"/>
  <c r="AH43" i="3"/>
  <c r="U42" i="3"/>
  <c r="E43" i="3" s="1"/>
  <c r="H43" i="3" s="1"/>
  <c r="Y41" i="3"/>
  <c r="K43" i="3" l="1"/>
  <c r="D43" i="3"/>
  <c r="V43" i="3" l="1"/>
  <c r="AE43" i="3"/>
  <c r="F43" i="3"/>
  <c r="G43" i="3"/>
  <c r="I43" i="3" l="1"/>
  <c r="W43" i="3" s="1"/>
  <c r="J43" i="3"/>
  <c r="M43" i="3"/>
  <c r="N43" i="3" s="1"/>
  <c r="L43" i="3" l="1"/>
  <c r="AG44" i="3" l="1"/>
  <c r="AH44" i="3"/>
  <c r="U43" i="3"/>
  <c r="E44" i="3" s="1"/>
  <c r="H44" i="3" s="1"/>
  <c r="Y42" i="3"/>
  <c r="D44" i="3" l="1"/>
  <c r="F44" i="3" s="1"/>
  <c r="K44" i="3"/>
  <c r="G44" i="3" l="1"/>
  <c r="J44" i="3" s="1"/>
  <c r="AD44" i="3" s="1"/>
  <c r="V44" i="3"/>
  <c r="AE44" i="3"/>
  <c r="M44" i="3" l="1"/>
  <c r="N44" i="3" s="1"/>
  <c r="I44" i="3"/>
  <c r="W44" i="3" s="1"/>
  <c r="L44" i="3"/>
  <c r="U44" i="3" l="1"/>
  <c r="E45" i="3" s="1"/>
  <c r="H45" i="3" s="1"/>
  <c r="AH45" i="3"/>
  <c r="AG45" i="3"/>
  <c r="Y43" i="3"/>
  <c r="D45" i="3" l="1"/>
  <c r="G45" i="3" s="1"/>
  <c r="K45" i="3"/>
  <c r="F45" i="3" l="1"/>
  <c r="I45" i="3"/>
  <c r="J45" i="3"/>
  <c r="M45" i="3"/>
  <c r="N45" i="3" s="1"/>
  <c r="V45" i="3"/>
  <c r="AE45" i="3"/>
  <c r="L45" i="3" l="1"/>
  <c r="W45" i="3"/>
  <c r="U45" i="3" l="1"/>
  <c r="D46" i="3" s="1"/>
  <c r="AG46" i="3"/>
  <c r="AH46" i="3"/>
  <c r="Y44" i="3"/>
  <c r="E46" i="3" l="1"/>
  <c r="H46" i="3" s="1"/>
  <c r="K46" i="3" s="1"/>
  <c r="G46" i="3"/>
  <c r="F46" i="3" l="1"/>
  <c r="I46" i="3"/>
  <c r="J46" i="3"/>
  <c r="M46" i="3"/>
  <c r="N46" i="3" s="1"/>
  <c r="V46" i="3"/>
  <c r="AE46" i="3"/>
  <c r="W46" i="3" l="1"/>
  <c r="L46" i="3"/>
  <c r="AG47" i="3" l="1"/>
  <c r="U46" i="3"/>
  <c r="D47" i="3" s="1"/>
  <c r="AH47" i="3"/>
  <c r="Y45" i="3"/>
  <c r="E47" i="3" l="1"/>
  <c r="H47" i="3" s="1"/>
  <c r="K47" i="3" s="1"/>
  <c r="G47" i="3"/>
  <c r="F47" i="3" l="1"/>
  <c r="I47" i="3"/>
  <c r="J47" i="3"/>
  <c r="M47" i="3"/>
  <c r="N47" i="3" s="1"/>
  <c r="V47" i="3"/>
  <c r="AE47" i="3"/>
  <c r="W47" i="3" l="1"/>
  <c r="L47" i="3"/>
  <c r="AG48" i="3" l="1"/>
  <c r="U47" i="3"/>
  <c r="E48" i="3" s="1"/>
  <c r="H48" i="3" s="1"/>
  <c r="AH48" i="3"/>
  <c r="Y46" i="3"/>
  <c r="K48" i="3" l="1"/>
  <c r="D48" i="3"/>
  <c r="V48" i="3" l="1"/>
  <c r="AE48" i="3"/>
  <c r="F48" i="3"/>
  <c r="G48" i="3"/>
  <c r="I48" i="3" l="1"/>
  <c r="W48" i="3" s="1"/>
  <c r="J48" i="3"/>
  <c r="M48" i="3"/>
  <c r="N48" i="3" s="1"/>
  <c r="L48" i="3" l="1"/>
  <c r="AH49" i="3" l="1"/>
  <c r="U48" i="3"/>
  <c r="E49" i="3" s="1"/>
  <c r="H49" i="3" s="1"/>
  <c r="AG49" i="3"/>
  <c r="Y47" i="3"/>
  <c r="D49" i="3" l="1"/>
  <c r="G49" i="3" s="1"/>
  <c r="K49" i="3"/>
  <c r="F49" i="3" l="1"/>
  <c r="V49" i="3"/>
  <c r="AE49" i="3"/>
  <c r="I49" i="3"/>
  <c r="J49" i="3"/>
  <c r="M49" i="3"/>
  <c r="N49" i="3" s="1"/>
  <c r="W49" i="3" l="1"/>
  <c r="L49" i="3"/>
  <c r="AG50" i="3" l="1"/>
  <c r="AH50" i="3"/>
  <c r="U49" i="3"/>
  <c r="D50" i="3" s="1"/>
  <c r="Y48" i="3"/>
  <c r="E50" i="3" l="1"/>
  <c r="H50" i="3" s="1"/>
  <c r="K50" i="3" s="1"/>
  <c r="G50" i="3"/>
  <c r="F50" i="3" l="1"/>
  <c r="I50" i="3"/>
  <c r="J50" i="3"/>
  <c r="M50" i="3"/>
  <c r="N50" i="3" s="1"/>
  <c r="V50" i="3"/>
  <c r="AE50" i="3"/>
  <c r="L50" i="3" l="1"/>
  <c r="W50" i="3"/>
  <c r="U50" i="3" l="1"/>
  <c r="D51" i="3" s="1"/>
  <c r="AH51" i="3"/>
  <c r="AG51" i="3"/>
  <c r="Y49" i="3"/>
  <c r="E51" i="3" l="1"/>
  <c r="H51" i="3" s="1"/>
  <c r="K51" i="3" s="1"/>
  <c r="G51" i="3"/>
  <c r="F51" i="3" l="1"/>
  <c r="V51" i="3"/>
  <c r="AE51" i="3"/>
  <c r="I51" i="3"/>
  <c r="J51" i="3"/>
  <c r="M51" i="3"/>
  <c r="N51" i="3" s="1"/>
  <c r="W51" i="3" l="1"/>
  <c r="L51" i="3"/>
  <c r="AH52" i="3" l="1"/>
  <c r="AG52" i="3"/>
  <c r="U51" i="3"/>
  <c r="E52" i="3" s="1"/>
  <c r="H52" i="3" s="1"/>
  <c r="Y50" i="3"/>
  <c r="D52" i="3" l="1"/>
  <c r="G52" i="3" s="1"/>
  <c r="K52" i="3"/>
  <c r="F52" i="3" l="1"/>
  <c r="V52" i="3"/>
  <c r="AE52" i="3"/>
  <c r="I52" i="3"/>
  <c r="J52" i="3"/>
  <c r="M52" i="3"/>
  <c r="N52" i="3" s="1"/>
  <c r="L52" i="3" l="1"/>
  <c r="W52" i="3"/>
  <c r="AH53" i="3" l="1"/>
  <c r="AG53" i="3"/>
  <c r="U52" i="3"/>
  <c r="E53" i="3" s="1"/>
  <c r="H53" i="3" s="1"/>
  <c r="Y51" i="3"/>
  <c r="K53" i="3" l="1"/>
  <c r="D53" i="3"/>
  <c r="V53" i="3" l="1"/>
  <c r="AE53" i="3"/>
  <c r="F53" i="3"/>
  <c r="G53" i="3"/>
  <c r="I53" i="3" l="1"/>
  <c r="W53" i="3" s="1"/>
  <c r="J53" i="3"/>
  <c r="M53" i="3"/>
  <c r="N53" i="3" s="1"/>
  <c r="L53" i="3" l="1"/>
  <c r="AH54" i="3" l="1"/>
  <c r="AG54" i="3"/>
  <c r="U53" i="3"/>
  <c r="D54" i="3" s="1"/>
  <c r="Y52" i="3"/>
  <c r="G54" i="3" l="1"/>
  <c r="E54" i="3"/>
  <c r="H54" i="3" s="1"/>
  <c r="I54" i="3" l="1"/>
  <c r="J54" i="3"/>
  <c r="M54" i="3"/>
  <c r="N54" i="3" s="1"/>
  <c r="F54" i="3"/>
  <c r="K54" i="3"/>
  <c r="L54" i="3" l="1"/>
  <c r="V54" i="3"/>
  <c r="W54" i="3" s="1"/>
  <c r="AE54" i="3"/>
  <c r="U54" i="3" l="1"/>
  <c r="D55" i="3" s="1"/>
  <c r="AG55" i="3"/>
  <c r="AH55" i="3"/>
  <c r="Y53" i="3"/>
  <c r="E55" i="3" l="1"/>
  <c r="H55" i="3" s="1"/>
  <c r="K55" i="3" s="1"/>
  <c r="G55" i="3"/>
  <c r="F55" i="3" l="1"/>
  <c r="V55" i="3"/>
  <c r="AE55" i="3"/>
  <c r="I55" i="3"/>
  <c r="J55" i="3"/>
  <c r="M55" i="3"/>
  <c r="N55" i="3" s="1"/>
  <c r="W55" i="3" l="1"/>
  <c r="L55" i="3"/>
  <c r="AH56" i="3" l="1"/>
  <c r="U55" i="3"/>
  <c r="D56" i="3" s="1"/>
  <c r="AG56" i="3"/>
  <c r="Y54" i="3"/>
  <c r="E56" i="3" l="1"/>
  <c r="H56" i="3" s="1"/>
  <c r="K56" i="3" s="1"/>
  <c r="G56" i="3"/>
  <c r="F56" i="3" l="1"/>
  <c r="I56" i="3"/>
  <c r="J56" i="3"/>
  <c r="M56" i="3"/>
  <c r="N56" i="3" s="1"/>
  <c r="V56" i="3"/>
  <c r="AE56" i="3"/>
  <c r="W56" i="3" l="1"/>
  <c r="L56" i="3"/>
  <c r="AG57" i="3" l="1"/>
  <c r="U56" i="3"/>
  <c r="D57" i="3" s="1"/>
  <c r="AH57" i="3"/>
  <c r="Y55" i="3"/>
  <c r="E57" i="3" l="1"/>
  <c r="H57" i="3" s="1"/>
  <c r="K57" i="3" s="1"/>
  <c r="G57" i="3"/>
  <c r="F57" i="3" l="1"/>
  <c r="I57" i="3"/>
  <c r="J57" i="3"/>
  <c r="M57" i="3"/>
  <c r="N57" i="3" s="1"/>
  <c r="V57" i="3"/>
  <c r="AE57" i="3"/>
  <c r="W57" i="3" l="1"/>
  <c r="L57" i="3"/>
  <c r="U57" i="3" l="1"/>
  <c r="D58" i="3" s="1"/>
  <c r="AH58" i="3"/>
  <c r="AG58" i="3"/>
  <c r="Y56" i="3"/>
  <c r="E58" i="3" l="1"/>
  <c r="H58" i="3" s="1"/>
  <c r="K58" i="3" s="1"/>
  <c r="G58" i="3"/>
  <c r="F58" i="3" l="1"/>
  <c r="V58" i="3"/>
  <c r="AE58" i="3"/>
  <c r="I58" i="3"/>
  <c r="J58" i="3"/>
  <c r="M58" i="3"/>
  <c r="N58" i="3" s="1"/>
  <c r="W58" i="3" l="1"/>
  <c r="L58" i="3"/>
  <c r="AG59" i="3" l="1"/>
  <c r="U58" i="3"/>
  <c r="E59" i="3" s="1"/>
  <c r="H59" i="3" s="1"/>
  <c r="AH59" i="3"/>
  <c r="Y57" i="3"/>
  <c r="D59" i="3" l="1"/>
  <c r="F59" i="3" s="1"/>
  <c r="K59" i="3"/>
  <c r="G59" i="3" l="1"/>
  <c r="M59" i="3" s="1"/>
  <c r="N59" i="3" s="1"/>
  <c r="V59" i="3"/>
  <c r="AE59" i="3"/>
  <c r="I59" i="3" l="1"/>
  <c r="W59" i="3" s="1"/>
  <c r="J59" i="3"/>
  <c r="L59" i="3" s="1"/>
  <c r="AH60" i="3" l="1"/>
  <c r="U59" i="3"/>
  <c r="D60" i="3" s="1"/>
  <c r="AG60" i="3"/>
  <c r="Y58" i="3"/>
  <c r="E60" i="3" l="1"/>
  <c r="H60" i="3" s="1"/>
  <c r="K60" i="3" s="1"/>
  <c r="G60" i="3"/>
  <c r="F60" i="3" l="1"/>
  <c r="I60" i="3"/>
  <c r="J60" i="3"/>
  <c r="M60" i="3"/>
  <c r="N60" i="3" s="1"/>
  <c r="V60" i="3"/>
  <c r="AE60" i="3"/>
  <c r="W60" i="3" l="1"/>
  <c r="L60" i="3"/>
  <c r="AG61" i="3" l="1"/>
  <c r="U60" i="3"/>
  <c r="D61" i="3" s="1"/>
  <c r="AH61" i="3"/>
  <c r="Y59" i="3"/>
  <c r="G61" i="3" l="1"/>
  <c r="E61" i="3"/>
  <c r="H61" i="3" s="1"/>
  <c r="F61" i="3" l="1"/>
  <c r="I61" i="3"/>
  <c r="J61" i="3"/>
  <c r="M61" i="3"/>
  <c r="N61" i="3" s="1"/>
  <c r="K61" i="3"/>
  <c r="V61" i="3" l="1"/>
  <c r="W61" i="3" s="1"/>
  <c r="AE61" i="3"/>
  <c r="L61" i="3"/>
  <c r="AG62" i="3" l="1"/>
  <c r="U61" i="3"/>
  <c r="D62" i="3" s="1"/>
  <c r="AH62" i="3"/>
  <c r="Y60" i="3"/>
  <c r="G62" i="3" l="1"/>
  <c r="E62" i="3"/>
  <c r="H62" i="3" s="1"/>
  <c r="F62" i="3" l="1"/>
  <c r="I62" i="3"/>
  <c r="J62" i="3"/>
  <c r="M62" i="3"/>
  <c r="N62" i="3" s="1"/>
  <c r="K62" i="3"/>
  <c r="V62" i="3" l="1"/>
  <c r="W62" i="3" s="1"/>
  <c r="AE62" i="3"/>
  <c r="L62" i="3"/>
  <c r="U62" i="3" l="1"/>
  <c r="E63" i="3" s="1"/>
  <c r="H63" i="3" s="1"/>
  <c r="AG63" i="3"/>
  <c r="AH63" i="3"/>
  <c r="Y61" i="3"/>
  <c r="D63" i="3" l="1"/>
  <c r="G63" i="3" s="1"/>
  <c r="K63" i="3"/>
  <c r="F63" i="3" l="1"/>
  <c r="I63" i="3"/>
  <c r="J63" i="3"/>
  <c r="M63" i="3"/>
  <c r="N63" i="3" s="1"/>
  <c r="V63" i="3"/>
  <c r="AE63" i="3"/>
  <c r="W63" i="3" l="1"/>
  <c r="L63" i="3"/>
  <c r="U63" i="3" l="1"/>
  <c r="E64" i="3" s="1"/>
  <c r="H64" i="3" s="1"/>
  <c r="AH64" i="3"/>
  <c r="AG64" i="3"/>
  <c r="Y62" i="3"/>
  <c r="D64" i="3" l="1"/>
  <c r="G64" i="3" s="1"/>
  <c r="K64" i="3"/>
  <c r="F64" i="3" l="1"/>
  <c r="V64" i="3"/>
  <c r="AE64" i="3"/>
  <c r="I64" i="3"/>
  <c r="J64" i="3"/>
  <c r="M64" i="3"/>
  <c r="N64" i="3" s="1"/>
  <c r="W64" i="3" l="1"/>
  <c r="L64" i="3"/>
  <c r="U64" i="3" l="1"/>
  <c r="E65" i="3" s="1"/>
  <c r="H65" i="3" s="1"/>
  <c r="AH65" i="3"/>
  <c r="AG65" i="3"/>
  <c r="Y63" i="3"/>
  <c r="D65" i="3" l="1"/>
  <c r="G65" i="3" s="1"/>
  <c r="K65" i="3"/>
  <c r="F65" i="3" l="1"/>
  <c r="V65" i="3"/>
  <c r="AE65" i="3"/>
  <c r="I65" i="3"/>
  <c r="J65" i="3"/>
  <c r="M65" i="3"/>
  <c r="N65" i="3" s="1"/>
  <c r="W65" i="3" l="1"/>
  <c r="L65" i="3"/>
  <c r="U65" i="3" l="1"/>
  <c r="D66" i="3" s="1"/>
  <c r="AH66" i="3"/>
  <c r="AG66" i="3"/>
  <c r="Y64" i="3"/>
  <c r="E66" i="3" l="1"/>
  <c r="H66" i="3" s="1"/>
  <c r="K66" i="3" s="1"/>
  <c r="G66" i="3"/>
  <c r="F66" i="3" l="1"/>
  <c r="I66" i="3"/>
  <c r="J66" i="3"/>
  <c r="M66" i="3"/>
  <c r="N66" i="3" s="1"/>
  <c r="V66" i="3"/>
  <c r="AE66" i="3"/>
  <c r="W66" i="3" l="1"/>
  <c r="L66" i="3"/>
  <c r="U66" i="3" l="1"/>
  <c r="D67" i="3" s="1"/>
  <c r="AH67" i="3"/>
  <c r="AG67" i="3"/>
  <c r="Y65" i="3"/>
  <c r="E67" i="3" l="1"/>
  <c r="H67" i="3" s="1"/>
  <c r="K67" i="3" s="1"/>
  <c r="G67" i="3"/>
  <c r="F67" i="3" l="1"/>
  <c r="I67" i="3"/>
  <c r="J67" i="3"/>
  <c r="M67" i="3"/>
  <c r="N67" i="3" s="1"/>
  <c r="V67" i="3"/>
  <c r="AE67" i="3"/>
  <c r="W67" i="3" l="1"/>
  <c r="L67" i="3"/>
  <c r="U67" i="3" l="1"/>
  <c r="D68" i="3" s="1"/>
  <c r="AH68" i="3"/>
  <c r="AG68" i="3"/>
  <c r="Y66" i="3"/>
  <c r="E68" i="3" l="1"/>
  <c r="H68" i="3" s="1"/>
  <c r="K68" i="3" s="1"/>
  <c r="G68" i="3"/>
  <c r="F68" i="3" l="1"/>
  <c r="I68" i="3"/>
  <c r="J68" i="3"/>
  <c r="M68" i="3"/>
  <c r="N68" i="3" s="1"/>
  <c r="V68" i="3"/>
  <c r="AE68" i="3"/>
  <c r="W68" i="3" l="1"/>
  <c r="L68" i="3"/>
  <c r="U68" i="3" l="1"/>
  <c r="D69" i="3" s="1"/>
  <c r="AH69" i="3"/>
  <c r="AG69" i="3"/>
  <c r="Y67" i="3"/>
  <c r="E69" i="3" l="1"/>
  <c r="H69" i="3" s="1"/>
  <c r="K69" i="3" s="1"/>
  <c r="G69" i="3"/>
  <c r="F69" i="3" l="1"/>
  <c r="I69" i="3"/>
  <c r="J69" i="3"/>
  <c r="M69" i="3"/>
  <c r="N69" i="3" s="1"/>
  <c r="V69" i="3"/>
  <c r="AE69" i="3"/>
  <c r="W69" i="3" l="1"/>
  <c r="L69" i="3"/>
  <c r="AH70" i="3" l="1"/>
  <c r="U69" i="3"/>
  <c r="E70" i="3" s="1"/>
  <c r="H70" i="3" s="1"/>
  <c r="AG70" i="3"/>
  <c r="Y68" i="3"/>
  <c r="D70" i="3" l="1"/>
  <c r="G70" i="3" s="1"/>
  <c r="K70" i="3"/>
  <c r="F70" i="3" l="1"/>
  <c r="I70" i="3"/>
  <c r="J70" i="3"/>
  <c r="M70" i="3"/>
  <c r="N70" i="3" s="1"/>
  <c r="V70" i="3"/>
  <c r="AE70" i="3"/>
  <c r="W70" i="3" l="1"/>
  <c r="L70" i="3"/>
  <c r="AG71" i="3" l="1"/>
  <c r="AH71" i="3"/>
  <c r="U70" i="3"/>
  <c r="E71" i="3" s="1"/>
  <c r="H71" i="3" s="1"/>
  <c r="Y69" i="3"/>
  <c r="D71" i="3" l="1"/>
  <c r="G71" i="3" s="1"/>
  <c r="K71" i="3"/>
  <c r="F71" i="3" l="1"/>
  <c r="I71" i="3"/>
  <c r="J71" i="3"/>
  <c r="M71" i="3"/>
  <c r="N71" i="3" s="1"/>
  <c r="V71" i="3"/>
  <c r="AE71" i="3"/>
  <c r="W71" i="3" l="1"/>
  <c r="L71" i="3"/>
  <c r="AH72" i="3" l="1"/>
  <c r="U71" i="3"/>
  <c r="E72" i="3" s="1"/>
  <c r="H72" i="3" s="1"/>
  <c r="AG72" i="3"/>
  <c r="Y70" i="3"/>
  <c r="D72" i="3" l="1"/>
  <c r="F72" i="3" s="1"/>
  <c r="K72" i="3"/>
  <c r="G72" i="3" l="1"/>
  <c r="M72" i="3" s="1"/>
  <c r="N72" i="3" s="1"/>
  <c r="V72" i="3"/>
  <c r="AE72" i="3"/>
  <c r="I72" i="3" l="1"/>
  <c r="W72" i="3" s="1"/>
  <c r="J72" i="3"/>
  <c r="L72" i="3" s="1"/>
  <c r="U72" i="3" l="1"/>
  <c r="D73" i="3" s="1"/>
  <c r="AG73" i="3"/>
  <c r="AH73" i="3"/>
  <c r="Y71" i="3"/>
  <c r="E73" i="3" l="1"/>
  <c r="H73" i="3" s="1"/>
  <c r="K73" i="3" s="1"/>
  <c r="G73" i="3"/>
  <c r="F73" i="3" l="1"/>
  <c r="I73" i="3"/>
  <c r="J73" i="3"/>
  <c r="M73" i="3"/>
  <c r="N73" i="3" s="1"/>
  <c r="V73" i="3"/>
  <c r="AE73" i="3"/>
  <c r="W73" i="3" l="1"/>
  <c r="L73" i="3"/>
  <c r="AG74" i="3" l="1"/>
  <c r="AH74" i="3"/>
  <c r="U73" i="3"/>
  <c r="D74" i="3" s="1"/>
  <c r="Y72" i="3"/>
  <c r="G74" i="3" l="1"/>
  <c r="E74" i="3"/>
  <c r="H74" i="3" s="1"/>
  <c r="I74" i="3" l="1"/>
  <c r="J74" i="3"/>
  <c r="M74" i="3"/>
  <c r="N74" i="3" s="1"/>
  <c r="K74" i="3"/>
  <c r="F74" i="3"/>
  <c r="V74" i="3" l="1"/>
  <c r="W74" i="3" s="1"/>
  <c r="AE74" i="3"/>
  <c r="L74" i="3"/>
  <c r="AG75" i="3" l="1"/>
  <c r="U74" i="3"/>
  <c r="E75" i="3" s="1"/>
  <c r="H75" i="3" s="1"/>
  <c r="AH75" i="3"/>
  <c r="Y73" i="3"/>
  <c r="K75" i="3" l="1"/>
  <c r="D75" i="3"/>
  <c r="V75" i="3" l="1"/>
  <c r="AE75" i="3"/>
  <c r="F75" i="3"/>
  <c r="G75" i="3"/>
  <c r="I75" i="3" l="1"/>
  <c r="W75" i="3" s="1"/>
  <c r="J75" i="3"/>
  <c r="M75" i="3"/>
  <c r="N75" i="3" s="1"/>
  <c r="L75" i="3" l="1"/>
  <c r="U75" i="3" l="1"/>
  <c r="E76" i="3" s="1"/>
  <c r="H76" i="3" s="1"/>
  <c r="AH76" i="3"/>
  <c r="AG76" i="3"/>
  <c r="Y74" i="3"/>
  <c r="D76" i="3" l="1"/>
  <c r="F76" i="3" s="1"/>
  <c r="K76" i="3"/>
  <c r="G76" i="3" l="1"/>
  <c r="I76" i="3" s="1"/>
  <c r="V76" i="3"/>
  <c r="AE76" i="3"/>
  <c r="J76" i="3" l="1"/>
  <c r="L76" i="3" s="1"/>
  <c r="M76" i="3"/>
  <c r="N76" i="3" s="1"/>
  <c r="W76" i="3"/>
  <c r="U76" i="3" l="1"/>
  <c r="D77" i="3" s="1"/>
  <c r="AH77" i="3"/>
  <c r="AG77" i="3"/>
  <c r="Y75" i="3"/>
  <c r="E77" i="3" l="1"/>
  <c r="H77" i="3" s="1"/>
  <c r="K77" i="3" s="1"/>
  <c r="G77" i="3"/>
  <c r="F77" i="3" l="1"/>
  <c r="I77" i="3"/>
  <c r="J77" i="3"/>
  <c r="M77" i="3"/>
  <c r="N77" i="3" s="1"/>
  <c r="V77" i="3"/>
  <c r="AE77" i="3"/>
  <c r="W77" i="3" l="1"/>
  <c r="L77" i="3"/>
  <c r="AH78" i="3" l="1"/>
  <c r="U77" i="3"/>
  <c r="D78" i="3" s="1"/>
  <c r="AG78" i="3"/>
  <c r="Y76" i="3"/>
  <c r="E78" i="3" l="1"/>
  <c r="H78" i="3" s="1"/>
  <c r="K78" i="3" s="1"/>
  <c r="G78" i="3"/>
  <c r="F78" i="3" l="1"/>
  <c r="I78" i="3"/>
  <c r="J78" i="3"/>
  <c r="M78" i="3"/>
  <c r="N78" i="3" s="1"/>
  <c r="V78" i="3"/>
  <c r="AE78" i="3"/>
  <c r="W78" i="3" l="1"/>
  <c r="L78" i="3"/>
  <c r="U78" i="3" l="1"/>
  <c r="E79" i="3" s="1"/>
  <c r="H79" i="3" s="1"/>
  <c r="AH79" i="3"/>
  <c r="AG79" i="3"/>
  <c r="Y77" i="3"/>
  <c r="D79" i="3" l="1"/>
  <c r="G79" i="3" s="1"/>
  <c r="K79" i="3"/>
  <c r="F79" i="3" l="1"/>
  <c r="I79" i="3"/>
  <c r="J79" i="3"/>
  <c r="M79" i="3"/>
  <c r="N79" i="3" s="1"/>
  <c r="V79" i="3"/>
  <c r="AE79" i="3"/>
  <c r="W79" i="3" l="1"/>
  <c r="L79" i="3"/>
  <c r="AH80" i="3" l="1"/>
  <c r="AG80" i="3"/>
  <c r="U79" i="3"/>
  <c r="E80" i="3" s="1"/>
  <c r="H80" i="3" s="1"/>
  <c r="Y78" i="3"/>
  <c r="D80" i="3" l="1"/>
  <c r="F80" i="3" s="1"/>
  <c r="K80" i="3"/>
  <c r="G80" i="3" l="1"/>
  <c r="I80" i="3" s="1"/>
  <c r="V80" i="3"/>
  <c r="AE80" i="3"/>
  <c r="J80" i="3" l="1"/>
  <c r="L80" i="3" s="1"/>
  <c r="M80" i="3"/>
  <c r="N80" i="3" s="1"/>
  <c r="W80" i="3"/>
  <c r="U80" i="3" l="1"/>
  <c r="E81" i="3" s="1"/>
  <c r="H81" i="3" s="1"/>
  <c r="AG81" i="3"/>
  <c r="AH81" i="3"/>
  <c r="Y79" i="3"/>
  <c r="D81" i="3" l="1"/>
  <c r="G81" i="3" s="1"/>
  <c r="K81" i="3"/>
  <c r="F81" i="3" l="1"/>
  <c r="I81" i="3"/>
  <c r="J81" i="3"/>
  <c r="M81" i="3"/>
  <c r="N81" i="3" s="1"/>
  <c r="V81" i="3"/>
  <c r="AE81" i="3"/>
  <c r="W81" i="3" l="1"/>
  <c r="L81" i="3"/>
  <c r="AH82" i="3" l="1"/>
  <c r="AG82" i="3"/>
  <c r="U81" i="3"/>
  <c r="E82" i="3" s="1"/>
  <c r="H82" i="3" s="1"/>
  <c r="Y80" i="3"/>
  <c r="D82" i="3" l="1"/>
  <c r="G82" i="3" s="1"/>
  <c r="K82" i="3"/>
  <c r="F82" i="3" l="1"/>
  <c r="I82" i="3"/>
  <c r="J82" i="3"/>
  <c r="M82" i="3"/>
  <c r="N82" i="3" s="1"/>
  <c r="V82" i="3"/>
  <c r="AE82" i="3"/>
  <c r="W82" i="3" l="1"/>
  <c r="L82" i="3"/>
  <c r="AG83" i="3" l="1"/>
  <c r="U82" i="3"/>
  <c r="D83" i="3" s="1"/>
  <c r="AH83" i="3"/>
  <c r="Y81" i="3"/>
  <c r="E83" i="3" l="1"/>
  <c r="H83" i="3" s="1"/>
  <c r="K83" i="3" s="1"/>
  <c r="G83" i="3"/>
  <c r="F83" i="3" l="1"/>
  <c r="I83" i="3"/>
  <c r="J83" i="3"/>
  <c r="M83" i="3"/>
  <c r="N83" i="3" s="1"/>
  <c r="V83" i="3"/>
  <c r="AE83" i="3"/>
  <c r="W83" i="3" l="1"/>
  <c r="L83" i="3"/>
  <c r="AG84" i="3" l="1"/>
  <c r="AH84" i="3"/>
  <c r="U83" i="3"/>
  <c r="D84" i="3" s="1"/>
  <c r="Y82" i="3"/>
  <c r="G84" i="3" l="1"/>
  <c r="E84" i="3"/>
  <c r="H84" i="3" s="1"/>
  <c r="K84" i="3" l="1"/>
  <c r="I84" i="3"/>
  <c r="J84" i="3"/>
  <c r="M84" i="3"/>
  <c r="N84" i="3" s="1"/>
  <c r="F84" i="3"/>
  <c r="L84" i="3" l="1"/>
  <c r="V84" i="3"/>
  <c r="W84" i="3" s="1"/>
  <c r="AE84" i="3"/>
  <c r="AH85" i="3" l="1"/>
  <c r="AG85" i="3"/>
  <c r="U84" i="3"/>
  <c r="D85" i="3" s="1"/>
  <c r="Y83" i="3"/>
  <c r="E85" i="3" l="1"/>
  <c r="H85" i="3" s="1"/>
  <c r="K85" i="3" s="1"/>
  <c r="G85" i="3"/>
  <c r="F85" i="3" l="1"/>
  <c r="I85" i="3"/>
  <c r="J85" i="3"/>
  <c r="M85" i="3"/>
  <c r="N85" i="3" s="1"/>
  <c r="V85" i="3"/>
  <c r="AE85" i="3"/>
  <c r="W85" i="3" l="1"/>
  <c r="L85" i="3"/>
  <c r="AH86" i="3" l="1"/>
  <c r="AG86" i="3"/>
  <c r="U85" i="3"/>
  <c r="E86" i="3" s="1"/>
  <c r="H86" i="3" s="1"/>
  <c r="Y84" i="3"/>
  <c r="D86" i="3" l="1"/>
  <c r="F86" i="3" s="1"/>
  <c r="K86" i="3"/>
  <c r="G86" i="3" l="1"/>
  <c r="M86" i="3" s="1"/>
  <c r="N86" i="3" s="1"/>
  <c r="V86" i="3"/>
  <c r="AE86" i="3"/>
  <c r="I86" i="3" l="1"/>
  <c r="W86" i="3" s="1"/>
  <c r="J86" i="3"/>
  <c r="L86" i="3" s="1"/>
  <c r="U86" i="3" l="1"/>
  <c r="E87" i="3" s="1"/>
  <c r="H87" i="3" s="1"/>
  <c r="AH87" i="3"/>
  <c r="AG87" i="3"/>
  <c r="Y85" i="3"/>
  <c r="D87" i="3" l="1"/>
  <c r="G87" i="3" s="1"/>
  <c r="K87" i="3"/>
  <c r="F87" i="3" l="1"/>
  <c r="V87" i="3"/>
  <c r="AE87" i="3"/>
  <c r="I87" i="3"/>
  <c r="J87" i="3"/>
  <c r="M87" i="3"/>
  <c r="N87" i="3" s="1"/>
  <c r="L87" i="3" l="1"/>
  <c r="W87" i="3"/>
  <c r="U87" i="3" l="1"/>
  <c r="E88" i="3" s="1"/>
  <c r="H88" i="3" s="1"/>
  <c r="AG88" i="3"/>
  <c r="AH88" i="3"/>
  <c r="Y86" i="3"/>
  <c r="D88" i="3" l="1"/>
  <c r="G88" i="3" s="1"/>
  <c r="K88" i="3"/>
  <c r="F88" i="3" l="1"/>
  <c r="I88" i="3"/>
  <c r="J88" i="3"/>
  <c r="M88" i="3"/>
  <c r="N88" i="3" s="1"/>
  <c r="V88" i="3"/>
  <c r="AE88" i="3"/>
  <c r="W88" i="3" l="1"/>
  <c r="L88" i="3"/>
  <c r="AH89" i="3" l="1"/>
  <c r="U88" i="3"/>
  <c r="E89" i="3" s="1"/>
  <c r="H89" i="3" s="1"/>
  <c r="AG89" i="3"/>
  <c r="Y87" i="3"/>
  <c r="K89" i="3" l="1"/>
  <c r="D89" i="3"/>
  <c r="V89" i="3" l="1"/>
  <c r="AE89" i="3"/>
  <c r="F89" i="3"/>
  <c r="G89" i="3"/>
  <c r="I89" i="3" l="1"/>
  <c r="W89" i="3" s="1"/>
  <c r="J89" i="3"/>
  <c r="M89" i="3"/>
  <c r="N89" i="3" s="1"/>
  <c r="L89" i="3" l="1"/>
  <c r="U89" i="3" l="1"/>
  <c r="D90" i="3" s="1"/>
  <c r="AH90" i="3"/>
  <c r="AG90" i="3"/>
  <c r="Y88" i="3"/>
  <c r="G90" i="3" l="1"/>
  <c r="E90" i="3"/>
  <c r="H90" i="3" s="1"/>
  <c r="F90" i="3" l="1"/>
  <c r="I90" i="3"/>
  <c r="J90" i="3"/>
  <c r="M90" i="3"/>
  <c r="N90" i="3" s="1"/>
  <c r="K90" i="3"/>
  <c r="V90" i="3" l="1"/>
  <c r="W90" i="3" s="1"/>
  <c r="AE90" i="3"/>
  <c r="L90" i="3"/>
  <c r="AG91" i="3" l="1"/>
  <c r="AH91" i="3"/>
  <c r="U90" i="3"/>
  <c r="D91" i="3" s="1"/>
  <c r="Y89" i="3"/>
  <c r="G91" i="3" l="1"/>
  <c r="E91" i="3"/>
  <c r="H91" i="3" s="1"/>
  <c r="F91" i="3" l="1"/>
  <c r="I91" i="3"/>
  <c r="J91" i="3"/>
  <c r="M91" i="3"/>
  <c r="N91" i="3" s="1"/>
  <c r="K91" i="3"/>
  <c r="V91" i="3" l="1"/>
  <c r="W91" i="3" s="1"/>
  <c r="AE91" i="3"/>
  <c r="L91" i="3"/>
  <c r="AH92" i="3" l="1"/>
  <c r="AG92" i="3"/>
  <c r="U91" i="3"/>
  <c r="D92" i="3" s="1"/>
  <c r="Y90" i="3"/>
  <c r="G92" i="3" l="1"/>
  <c r="E92" i="3"/>
  <c r="H92" i="3" s="1"/>
  <c r="F92" i="3" l="1"/>
  <c r="I92" i="3"/>
  <c r="J92" i="3"/>
  <c r="M92" i="3"/>
  <c r="N92" i="3" s="1"/>
  <c r="K92" i="3"/>
  <c r="V92" i="3" l="1"/>
  <c r="W92" i="3" s="1"/>
  <c r="AE92" i="3"/>
  <c r="L92" i="3"/>
  <c r="U92" i="3" l="1"/>
  <c r="D93" i="3" s="1"/>
  <c r="AH93" i="3"/>
  <c r="AG93" i="3"/>
  <c r="Y91" i="3"/>
  <c r="E93" i="3" l="1"/>
  <c r="H93" i="3" s="1"/>
  <c r="K93" i="3" s="1"/>
  <c r="G93" i="3"/>
  <c r="F93" i="3" l="1"/>
  <c r="I93" i="3"/>
  <c r="J93" i="3"/>
  <c r="M93" i="3"/>
  <c r="N93" i="3" s="1"/>
  <c r="V93" i="3"/>
  <c r="AE93" i="3"/>
  <c r="W93" i="3" l="1"/>
  <c r="L93" i="3"/>
  <c r="AG94" i="3" l="1"/>
  <c r="AH94" i="3"/>
  <c r="U93" i="3"/>
  <c r="D94" i="3" s="1"/>
  <c r="Y92" i="3"/>
  <c r="E94" i="3" l="1"/>
  <c r="H94" i="3" s="1"/>
  <c r="K94" i="3" s="1"/>
  <c r="G94" i="3"/>
  <c r="F94" i="3" l="1"/>
  <c r="I94" i="3"/>
  <c r="J94" i="3"/>
  <c r="M94" i="3"/>
  <c r="N94" i="3" s="1"/>
  <c r="V94" i="3"/>
  <c r="AE94" i="3"/>
  <c r="L94" i="3" l="1"/>
  <c r="W94" i="3"/>
  <c r="U94" i="3" l="1"/>
  <c r="D95" i="3" s="1"/>
  <c r="AG95" i="3"/>
  <c r="AH95" i="3"/>
  <c r="Y93" i="3"/>
  <c r="E95" i="3" l="1"/>
  <c r="H95" i="3" s="1"/>
  <c r="K95" i="3" s="1"/>
  <c r="G95" i="3"/>
  <c r="F95" i="3" l="1"/>
  <c r="I95" i="3"/>
  <c r="J95" i="3"/>
  <c r="M95" i="3"/>
  <c r="N95" i="3" s="1"/>
  <c r="V95" i="3"/>
  <c r="AE95" i="3"/>
  <c r="W95" i="3" l="1"/>
  <c r="L95" i="3"/>
  <c r="AG96" i="3" l="1"/>
  <c r="AH96" i="3"/>
  <c r="U95" i="3"/>
  <c r="D96" i="3" s="1"/>
  <c r="Y94" i="3"/>
  <c r="G96" i="3" l="1"/>
  <c r="E96" i="3"/>
  <c r="H96" i="3" s="1"/>
  <c r="F96" i="3" l="1"/>
  <c r="I96" i="3"/>
  <c r="J96" i="3"/>
  <c r="M96" i="3"/>
  <c r="N96" i="3" s="1"/>
  <c r="K96" i="3"/>
  <c r="L96" i="3" l="1"/>
  <c r="V96" i="3"/>
  <c r="W96" i="3" s="1"/>
  <c r="AE96" i="3"/>
  <c r="AG97" i="3" l="1"/>
  <c r="AH97" i="3"/>
  <c r="U96" i="3"/>
  <c r="E97" i="3" s="1"/>
  <c r="H97" i="3" s="1"/>
  <c r="Y95" i="3"/>
  <c r="K97" i="3" l="1"/>
  <c r="D97" i="3"/>
  <c r="V97" i="3" l="1"/>
  <c r="AE97" i="3"/>
  <c r="F97" i="3"/>
  <c r="G97" i="3"/>
  <c r="I97" i="3" l="1"/>
  <c r="W97" i="3" s="1"/>
  <c r="J97" i="3"/>
  <c r="M97" i="3"/>
  <c r="N97" i="3" s="1"/>
  <c r="L97" i="3" l="1"/>
  <c r="U97" i="3" l="1"/>
  <c r="D98" i="3" s="1"/>
  <c r="AH98" i="3"/>
  <c r="AG98" i="3"/>
  <c r="Y96" i="3"/>
  <c r="G98" i="3" l="1"/>
  <c r="E98" i="3"/>
  <c r="H98" i="3" s="1"/>
  <c r="I98" i="3" l="1"/>
  <c r="J98" i="3"/>
  <c r="M98" i="3"/>
  <c r="N98" i="3" s="1"/>
  <c r="F98" i="3"/>
  <c r="K98" i="3"/>
  <c r="L98" i="3" l="1"/>
  <c r="V98" i="3"/>
  <c r="W98" i="3" s="1"/>
  <c r="AE98" i="3"/>
  <c r="AG99" i="3" l="1"/>
  <c r="AH99" i="3"/>
  <c r="U98" i="3"/>
  <c r="D99" i="3" s="1"/>
  <c r="Y97" i="3"/>
  <c r="G99" i="3" l="1"/>
  <c r="E99" i="3"/>
  <c r="H99" i="3" s="1"/>
  <c r="F99" i="3" l="1"/>
  <c r="I99" i="3"/>
  <c r="J99" i="3"/>
  <c r="M99" i="3"/>
  <c r="N99" i="3" s="1"/>
  <c r="K99" i="3"/>
  <c r="V99" i="3" l="1"/>
  <c r="W99" i="3" s="1"/>
  <c r="AE99" i="3"/>
  <c r="L99" i="3"/>
  <c r="U99" i="3" l="1"/>
  <c r="D100" i="3" s="1"/>
  <c r="AH100" i="3"/>
  <c r="AG100" i="3"/>
  <c r="Y98" i="3"/>
  <c r="E100" i="3" l="1"/>
  <c r="H100" i="3" s="1"/>
  <c r="K100" i="3" s="1"/>
  <c r="G100" i="3"/>
  <c r="F100" i="3" l="1"/>
  <c r="V100" i="3"/>
  <c r="AE100" i="3"/>
  <c r="I100" i="3"/>
  <c r="J100" i="3"/>
  <c r="M100" i="3"/>
  <c r="N100" i="3" s="1"/>
  <c r="W100" i="3" l="1"/>
  <c r="L100" i="3"/>
  <c r="AH101" i="3" l="1"/>
  <c r="U100" i="3"/>
  <c r="E101" i="3" s="1"/>
  <c r="H101" i="3" s="1"/>
  <c r="AG101" i="3"/>
  <c r="Y99" i="3"/>
  <c r="K101" i="3" l="1"/>
  <c r="D101" i="3"/>
  <c r="V101" i="3" l="1"/>
  <c r="AE101" i="3"/>
  <c r="F101" i="3"/>
  <c r="G101" i="3"/>
  <c r="I101" i="3" l="1"/>
  <c r="W101" i="3" s="1"/>
  <c r="J101" i="3"/>
  <c r="M101" i="3"/>
  <c r="N101" i="3" s="1"/>
  <c r="L101" i="3" l="1"/>
  <c r="AH102" i="3" l="1"/>
  <c r="AG102" i="3"/>
  <c r="U101" i="3"/>
  <c r="E102" i="3" s="1"/>
  <c r="H102" i="3" s="1"/>
  <c r="Y100" i="3"/>
  <c r="K102" i="3" l="1"/>
  <c r="D102" i="3"/>
  <c r="V102" i="3" l="1"/>
  <c r="AE102" i="3"/>
  <c r="F102" i="3"/>
  <c r="G102" i="3"/>
  <c r="I102" i="3" l="1"/>
  <c r="W102" i="3" s="1"/>
  <c r="J102" i="3"/>
  <c r="M102" i="3"/>
  <c r="N102" i="3" s="1"/>
  <c r="L102" i="3" l="1"/>
  <c r="AG103" i="3" l="1"/>
  <c r="AH103" i="3"/>
  <c r="U102" i="3"/>
  <c r="E103" i="3" s="1"/>
  <c r="H103" i="3" s="1"/>
  <c r="Y101" i="3"/>
  <c r="K103" i="3" l="1"/>
  <c r="D103" i="3"/>
  <c r="V103" i="3" l="1"/>
  <c r="AE103" i="3"/>
  <c r="F103" i="3"/>
  <c r="G103" i="3"/>
  <c r="I103" i="3" l="1"/>
  <c r="W103" i="3" s="1"/>
  <c r="J103" i="3"/>
  <c r="M103" i="3"/>
  <c r="N103" i="3" s="1"/>
  <c r="L103" i="3" l="1"/>
  <c r="AG104" i="3" l="1"/>
  <c r="AH104" i="3"/>
  <c r="U103" i="3"/>
  <c r="E104" i="3" s="1"/>
  <c r="H104" i="3" s="1"/>
  <c r="Y102" i="3"/>
  <c r="K104" i="3" l="1"/>
  <c r="A105" i="3" s="1"/>
  <c r="B105" i="3" s="1"/>
  <c r="D104" i="3"/>
  <c r="AA105" i="3" l="1"/>
  <c r="P105" i="3"/>
  <c r="Q105" i="3" s="1"/>
  <c r="R105" i="3" s="1"/>
  <c r="S105" i="3" s="1"/>
  <c r="AD105" i="3"/>
  <c r="Z105" i="3"/>
  <c r="AC105" i="3"/>
  <c r="V104" i="3"/>
  <c r="AE104" i="3"/>
  <c r="F104" i="3"/>
  <c r="G104" i="3"/>
  <c r="T105" i="3" l="1"/>
  <c r="I104" i="3"/>
  <c r="W104" i="3" s="1"/>
  <c r="J104" i="3"/>
  <c r="M104" i="3"/>
  <c r="N104" i="3" s="1"/>
  <c r="L104" i="3" l="1"/>
  <c r="AD104" i="3"/>
  <c r="U104" i="3" l="1"/>
  <c r="E105" i="3" s="1"/>
  <c r="H105" i="3" s="1"/>
  <c r="AG105" i="3"/>
  <c r="AH105" i="3"/>
  <c r="Y103" i="3"/>
  <c r="D105" i="3" l="1"/>
  <c r="G105" i="3" s="1"/>
  <c r="K105" i="3"/>
  <c r="A106" i="3" s="1"/>
  <c r="B106" i="3" s="1"/>
  <c r="Z106" i="3" l="1"/>
  <c r="AC106" i="3"/>
  <c r="AA106" i="3"/>
  <c r="AD106" i="3"/>
  <c r="P106" i="3"/>
  <c r="Q106" i="3" s="1"/>
  <c r="R106" i="3" s="1"/>
  <c r="S106" i="3" s="1"/>
  <c r="F105" i="3"/>
  <c r="V105" i="3"/>
  <c r="AE105" i="3"/>
  <c r="I105" i="3"/>
  <c r="J105" i="3"/>
  <c r="M105" i="3"/>
  <c r="N105" i="3" s="1"/>
  <c r="T106" i="3" l="1"/>
  <c r="W105" i="3"/>
  <c r="L105" i="3"/>
  <c r="AH106" i="3" l="1"/>
  <c r="AG106" i="3"/>
  <c r="U105" i="3"/>
  <c r="D106" i="3" s="1"/>
  <c r="Y104" i="3"/>
  <c r="E106" i="3" l="1"/>
  <c r="H106" i="3" s="1"/>
  <c r="K106" i="3" s="1"/>
  <c r="A107" i="3" s="1"/>
  <c r="B107" i="3" s="1"/>
  <c r="G106" i="3"/>
  <c r="Z107" i="3" l="1"/>
  <c r="AA107" i="3"/>
  <c r="AC107" i="3"/>
  <c r="P107" i="3"/>
  <c r="Q107" i="3" s="1"/>
  <c r="R107" i="3" s="1"/>
  <c r="S107" i="3" s="1"/>
  <c r="AD107" i="3"/>
  <c r="F106" i="3"/>
  <c r="V106" i="3"/>
  <c r="AE106" i="3"/>
  <c r="I106" i="3"/>
  <c r="J106" i="3"/>
  <c r="M106" i="3"/>
  <c r="N106" i="3" s="1"/>
  <c r="T107" i="3" l="1"/>
  <c r="W106" i="3"/>
  <c r="L106" i="3"/>
  <c r="AG107" i="3" l="1"/>
  <c r="AH107" i="3"/>
  <c r="U106" i="3"/>
  <c r="E107" i="3" s="1"/>
  <c r="H107" i="3" s="1"/>
  <c r="Y105" i="3"/>
  <c r="K107" i="3" l="1"/>
  <c r="A108" i="3" s="1"/>
  <c r="B108" i="3" s="1"/>
  <c r="D107" i="3"/>
  <c r="AA108" i="3" l="1"/>
  <c r="AC108" i="3"/>
  <c r="AD108" i="3"/>
  <c r="Z108" i="3"/>
  <c r="P108" i="3"/>
  <c r="Q108" i="3" s="1"/>
  <c r="R108" i="3" s="1"/>
  <c r="S108" i="3" s="1"/>
  <c r="V107" i="3"/>
  <c r="AE107" i="3"/>
  <c r="F107" i="3"/>
  <c r="G107" i="3"/>
  <c r="T108" i="3" l="1"/>
  <c r="I107" i="3"/>
  <c r="W107" i="3" s="1"/>
  <c r="J107" i="3"/>
  <c r="M107" i="3"/>
  <c r="N107" i="3" s="1"/>
  <c r="L107" i="3" l="1"/>
  <c r="AH108" i="3" l="1"/>
  <c r="U107" i="3"/>
  <c r="E108" i="3" s="1"/>
  <c r="H108" i="3" s="1"/>
  <c r="AG108" i="3"/>
  <c r="Y106" i="3"/>
  <c r="D108" i="3" l="1"/>
  <c r="G108" i="3" s="1"/>
  <c r="K108" i="3"/>
  <c r="A109" i="3" s="1"/>
  <c r="B109" i="3" s="1"/>
  <c r="P109" i="3" l="1"/>
  <c r="Q109" i="3" s="1"/>
  <c r="R109" i="3" s="1"/>
  <c r="S109" i="3" s="1"/>
  <c r="AA109" i="3"/>
  <c r="Z109" i="3"/>
  <c r="AD109" i="3"/>
  <c r="AC109" i="3"/>
  <c r="F108" i="3"/>
  <c r="I108" i="3"/>
  <c r="J108" i="3"/>
  <c r="M108" i="3"/>
  <c r="N108" i="3" s="1"/>
  <c r="V108" i="3"/>
  <c r="AE108" i="3"/>
  <c r="T109" i="3" l="1"/>
  <c r="W108" i="3"/>
  <c r="L108" i="3"/>
  <c r="AG109" i="3" l="1"/>
  <c r="U108" i="3"/>
  <c r="D109" i="3" s="1"/>
  <c r="AH109" i="3"/>
  <c r="Y107" i="3"/>
  <c r="E109" i="3" l="1"/>
  <c r="H109" i="3" s="1"/>
  <c r="K109" i="3" s="1"/>
  <c r="A110" i="3" s="1"/>
  <c r="B110" i="3" s="1"/>
  <c r="G109" i="3"/>
  <c r="AD110" i="3" l="1"/>
  <c r="P110" i="3"/>
  <c r="Q110" i="3" s="1"/>
  <c r="R110" i="3" s="1"/>
  <c r="S110" i="3" s="1"/>
  <c r="AA110" i="3"/>
  <c r="Z110" i="3"/>
  <c r="AC110" i="3"/>
  <c r="F109" i="3"/>
  <c r="V109" i="3"/>
  <c r="AE109" i="3"/>
  <c r="I109" i="3"/>
  <c r="J109" i="3"/>
  <c r="M109" i="3"/>
  <c r="N109" i="3" s="1"/>
  <c r="T110" i="3" l="1"/>
  <c r="L109" i="3"/>
  <c r="W109" i="3"/>
  <c r="AH110" i="3" l="1"/>
  <c r="AG110" i="3"/>
  <c r="U109" i="3"/>
  <c r="D110" i="3" s="1"/>
  <c r="Y108" i="3"/>
  <c r="E110" i="3" l="1"/>
  <c r="H110" i="3" s="1"/>
  <c r="K110" i="3" s="1"/>
  <c r="A111" i="3" s="1"/>
  <c r="B111" i="3" s="1"/>
  <c r="G110" i="3"/>
  <c r="AA111" i="3" l="1"/>
  <c r="AC111" i="3"/>
  <c r="P111" i="3"/>
  <c r="Q111" i="3" s="1"/>
  <c r="R111" i="3" s="1"/>
  <c r="S111" i="3" s="1"/>
  <c r="Z111" i="3"/>
  <c r="AD111" i="3"/>
  <c r="F110" i="3"/>
  <c r="I110" i="3"/>
  <c r="J110" i="3"/>
  <c r="M110" i="3"/>
  <c r="N110" i="3" s="1"/>
  <c r="V110" i="3"/>
  <c r="AE110" i="3"/>
  <c r="T111" i="3" l="1"/>
  <c r="W110" i="3"/>
  <c r="L110" i="3"/>
  <c r="AH111" i="3" l="1"/>
  <c r="U110" i="3"/>
  <c r="E111" i="3" s="1"/>
  <c r="H111" i="3" s="1"/>
  <c r="AG111" i="3"/>
  <c r="Y109" i="3"/>
  <c r="D111" i="3" l="1"/>
  <c r="G111" i="3" s="1"/>
  <c r="K111" i="3"/>
  <c r="A112" i="3" s="1"/>
  <c r="B112" i="3" s="1"/>
  <c r="AD112" i="3" l="1"/>
  <c r="AA112" i="3"/>
  <c r="AC112" i="3"/>
  <c r="P112" i="3"/>
  <c r="Q112" i="3" s="1"/>
  <c r="R112" i="3" s="1"/>
  <c r="S112" i="3" s="1"/>
  <c r="Z112" i="3"/>
  <c r="F111" i="3"/>
  <c r="I111" i="3"/>
  <c r="J111" i="3"/>
  <c r="M111" i="3"/>
  <c r="N111" i="3" s="1"/>
  <c r="V111" i="3"/>
  <c r="AE111" i="3"/>
  <c r="T112" i="3" l="1"/>
  <c r="W111" i="3"/>
  <c r="L111" i="3"/>
  <c r="AH112" i="3" l="1"/>
  <c r="U111" i="3"/>
  <c r="D112" i="3" s="1"/>
  <c r="AG112" i="3"/>
  <c r="Y110" i="3"/>
  <c r="E112" i="3" l="1"/>
  <c r="H112" i="3" s="1"/>
  <c r="K112" i="3" s="1"/>
  <c r="A113" i="3" s="1"/>
  <c r="B113" i="3" s="1"/>
  <c r="G112" i="3"/>
  <c r="AC113" i="3" l="1"/>
  <c r="AA113" i="3"/>
  <c r="Z113" i="3"/>
  <c r="P113" i="3"/>
  <c r="Q113" i="3" s="1"/>
  <c r="R113" i="3" s="1"/>
  <c r="S113" i="3" s="1"/>
  <c r="AD113" i="3"/>
  <c r="F112" i="3"/>
  <c r="V112" i="3"/>
  <c r="AE112" i="3"/>
  <c r="I112" i="3"/>
  <c r="J112" i="3"/>
  <c r="M112" i="3"/>
  <c r="N112" i="3" s="1"/>
  <c r="T113" i="3" l="1"/>
  <c r="W112" i="3"/>
  <c r="L112" i="3"/>
  <c r="AG113" i="3" l="1"/>
  <c r="U112" i="3"/>
  <c r="E113" i="3" s="1"/>
  <c r="H113" i="3" s="1"/>
  <c r="AH113" i="3"/>
  <c r="Y111" i="3"/>
  <c r="D113" i="3" l="1"/>
  <c r="G113" i="3" s="1"/>
  <c r="K113" i="3"/>
  <c r="A114" i="3" s="1"/>
  <c r="B114" i="3" s="1"/>
  <c r="Z114" i="3" l="1"/>
  <c r="AC114" i="3"/>
  <c r="AA114" i="3"/>
  <c r="P114" i="3"/>
  <c r="Q114" i="3" s="1"/>
  <c r="R114" i="3" s="1"/>
  <c r="S114" i="3" s="1"/>
  <c r="F113" i="3"/>
  <c r="V113" i="3"/>
  <c r="AE113" i="3"/>
  <c r="I113" i="3"/>
  <c r="J113" i="3"/>
  <c r="M113" i="3"/>
  <c r="N113" i="3" s="1"/>
  <c r="T114" i="3" l="1"/>
  <c r="W113" i="3"/>
  <c r="L113" i="3"/>
  <c r="AH114" i="3" l="1"/>
  <c r="U113" i="3"/>
  <c r="D114" i="3" s="1"/>
  <c r="AG114" i="3"/>
  <c r="Y112" i="3"/>
  <c r="E114" i="3" l="1"/>
  <c r="H114" i="3" s="1"/>
  <c r="K114" i="3" s="1"/>
  <c r="A115" i="3" s="1"/>
  <c r="B115" i="3" s="1"/>
  <c r="G114" i="3"/>
  <c r="AA115" i="3" l="1"/>
  <c r="AD115" i="3"/>
  <c r="P115" i="3"/>
  <c r="Q115" i="3" s="1"/>
  <c r="R115" i="3" s="1"/>
  <c r="S115" i="3" s="1"/>
  <c r="Z115" i="3"/>
  <c r="AC115" i="3"/>
  <c r="F114" i="3"/>
  <c r="I114" i="3"/>
  <c r="J114" i="3"/>
  <c r="AD114" i="3" s="1"/>
  <c r="M114" i="3"/>
  <c r="N114" i="3" s="1"/>
  <c r="V114" i="3"/>
  <c r="AE114" i="3"/>
  <c r="T115" i="3" l="1"/>
  <c r="W114" i="3"/>
  <c r="L114" i="3"/>
  <c r="U114" i="3" l="1"/>
  <c r="D115" i="3" s="1"/>
  <c r="AH115" i="3"/>
  <c r="AG115" i="3"/>
  <c r="Y113" i="3"/>
  <c r="G115" i="3" l="1"/>
  <c r="E115" i="3"/>
  <c r="H115" i="3" s="1"/>
  <c r="F115" i="3" l="1"/>
  <c r="I115" i="3"/>
  <c r="J115" i="3"/>
  <c r="M115" i="3"/>
  <c r="N115" i="3" s="1"/>
  <c r="K115" i="3"/>
  <c r="A116" i="3" s="1"/>
  <c r="B116" i="3" s="1"/>
  <c r="AD116" i="3" l="1"/>
  <c r="AA116" i="3"/>
  <c r="AC116" i="3"/>
  <c r="Z116" i="3"/>
  <c r="P116" i="3"/>
  <c r="Q116" i="3" s="1"/>
  <c r="R116" i="3" s="1"/>
  <c r="S116" i="3" s="1"/>
  <c r="V115" i="3"/>
  <c r="W115" i="3" s="1"/>
  <c r="AE115" i="3"/>
  <c r="L115" i="3"/>
  <c r="T116" i="3" l="1"/>
  <c r="AH116" i="3" s="1"/>
  <c r="U115" i="3"/>
  <c r="Y114" i="3"/>
  <c r="AG116" i="3" l="1"/>
  <c r="E116" i="3"/>
  <c r="H116" i="3" s="1"/>
  <c r="K116" i="3" s="1"/>
  <c r="A117" i="3" s="1"/>
  <c r="B117" i="3" s="1"/>
  <c r="D116" i="3"/>
  <c r="P117" i="3" l="1"/>
  <c r="Q117" i="3" s="1"/>
  <c r="R117" i="3" s="1"/>
  <c r="S117" i="3" s="1"/>
  <c r="AC117" i="3"/>
  <c r="AD117" i="3"/>
  <c r="AA117" i="3"/>
  <c r="Z117" i="3"/>
  <c r="V116" i="3"/>
  <c r="AE116" i="3"/>
  <c r="F116" i="3"/>
  <c r="G116" i="3"/>
  <c r="T117" i="3" l="1"/>
  <c r="I116" i="3"/>
  <c r="W116" i="3" s="1"/>
  <c r="J116" i="3"/>
  <c r="M116" i="3"/>
  <c r="N116" i="3" s="1"/>
  <c r="L116" i="3" l="1"/>
  <c r="U116" i="3" l="1"/>
  <c r="D117" i="3" s="1"/>
  <c r="AH117" i="3"/>
  <c r="AG117" i="3"/>
  <c r="Y115" i="3"/>
  <c r="E117" i="3" l="1"/>
  <c r="H117" i="3" s="1"/>
  <c r="K117" i="3" s="1"/>
  <c r="A118" i="3" s="1"/>
  <c r="B118" i="3" s="1"/>
  <c r="G117" i="3"/>
  <c r="P118" i="3" l="1"/>
  <c r="Q118" i="3" s="1"/>
  <c r="R118" i="3" s="1"/>
  <c r="S118" i="3" s="1"/>
  <c r="Z118" i="3"/>
  <c r="AA118" i="3"/>
  <c r="AC118" i="3"/>
  <c r="AD118" i="3"/>
  <c r="F117" i="3"/>
  <c r="I117" i="3"/>
  <c r="J117" i="3"/>
  <c r="M117" i="3"/>
  <c r="N117" i="3" s="1"/>
  <c r="V117" i="3"/>
  <c r="AE117" i="3"/>
  <c r="T118" i="3" l="1"/>
  <c r="W117" i="3"/>
  <c r="L117" i="3"/>
  <c r="AG118" i="3" l="1"/>
  <c r="U117" i="3"/>
  <c r="D118" i="3" s="1"/>
  <c r="AH118" i="3"/>
  <c r="Y116" i="3"/>
  <c r="E118" i="3" l="1"/>
  <c r="H118" i="3" s="1"/>
  <c r="K118" i="3" s="1"/>
  <c r="A119" i="3" s="1"/>
  <c r="B119" i="3" s="1"/>
  <c r="G118" i="3"/>
  <c r="AD119" i="3" l="1"/>
  <c r="Z119" i="3"/>
  <c r="AA119" i="3"/>
  <c r="P119" i="3"/>
  <c r="Q119" i="3" s="1"/>
  <c r="R119" i="3" s="1"/>
  <c r="S119" i="3" s="1"/>
  <c r="AC119" i="3"/>
  <c r="F118" i="3"/>
  <c r="I118" i="3"/>
  <c r="J118" i="3"/>
  <c r="M118" i="3"/>
  <c r="N118" i="3" s="1"/>
  <c r="V118" i="3"/>
  <c r="AE118" i="3"/>
  <c r="T119" i="3" l="1"/>
  <c r="L118" i="3"/>
  <c r="W118" i="3"/>
  <c r="U118" i="3" l="1"/>
  <c r="E119" i="3" s="1"/>
  <c r="H119" i="3" s="1"/>
  <c r="AG119" i="3"/>
  <c r="AH119" i="3"/>
  <c r="Y117" i="3"/>
  <c r="D119" i="3" l="1"/>
  <c r="F119" i="3" s="1"/>
  <c r="K119" i="3"/>
  <c r="A120" i="3" s="1"/>
  <c r="B120" i="3" s="1"/>
  <c r="P120" i="3" l="1"/>
  <c r="Q120" i="3" s="1"/>
  <c r="R120" i="3" s="1"/>
  <c r="S120" i="3" s="1"/>
  <c r="Z120" i="3"/>
  <c r="AA120" i="3"/>
  <c r="AC120" i="3"/>
  <c r="AD120" i="3"/>
  <c r="G119" i="3"/>
  <c r="M119" i="3" s="1"/>
  <c r="N119" i="3" s="1"/>
  <c r="V119" i="3"/>
  <c r="AE119" i="3"/>
  <c r="T120" i="3" l="1"/>
  <c r="I119" i="3"/>
  <c r="W119" i="3" s="1"/>
  <c r="J119" i="3"/>
  <c r="L119" i="3" s="1"/>
  <c r="AH120" i="3" l="1"/>
  <c r="U119" i="3"/>
  <c r="D120" i="3" s="1"/>
  <c r="AG120" i="3"/>
  <c r="Y118" i="3"/>
  <c r="E120" i="3" l="1"/>
  <c r="H120" i="3" s="1"/>
  <c r="K120" i="3" s="1"/>
  <c r="A121" i="3" s="1"/>
  <c r="B121" i="3" s="1"/>
  <c r="G120" i="3"/>
  <c r="P121" i="3" l="1"/>
  <c r="Q121" i="3" s="1"/>
  <c r="R121" i="3" s="1"/>
  <c r="S121" i="3" s="1"/>
  <c r="AC121" i="3"/>
  <c r="AA121" i="3"/>
  <c r="Z121" i="3"/>
  <c r="AD121" i="3"/>
  <c r="F120" i="3"/>
  <c r="I120" i="3"/>
  <c r="J120" i="3"/>
  <c r="M120" i="3"/>
  <c r="N120" i="3" s="1"/>
  <c r="V120" i="3"/>
  <c r="AE120" i="3"/>
  <c r="T121" i="3" l="1"/>
  <c r="W120" i="3"/>
  <c r="L120" i="3"/>
  <c r="U120" i="3" l="1"/>
  <c r="E121" i="3" s="1"/>
  <c r="H121" i="3" s="1"/>
  <c r="AH121" i="3"/>
  <c r="AG121" i="3"/>
  <c r="Y119" i="3"/>
  <c r="D121" i="3" l="1"/>
  <c r="G121" i="3" s="1"/>
  <c r="K121" i="3"/>
  <c r="A122" i="3" s="1"/>
  <c r="B122" i="3" s="1"/>
  <c r="AA122" i="3" l="1"/>
  <c r="AD122" i="3"/>
  <c r="Z122" i="3"/>
  <c r="P122" i="3"/>
  <c r="Q122" i="3" s="1"/>
  <c r="R122" i="3" s="1"/>
  <c r="S122" i="3" s="1"/>
  <c r="AC122" i="3"/>
  <c r="F121" i="3"/>
  <c r="I121" i="3"/>
  <c r="J121" i="3"/>
  <c r="M121" i="3"/>
  <c r="N121" i="3" s="1"/>
  <c r="V121" i="3"/>
  <c r="AE121" i="3"/>
  <c r="T122" i="3" l="1"/>
  <c r="L121" i="3"/>
  <c r="W121" i="3"/>
  <c r="U121" i="3" l="1"/>
  <c r="D122" i="3" s="1"/>
  <c r="AG122" i="3"/>
  <c r="AH122" i="3"/>
  <c r="Y120" i="3"/>
  <c r="G122" i="3" l="1"/>
  <c r="E122" i="3"/>
  <c r="H122" i="3" s="1"/>
  <c r="F122" i="3" l="1"/>
  <c r="K122" i="3"/>
  <c r="A123" i="3" s="1"/>
  <c r="B123" i="3" s="1"/>
  <c r="I122" i="3"/>
  <c r="J122" i="3"/>
  <c r="M122" i="3"/>
  <c r="N122" i="3" s="1"/>
  <c r="P123" i="3" l="1"/>
  <c r="Q123" i="3" s="1"/>
  <c r="R123" i="3" s="1"/>
  <c r="S123" i="3" s="1"/>
  <c r="Z123" i="3"/>
  <c r="AC123" i="3"/>
  <c r="AD123" i="3"/>
  <c r="AA123" i="3"/>
  <c r="L122" i="3"/>
  <c r="V122" i="3"/>
  <c r="W122" i="3" s="1"/>
  <c r="AE122" i="3"/>
  <c r="T123" i="3" l="1"/>
  <c r="AG123" i="3" s="1"/>
  <c r="U122" i="3"/>
  <c r="Y121" i="3"/>
  <c r="AH123" i="3" l="1"/>
  <c r="D123" i="3"/>
  <c r="G123" i="3" s="1"/>
  <c r="E123" i="3"/>
  <c r="H123" i="3" s="1"/>
  <c r="I123" i="3" l="1"/>
  <c r="J123" i="3"/>
  <c r="M123" i="3"/>
  <c r="N123" i="3" s="1"/>
  <c r="K123" i="3"/>
  <c r="A124" i="3" s="1"/>
  <c r="B124" i="3" s="1"/>
  <c r="F123" i="3"/>
  <c r="AC124" i="3" l="1"/>
  <c r="AA124" i="3"/>
  <c r="Z124" i="3"/>
  <c r="P124" i="3"/>
  <c r="Q124" i="3" s="1"/>
  <c r="R124" i="3" s="1"/>
  <c r="S124" i="3" s="1"/>
  <c r="V123" i="3"/>
  <c r="W123" i="3" s="1"/>
  <c r="AE123" i="3"/>
  <c r="L123" i="3"/>
  <c r="T124" i="3" l="1"/>
  <c r="AG124" i="3" s="1"/>
  <c r="U123" i="3"/>
  <c r="Y122" i="3"/>
  <c r="AH124" i="3" l="1"/>
  <c r="D124" i="3"/>
  <c r="G124" i="3" s="1"/>
  <c r="E124" i="3"/>
  <c r="H124" i="3" s="1"/>
  <c r="K124" i="3" s="1"/>
  <c r="A125" i="3" s="1"/>
  <c r="B125" i="3" s="1"/>
  <c r="Z125" i="3" l="1"/>
  <c r="AD125" i="3"/>
  <c r="AC125" i="3"/>
  <c r="AA125" i="3"/>
  <c r="P125" i="3"/>
  <c r="Q125" i="3" s="1"/>
  <c r="R125" i="3" s="1"/>
  <c r="S125" i="3" s="1"/>
  <c r="F124" i="3"/>
  <c r="I124" i="3"/>
  <c r="J124" i="3"/>
  <c r="AD124" i="3" s="1"/>
  <c r="M124" i="3"/>
  <c r="N124" i="3" s="1"/>
  <c r="V124" i="3"/>
  <c r="AE124" i="3"/>
  <c r="T125" i="3" l="1"/>
  <c r="W124" i="3"/>
  <c r="L124" i="3"/>
  <c r="U124" i="3" l="1"/>
  <c r="E125" i="3" s="1"/>
  <c r="H125" i="3" s="1"/>
  <c r="AH125" i="3"/>
  <c r="AG125" i="3"/>
  <c r="Y123" i="3"/>
  <c r="K125" i="3" l="1"/>
  <c r="A126" i="3" s="1"/>
  <c r="B126" i="3" s="1"/>
  <c r="D125" i="3"/>
  <c r="AA126" i="3" l="1"/>
  <c r="P126" i="3"/>
  <c r="Q126" i="3" s="1"/>
  <c r="R126" i="3" s="1"/>
  <c r="S126" i="3" s="1"/>
  <c r="Z126" i="3"/>
  <c r="AD126" i="3"/>
  <c r="AC126" i="3"/>
  <c r="V125" i="3"/>
  <c r="AE125" i="3"/>
  <c r="F125" i="3"/>
  <c r="G125" i="3"/>
  <c r="T126" i="3" l="1"/>
  <c r="I125" i="3"/>
  <c r="W125" i="3" s="1"/>
  <c r="J125" i="3"/>
  <c r="M125" i="3"/>
  <c r="N125" i="3" s="1"/>
  <c r="L125" i="3" l="1"/>
  <c r="AG126" i="3" l="1"/>
  <c r="AH126" i="3"/>
  <c r="U125" i="3"/>
  <c r="D126" i="3" s="1"/>
  <c r="Y124" i="3"/>
  <c r="E126" i="3" l="1"/>
  <c r="H126" i="3" s="1"/>
  <c r="K126" i="3" s="1"/>
  <c r="A127" i="3" s="1"/>
  <c r="B127" i="3" s="1"/>
  <c r="G126" i="3"/>
  <c r="AC127" i="3" l="1"/>
  <c r="P127" i="3"/>
  <c r="Q127" i="3" s="1"/>
  <c r="R127" i="3" s="1"/>
  <c r="S127" i="3" s="1"/>
  <c r="AA127" i="3"/>
  <c r="Z127" i="3"/>
  <c r="AD127" i="3"/>
  <c r="F126" i="3"/>
  <c r="I126" i="3"/>
  <c r="J126" i="3"/>
  <c r="M126" i="3"/>
  <c r="N126" i="3" s="1"/>
  <c r="V126" i="3"/>
  <c r="AE126" i="3"/>
  <c r="T127" i="3" l="1"/>
  <c r="W126" i="3"/>
  <c r="L126" i="3"/>
  <c r="U126" i="3" l="1"/>
  <c r="E127" i="3" s="1"/>
  <c r="H127" i="3" s="1"/>
  <c r="AH127" i="3"/>
  <c r="AG127" i="3"/>
  <c r="Y125" i="3"/>
  <c r="D127" i="3" l="1"/>
  <c r="G127" i="3" s="1"/>
  <c r="K127" i="3"/>
  <c r="A128" i="3" s="1"/>
  <c r="B128" i="3" s="1"/>
  <c r="Z128" i="3" l="1"/>
  <c r="AC128" i="3"/>
  <c r="AD128" i="3"/>
  <c r="P128" i="3"/>
  <c r="Q128" i="3" s="1"/>
  <c r="R128" i="3" s="1"/>
  <c r="S128" i="3" s="1"/>
  <c r="AA128" i="3"/>
  <c r="F127" i="3"/>
  <c r="I127" i="3"/>
  <c r="J127" i="3"/>
  <c r="M127" i="3"/>
  <c r="N127" i="3" s="1"/>
  <c r="V127" i="3"/>
  <c r="AE127" i="3"/>
  <c r="T128" i="3" l="1"/>
  <c r="W127" i="3"/>
  <c r="L127" i="3"/>
  <c r="AH128" i="3" l="1"/>
  <c r="U127" i="3"/>
  <c r="E128" i="3" s="1"/>
  <c r="H128" i="3" s="1"/>
  <c r="AG128" i="3"/>
  <c r="Y126" i="3"/>
  <c r="D128" i="3" l="1"/>
  <c r="G128" i="3" s="1"/>
  <c r="K128" i="3"/>
  <c r="A129" i="3" s="1"/>
  <c r="B129" i="3" s="1"/>
  <c r="AA129" i="3" l="1"/>
  <c r="AC129" i="3"/>
  <c r="Z129" i="3"/>
  <c r="AD129" i="3"/>
  <c r="P129" i="3"/>
  <c r="Q129" i="3" s="1"/>
  <c r="R129" i="3" s="1"/>
  <c r="S129" i="3" s="1"/>
  <c r="F128" i="3"/>
  <c r="I128" i="3"/>
  <c r="J128" i="3"/>
  <c r="M128" i="3"/>
  <c r="N128" i="3" s="1"/>
  <c r="V128" i="3"/>
  <c r="AE128" i="3"/>
  <c r="T129" i="3" l="1"/>
  <c r="W128" i="3"/>
  <c r="L128" i="3"/>
  <c r="AH129" i="3" l="1"/>
  <c r="U128" i="3"/>
  <c r="D129" i="3" s="1"/>
  <c r="AG129" i="3"/>
  <c r="Y127" i="3"/>
  <c r="G129" i="3" l="1"/>
  <c r="E129" i="3"/>
  <c r="H129" i="3" s="1"/>
  <c r="F129" i="3" l="1"/>
  <c r="I129" i="3"/>
  <c r="J129" i="3"/>
  <c r="M129" i="3"/>
  <c r="N129" i="3" s="1"/>
  <c r="K129" i="3"/>
  <c r="A130" i="3" s="1"/>
  <c r="B130" i="3" s="1"/>
  <c r="AD130" i="3" l="1"/>
  <c r="P130" i="3"/>
  <c r="Q130" i="3" s="1"/>
  <c r="R130" i="3" s="1"/>
  <c r="S130" i="3" s="1"/>
  <c r="AA130" i="3"/>
  <c r="Z130" i="3"/>
  <c r="AC130" i="3"/>
  <c r="V129" i="3"/>
  <c r="W129" i="3" s="1"/>
  <c r="AE129" i="3"/>
  <c r="L129" i="3"/>
  <c r="T130" i="3" l="1"/>
  <c r="AH130" i="3" s="1"/>
  <c r="U129" i="3"/>
  <c r="Y128" i="3"/>
  <c r="AG130" i="3" l="1"/>
  <c r="E130" i="3"/>
  <c r="H130" i="3" s="1"/>
  <c r="K130" i="3" s="1"/>
  <c r="A131" i="3" s="1"/>
  <c r="B131" i="3" s="1"/>
  <c r="D130" i="3"/>
  <c r="G130" i="3" s="1"/>
  <c r="AC131" i="3" l="1"/>
  <c r="Z131" i="3"/>
  <c r="AA131" i="3"/>
  <c r="P131" i="3"/>
  <c r="Q131" i="3" s="1"/>
  <c r="R131" i="3" s="1"/>
  <c r="S131" i="3" s="1"/>
  <c r="AD131" i="3"/>
  <c r="F130" i="3"/>
  <c r="V130" i="3"/>
  <c r="AE130" i="3"/>
  <c r="I130" i="3"/>
  <c r="J130" i="3"/>
  <c r="M130" i="3"/>
  <c r="N130" i="3" s="1"/>
  <c r="T131" i="3" l="1"/>
  <c r="L130" i="3"/>
  <c r="W130" i="3"/>
  <c r="U130" i="3" l="1"/>
  <c r="E131" i="3" s="1"/>
  <c r="H131" i="3" s="1"/>
  <c r="AH131" i="3"/>
  <c r="AG131" i="3"/>
  <c r="Y129" i="3"/>
  <c r="D131" i="3" l="1"/>
  <c r="F131" i="3" s="1"/>
  <c r="K131" i="3"/>
  <c r="A132" i="3" s="1"/>
  <c r="B132" i="3" s="1"/>
  <c r="AD132" i="3" l="1"/>
  <c r="P132" i="3"/>
  <c r="Q132" i="3" s="1"/>
  <c r="R132" i="3" s="1"/>
  <c r="S132" i="3" s="1"/>
  <c r="Z132" i="3"/>
  <c r="AA132" i="3"/>
  <c r="AC132" i="3"/>
  <c r="G131" i="3"/>
  <c r="M131" i="3" s="1"/>
  <c r="N131" i="3" s="1"/>
  <c r="V131" i="3"/>
  <c r="AE131" i="3"/>
  <c r="T132" i="3" l="1"/>
  <c r="J131" i="3"/>
  <c r="L131" i="3" s="1"/>
  <c r="I131" i="3"/>
  <c r="W131" i="3" s="1"/>
  <c r="U131" i="3" l="1"/>
  <c r="E132" i="3" s="1"/>
  <c r="H132" i="3" s="1"/>
  <c r="AH132" i="3"/>
  <c r="AG132" i="3"/>
  <c r="Y130" i="3"/>
  <c r="K132" i="3" l="1"/>
  <c r="A133" i="3" s="1"/>
  <c r="B133" i="3" s="1"/>
  <c r="D132" i="3"/>
  <c r="P133" i="3" l="1"/>
  <c r="Q133" i="3" s="1"/>
  <c r="R133" i="3" s="1"/>
  <c r="S133" i="3" s="1"/>
  <c r="Z133" i="3"/>
  <c r="AC133" i="3"/>
  <c r="AD133" i="3"/>
  <c r="AA133" i="3"/>
  <c r="V132" i="3"/>
  <c r="AE132" i="3"/>
  <c r="F132" i="3"/>
  <c r="G132" i="3"/>
  <c r="T133" i="3" l="1"/>
  <c r="I132" i="3"/>
  <c r="W132" i="3" s="1"/>
  <c r="J132" i="3"/>
  <c r="M132" i="3"/>
  <c r="N132" i="3" s="1"/>
  <c r="L132" i="3" l="1"/>
  <c r="U132" i="3" l="1"/>
  <c r="D133" i="3" s="1"/>
  <c r="AH133" i="3"/>
  <c r="AG133" i="3"/>
  <c r="Y131" i="3"/>
  <c r="E133" i="3" l="1"/>
  <c r="H133" i="3" s="1"/>
  <c r="K133" i="3" s="1"/>
  <c r="A134" i="3" s="1"/>
  <c r="B134" i="3" s="1"/>
  <c r="G133" i="3"/>
  <c r="P134" i="3" l="1"/>
  <c r="Q134" i="3" s="1"/>
  <c r="R134" i="3" s="1"/>
  <c r="S134" i="3" s="1"/>
  <c r="AC134" i="3"/>
  <c r="AA134" i="3"/>
  <c r="Z134" i="3"/>
  <c r="F133" i="3"/>
  <c r="V133" i="3"/>
  <c r="AE133" i="3"/>
  <c r="I133" i="3"/>
  <c r="J133" i="3"/>
  <c r="M133" i="3"/>
  <c r="N133" i="3" s="1"/>
  <c r="T134" i="3" l="1"/>
  <c r="W133" i="3"/>
  <c r="L133" i="3"/>
  <c r="AG134" i="3" l="1"/>
  <c r="U133" i="3"/>
  <c r="D134" i="3" s="1"/>
  <c r="AH134" i="3"/>
  <c r="Y132" i="3"/>
  <c r="E134" i="3" l="1"/>
  <c r="H134" i="3" s="1"/>
  <c r="K134" i="3" s="1"/>
  <c r="A135" i="3" s="1"/>
  <c r="B135" i="3" s="1"/>
  <c r="G134" i="3"/>
  <c r="P135" i="3" l="1"/>
  <c r="Q135" i="3" s="1"/>
  <c r="R135" i="3" s="1"/>
  <c r="S135" i="3" s="1"/>
  <c r="AA135" i="3"/>
  <c r="AC135" i="3"/>
  <c r="Z135" i="3"/>
  <c r="AD135" i="3"/>
  <c r="F134" i="3"/>
  <c r="I134" i="3"/>
  <c r="J134" i="3"/>
  <c r="AD134" i="3" s="1"/>
  <c r="M134" i="3"/>
  <c r="N134" i="3" s="1"/>
  <c r="V134" i="3"/>
  <c r="AE134" i="3"/>
  <c r="T135" i="3" l="1"/>
  <c r="W134" i="3"/>
  <c r="L134" i="3"/>
  <c r="U134" i="3" l="1"/>
  <c r="E135" i="3" s="1"/>
  <c r="H135" i="3" s="1"/>
  <c r="AH135" i="3"/>
  <c r="AG135" i="3"/>
  <c r="Y133" i="3"/>
  <c r="K135" i="3" l="1"/>
  <c r="A136" i="3" s="1"/>
  <c r="B136" i="3" s="1"/>
  <c r="D135" i="3"/>
  <c r="P136" i="3" l="1"/>
  <c r="Q136" i="3" s="1"/>
  <c r="R136" i="3" s="1"/>
  <c r="S136" i="3" s="1"/>
  <c r="Z136" i="3"/>
  <c r="AD136" i="3"/>
  <c r="AC136" i="3"/>
  <c r="AA136" i="3"/>
  <c r="V135" i="3"/>
  <c r="AE135" i="3"/>
  <c r="F135" i="3"/>
  <c r="G135" i="3"/>
  <c r="T136" i="3" l="1"/>
  <c r="I135" i="3"/>
  <c r="W135" i="3" s="1"/>
  <c r="J135" i="3"/>
  <c r="M135" i="3"/>
  <c r="N135" i="3" s="1"/>
  <c r="L135" i="3" l="1"/>
  <c r="AH136" i="3" l="1"/>
  <c r="U135" i="3"/>
  <c r="D136" i="3" s="1"/>
  <c r="AG136" i="3"/>
  <c r="Y134" i="3"/>
  <c r="E136" i="3" l="1"/>
  <c r="H136" i="3" s="1"/>
  <c r="K136" i="3" s="1"/>
  <c r="A137" i="3" s="1"/>
  <c r="B137" i="3" s="1"/>
  <c r="G136" i="3"/>
  <c r="Z137" i="3" l="1"/>
  <c r="P137" i="3"/>
  <c r="Q137" i="3" s="1"/>
  <c r="R137" i="3" s="1"/>
  <c r="S137" i="3" s="1"/>
  <c r="AD137" i="3"/>
  <c r="AC137" i="3"/>
  <c r="AA137" i="3"/>
  <c r="F136" i="3"/>
  <c r="I136" i="3"/>
  <c r="J136" i="3"/>
  <c r="M136" i="3"/>
  <c r="N136" i="3" s="1"/>
  <c r="V136" i="3"/>
  <c r="AE136" i="3"/>
  <c r="T137" i="3" l="1"/>
  <c r="W136" i="3"/>
  <c r="L136" i="3"/>
  <c r="U136" i="3" l="1"/>
  <c r="D137" i="3" s="1"/>
  <c r="AH137" i="3"/>
  <c r="AG137" i="3"/>
  <c r="Y135" i="3"/>
  <c r="E137" i="3" l="1"/>
  <c r="H137" i="3" s="1"/>
  <c r="K137" i="3" s="1"/>
  <c r="A138" i="3" s="1"/>
  <c r="B138" i="3" s="1"/>
  <c r="G137" i="3"/>
  <c r="AC138" i="3" l="1"/>
  <c r="AA138" i="3"/>
  <c r="AD138" i="3"/>
  <c r="Z138" i="3"/>
  <c r="P138" i="3"/>
  <c r="Q138" i="3" s="1"/>
  <c r="R138" i="3" s="1"/>
  <c r="S138" i="3" s="1"/>
  <c r="F137" i="3"/>
  <c r="I137" i="3"/>
  <c r="J137" i="3"/>
  <c r="M137" i="3"/>
  <c r="N137" i="3" s="1"/>
  <c r="V137" i="3"/>
  <c r="AE137" i="3"/>
  <c r="T138" i="3" l="1"/>
  <c r="W137" i="3"/>
  <c r="L137" i="3"/>
  <c r="AH138" i="3" l="1"/>
  <c r="U137" i="3"/>
  <c r="E138" i="3" s="1"/>
  <c r="H138" i="3" s="1"/>
  <c r="AG138" i="3"/>
  <c r="Y136" i="3"/>
  <c r="D138" i="3" l="1"/>
  <c r="F138" i="3" s="1"/>
  <c r="K138" i="3"/>
  <c r="A139" i="3" s="1"/>
  <c r="B139" i="3" s="1"/>
  <c r="AD139" i="3" l="1"/>
  <c r="AC139" i="3"/>
  <c r="Z139" i="3"/>
  <c r="AA139" i="3"/>
  <c r="P139" i="3"/>
  <c r="Q139" i="3" s="1"/>
  <c r="R139" i="3" s="1"/>
  <c r="S139" i="3" s="1"/>
  <c r="G138" i="3"/>
  <c r="M138" i="3" s="1"/>
  <c r="N138" i="3" s="1"/>
  <c r="V138" i="3"/>
  <c r="AE138" i="3"/>
  <c r="T139" i="3" l="1"/>
  <c r="I138" i="3"/>
  <c r="W138" i="3" s="1"/>
  <c r="J138" i="3"/>
  <c r="L138" i="3" s="1"/>
  <c r="U138" i="3" l="1"/>
  <c r="E139" i="3" s="1"/>
  <c r="H139" i="3" s="1"/>
  <c r="AG139" i="3"/>
  <c r="AH139" i="3"/>
  <c r="Y137" i="3"/>
  <c r="D139" i="3" l="1"/>
  <c r="G139" i="3" s="1"/>
  <c r="K139" i="3"/>
  <c r="A140" i="3" s="1"/>
  <c r="B140" i="3" s="1"/>
  <c r="AD140" i="3" l="1"/>
  <c r="AA140" i="3"/>
  <c r="AC140" i="3"/>
  <c r="Z140" i="3"/>
  <c r="P140" i="3"/>
  <c r="Q140" i="3" s="1"/>
  <c r="R140" i="3" s="1"/>
  <c r="S140" i="3" s="1"/>
  <c r="F139" i="3"/>
  <c r="V139" i="3"/>
  <c r="AE139" i="3"/>
  <c r="I139" i="3"/>
  <c r="J139" i="3"/>
  <c r="M139" i="3"/>
  <c r="N139" i="3" s="1"/>
  <c r="T140" i="3" l="1"/>
  <c r="W139" i="3"/>
  <c r="L139" i="3"/>
  <c r="AG140" i="3" l="1"/>
  <c r="U139" i="3"/>
  <c r="E140" i="3" s="1"/>
  <c r="H140" i="3" s="1"/>
  <c r="AH140" i="3"/>
  <c r="Y138" i="3"/>
  <c r="D140" i="3" l="1"/>
  <c r="G140" i="3" s="1"/>
  <c r="K140" i="3"/>
  <c r="A141" i="3" s="1"/>
  <c r="B141" i="3" s="1"/>
  <c r="P141" i="3" l="1"/>
  <c r="Q141" i="3" s="1"/>
  <c r="R141" i="3" s="1"/>
  <c r="S141" i="3" s="1"/>
  <c r="AC141" i="3"/>
  <c r="Z141" i="3"/>
  <c r="AA141" i="3"/>
  <c r="AD141" i="3"/>
  <c r="F140" i="3"/>
  <c r="V140" i="3"/>
  <c r="AE140" i="3"/>
  <c r="I140" i="3"/>
  <c r="J140" i="3"/>
  <c r="M140" i="3"/>
  <c r="N140" i="3" s="1"/>
  <c r="T141" i="3" l="1"/>
  <c r="W140" i="3"/>
  <c r="L140" i="3"/>
  <c r="AG141" i="3" l="1"/>
  <c r="U140" i="3"/>
  <c r="D141" i="3" s="1"/>
  <c r="AH141" i="3"/>
  <c r="Y139" i="3"/>
  <c r="E141" i="3" l="1"/>
  <c r="H141" i="3" s="1"/>
  <c r="K141" i="3" s="1"/>
  <c r="A142" i="3" s="1"/>
  <c r="B142" i="3" s="1"/>
  <c r="G141" i="3"/>
  <c r="AA142" i="3" l="1"/>
  <c r="AC142" i="3"/>
  <c r="Z142" i="3"/>
  <c r="AD142" i="3"/>
  <c r="P142" i="3"/>
  <c r="Q142" i="3" s="1"/>
  <c r="R142" i="3" s="1"/>
  <c r="S142" i="3" s="1"/>
  <c r="F141" i="3"/>
  <c r="I141" i="3"/>
  <c r="J141" i="3"/>
  <c r="M141" i="3"/>
  <c r="N141" i="3" s="1"/>
  <c r="V141" i="3"/>
  <c r="AE141" i="3"/>
  <c r="T142" i="3" l="1"/>
  <c r="W141" i="3"/>
  <c r="L141" i="3"/>
  <c r="U141" i="3" l="1"/>
  <c r="D142" i="3" s="1"/>
  <c r="AH142" i="3"/>
  <c r="AG142" i="3"/>
  <c r="Y140" i="3"/>
  <c r="E142" i="3" l="1"/>
  <c r="H142" i="3" s="1"/>
  <c r="K142" i="3" s="1"/>
  <c r="A143" i="3" s="1"/>
  <c r="B143" i="3" s="1"/>
  <c r="G142" i="3"/>
  <c r="P143" i="3" l="1"/>
  <c r="Q143" i="3" s="1"/>
  <c r="R143" i="3" s="1"/>
  <c r="S143" i="3" s="1"/>
  <c r="AC143" i="3"/>
  <c r="AA143" i="3"/>
  <c r="Z143" i="3"/>
  <c r="AD143" i="3"/>
  <c r="F142" i="3"/>
  <c r="V142" i="3"/>
  <c r="AE142" i="3"/>
  <c r="I142" i="3"/>
  <c r="J142" i="3"/>
  <c r="M142" i="3"/>
  <c r="N142" i="3" s="1"/>
  <c r="T143" i="3" l="1"/>
  <c r="W142" i="3"/>
  <c r="L142" i="3"/>
  <c r="U142" i="3" l="1"/>
  <c r="E143" i="3" s="1"/>
  <c r="H143" i="3" s="1"/>
  <c r="AG143" i="3"/>
  <c r="AH143" i="3"/>
  <c r="Y141" i="3"/>
  <c r="D143" i="3" l="1"/>
  <c r="F143" i="3" s="1"/>
  <c r="K143" i="3"/>
  <c r="A144" i="3" s="1"/>
  <c r="B144" i="3" s="1"/>
  <c r="Z144" i="3" l="1"/>
  <c r="AA144" i="3"/>
  <c r="P144" i="3"/>
  <c r="Q144" i="3" s="1"/>
  <c r="R144" i="3" s="1"/>
  <c r="S144" i="3" s="1"/>
  <c r="AC144" i="3"/>
  <c r="G143" i="3"/>
  <c r="M143" i="3" s="1"/>
  <c r="N143" i="3" s="1"/>
  <c r="V143" i="3"/>
  <c r="AE143" i="3"/>
  <c r="T144" i="3" l="1"/>
  <c r="J143" i="3"/>
  <c r="L143" i="3" s="1"/>
  <c r="I143" i="3"/>
  <c r="W143" i="3" s="1"/>
  <c r="U143" i="3" l="1"/>
  <c r="D144" i="3" s="1"/>
  <c r="AG144" i="3"/>
  <c r="AH144" i="3"/>
  <c r="Y142" i="3"/>
  <c r="E144" i="3" l="1"/>
  <c r="H144" i="3" s="1"/>
  <c r="K144" i="3" s="1"/>
  <c r="A145" i="3" s="1"/>
  <c r="B145" i="3" s="1"/>
  <c r="G144" i="3"/>
  <c r="P145" i="3" l="1"/>
  <c r="Q145" i="3" s="1"/>
  <c r="R145" i="3" s="1"/>
  <c r="S145" i="3" s="1"/>
  <c r="Z145" i="3"/>
  <c r="AA145" i="3"/>
  <c r="AC145" i="3"/>
  <c r="AD145" i="3"/>
  <c r="F144" i="3"/>
  <c r="V144" i="3"/>
  <c r="AE144" i="3"/>
  <c r="I144" i="3"/>
  <c r="J144" i="3"/>
  <c r="AD144" i="3" s="1"/>
  <c r="M144" i="3"/>
  <c r="N144" i="3" s="1"/>
  <c r="T145" i="3" l="1"/>
  <c r="W144" i="3"/>
  <c r="L144" i="3"/>
  <c r="AH145" i="3" l="1"/>
  <c r="AG145" i="3"/>
  <c r="U144" i="3"/>
  <c r="D145" i="3" s="1"/>
  <c r="Y143" i="3"/>
  <c r="E145" i="3" l="1"/>
  <c r="H145" i="3" s="1"/>
  <c r="K145" i="3" s="1"/>
  <c r="A146" i="3" s="1"/>
  <c r="B146" i="3" s="1"/>
  <c r="G145" i="3"/>
  <c r="AA146" i="3" l="1"/>
  <c r="AD146" i="3"/>
  <c r="AC146" i="3"/>
  <c r="Z146" i="3"/>
  <c r="P146" i="3"/>
  <c r="Q146" i="3" s="1"/>
  <c r="R146" i="3" s="1"/>
  <c r="S146" i="3" s="1"/>
  <c r="F145" i="3"/>
  <c r="I145" i="3"/>
  <c r="J145" i="3"/>
  <c r="M145" i="3"/>
  <c r="N145" i="3" s="1"/>
  <c r="V145" i="3"/>
  <c r="AE145" i="3"/>
  <c r="T146" i="3" l="1"/>
  <c r="W145" i="3"/>
  <c r="L145" i="3"/>
  <c r="U145" i="3" l="1"/>
  <c r="D146" i="3" s="1"/>
  <c r="AH146" i="3"/>
  <c r="AG146" i="3"/>
  <c r="Y144" i="3"/>
  <c r="E146" i="3" l="1"/>
  <c r="H146" i="3" s="1"/>
  <c r="K146" i="3" s="1"/>
  <c r="A147" i="3" s="1"/>
  <c r="B147" i="3" s="1"/>
  <c r="G146" i="3"/>
  <c r="Z147" i="3" l="1"/>
  <c r="AC147" i="3"/>
  <c r="AA147" i="3"/>
  <c r="P147" i="3"/>
  <c r="Q147" i="3" s="1"/>
  <c r="R147" i="3" s="1"/>
  <c r="S147" i="3" s="1"/>
  <c r="AD147" i="3"/>
  <c r="F146" i="3"/>
  <c r="I146" i="3"/>
  <c r="J146" i="3"/>
  <c r="M146" i="3"/>
  <c r="N146" i="3" s="1"/>
  <c r="V146" i="3"/>
  <c r="AE146" i="3"/>
  <c r="T147" i="3" l="1"/>
  <c r="W146" i="3"/>
  <c r="L146" i="3"/>
  <c r="U146" i="3" l="1"/>
  <c r="D147" i="3" s="1"/>
  <c r="AG147" i="3"/>
  <c r="AH147" i="3"/>
  <c r="Y145" i="3"/>
  <c r="E147" i="3" l="1"/>
  <c r="H147" i="3" s="1"/>
  <c r="K147" i="3" s="1"/>
  <c r="A148" i="3" s="1"/>
  <c r="B148" i="3" s="1"/>
  <c r="G147" i="3"/>
  <c r="P148" i="3" l="1"/>
  <c r="Q148" i="3" s="1"/>
  <c r="R148" i="3" s="1"/>
  <c r="S148" i="3" s="1"/>
  <c r="Z148" i="3"/>
  <c r="AD148" i="3"/>
  <c r="AC148" i="3"/>
  <c r="AA148" i="3"/>
  <c r="F147" i="3"/>
  <c r="V147" i="3"/>
  <c r="AE147" i="3"/>
  <c r="I147" i="3"/>
  <c r="J147" i="3"/>
  <c r="M147" i="3"/>
  <c r="N147" i="3" s="1"/>
  <c r="T148" i="3" l="1"/>
  <c r="W147" i="3"/>
  <c r="L147" i="3"/>
  <c r="AG148" i="3" l="1"/>
  <c r="U147" i="3"/>
  <c r="E148" i="3" s="1"/>
  <c r="H148" i="3" s="1"/>
  <c r="AH148" i="3"/>
  <c r="Y146" i="3"/>
  <c r="K148" i="3" l="1"/>
  <c r="A149" i="3" s="1"/>
  <c r="B149" i="3" s="1"/>
  <c r="D148" i="3"/>
  <c r="P149" i="3" l="1"/>
  <c r="Q149" i="3" s="1"/>
  <c r="R149" i="3" s="1"/>
  <c r="S149" i="3" s="1"/>
  <c r="AD149" i="3"/>
  <c r="AC149" i="3"/>
  <c r="AA149" i="3"/>
  <c r="Z149" i="3"/>
  <c r="V148" i="3"/>
  <c r="AE148" i="3"/>
  <c r="F148" i="3"/>
  <c r="G148" i="3"/>
  <c r="T149" i="3" l="1"/>
  <c r="I148" i="3"/>
  <c r="W148" i="3" s="1"/>
  <c r="J148" i="3"/>
  <c r="M148" i="3"/>
  <c r="N148" i="3" s="1"/>
  <c r="L148" i="3" l="1"/>
  <c r="AG149" i="3" l="1"/>
  <c r="U148" i="3"/>
  <c r="D149" i="3" s="1"/>
  <c r="AH149" i="3"/>
  <c r="Y147" i="3"/>
  <c r="E149" i="3" l="1"/>
  <c r="H149" i="3" s="1"/>
  <c r="K149" i="3" s="1"/>
  <c r="A150" i="3" s="1"/>
  <c r="B150" i="3" s="1"/>
  <c r="G149" i="3"/>
  <c r="P150" i="3" l="1"/>
  <c r="Q150" i="3" s="1"/>
  <c r="R150" i="3" s="1"/>
  <c r="S150" i="3" s="1"/>
  <c r="Z150" i="3"/>
  <c r="AD150" i="3"/>
  <c r="AA150" i="3"/>
  <c r="AC150" i="3"/>
  <c r="F149" i="3"/>
  <c r="I149" i="3"/>
  <c r="J149" i="3"/>
  <c r="M149" i="3"/>
  <c r="N149" i="3" s="1"/>
  <c r="V149" i="3"/>
  <c r="AE149" i="3"/>
  <c r="T150" i="3" l="1"/>
  <c r="W149" i="3"/>
  <c r="L149" i="3"/>
  <c r="AH150" i="3" l="1"/>
  <c r="U149" i="3"/>
  <c r="D150" i="3" s="1"/>
  <c r="AG150" i="3"/>
  <c r="Y148" i="3"/>
  <c r="E150" i="3" l="1"/>
  <c r="H150" i="3" s="1"/>
  <c r="K150" i="3" s="1"/>
  <c r="A151" i="3" s="1"/>
  <c r="B151" i="3" s="1"/>
  <c r="G150" i="3"/>
  <c r="P151" i="3" l="1"/>
  <c r="Q151" i="3" s="1"/>
  <c r="R151" i="3" s="1"/>
  <c r="S151" i="3" s="1"/>
  <c r="AC151" i="3"/>
  <c r="AD151" i="3"/>
  <c r="Z151" i="3"/>
  <c r="AA151" i="3"/>
  <c r="F150" i="3"/>
  <c r="I150" i="3"/>
  <c r="J150" i="3"/>
  <c r="M150" i="3"/>
  <c r="N150" i="3" s="1"/>
  <c r="V150" i="3"/>
  <c r="AE150" i="3"/>
  <c r="T151" i="3" l="1"/>
  <c r="W150" i="3"/>
  <c r="L150" i="3"/>
  <c r="AH151" i="3" l="1"/>
  <c r="U150" i="3"/>
  <c r="E151" i="3" s="1"/>
  <c r="H151" i="3" s="1"/>
  <c r="AG151" i="3"/>
  <c r="Y149" i="3"/>
  <c r="D151" i="3" l="1"/>
  <c r="G151" i="3" s="1"/>
  <c r="K151" i="3"/>
  <c r="A152" i="3" s="1"/>
  <c r="B152" i="3" s="1"/>
  <c r="AC152" i="3" l="1"/>
  <c r="AA152" i="3"/>
  <c r="P152" i="3"/>
  <c r="Q152" i="3" s="1"/>
  <c r="R152" i="3" s="1"/>
  <c r="S152" i="3" s="1"/>
  <c r="Z152" i="3"/>
  <c r="AD152" i="3"/>
  <c r="F151" i="3"/>
  <c r="I151" i="3"/>
  <c r="J151" i="3"/>
  <c r="M151" i="3"/>
  <c r="N151" i="3" s="1"/>
  <c r="V151" i="3"/>
  <c r="AE151" i="3"/>
  <c r="T152" i="3" l="1"/>
  <c r="W151" i="3"/>
  <c r="L151" i="3"/>
  <c r="AH152" i="3" l="1"/>
  <c r="AG152" i="3"/>
  <c r="U151" i="3"/>
  <c r="E152" i="3" s="1"/>
  <c r="H152" i="3" s="1"/>
  <c r="Y150" i="3"/>
  <c r="D152" i="3" l="1"/>
  <c r="G152" i="3" s="1"/>
  <c r="K152" i="3"/>
  <c r="A153" i="3" s="1"/>
  <c r="B153" i="3" s="1"/>
  <c r="AD153" i="3" l="1"/>
  <c r="P153" i="3"/>
  <c r="Q153" i="3" s="1"/>
  <c r="R153" i="3" s="1"/>
  <c r="S153" i="3" s="1"/>
  <c r="AA153" i="3"/>
  <c r="AC153" i="3"/>
  <c r="Z153" i="3"/>
  <c r="F152" i="3"/>
  <c r="V152" i="3"/>
  <c r="AE152" i="3"/>
  <c r="I152" i="3"/>
  <c r="J152" i="3"/>
  <c r="M152" i="3"/>
  <c r="N152" i="3" s="1"/>
  <c r="T153" i="3" l="1"/>
  <c r="W152" i="3"/>
  <c r="L152" i="3"/>
  <c r="AH153" i="3" l="1"/>
  <c r="U152" i="3"/>
  <c r="D153" i="3" s="1"/>
  <c r="AG153" i="3"/>
  <c r="Y151" i="3"/>
  <c r="G153" i="3" l="1"/>
  <c r="E153" i="3"/>
  <c r="H153" i="3" s="1"/>
  <c r="K153" i="3" l="1"/>
  <c r="A154" i="3" s="1"/>
  <c r="B154" i="3" s="1"/>
  <c r="I153" i="3"/>
  <c r="J153" i="3"/>
  <c r="M153" i="3"/>
  <c r="N153" i="3" s="1"/>
  <c r="F153" i="3"/>
  <c r="P154" i="3" l="1"/>
  <c r="Q154" i="3" s="1"/>
  <c r="R154" i="3" s="1"/>
  <c r="S154" i="3" s="1"/>
  <c r="Z154" i="3"/>
  <c r="AC154" i="3"/>
  <c r="AA154" i="3"/>
  <c r="V153" i="3"/>
  <c r="W153" i="3" s="1"/>
  <c r="AE153" i="3"/>
  <c r="L153" i="3"/>
  <c r="T154" i="3" l="1"/>
  <c r="AG154" i="3" s="1"/>
  <c r="U153" i="3"/>
  <c r="Y152" i="3"/>
  <c r="AH154" i="3" l="1"/>
  <c r="D154" i="3"/>
  <c r="G154" i="3" s="1"/>
  <c r="E154" i="3"/>
  <c r="H154" i="3" s="1"/>
  <c r="K154" i="3" s="1"/>
  <c r="A155" i="3" s="1"/>
  <c r="B155" i="3" s="1"/>
  <c r="AC155" i="3" l="1"/>
  <c r="P155" i="3"/>
  <c r="Q155" i="3" s="1"/>
  <c r="R155" i="3" s="1"/>
  <c r="S155" i="3" s="1"/>
  <c r="AA155" i="3"/>
  <c r="Z155" i="3"/>
  <c r="F154" i="3"/>
  <c r="I154" i="3"/>
  <c r="J154" i="3"/>
  <c r="AD154" i="3" s="1"/>
  <c r="M154" i="3"/>
  <c r="N154" i="3" s="1"/>
  <c r="V154" i="3"/>
  <c r="AE154" i="3"/>
  <c r="T155" i="3" l="1"/>
  <c r="L154" i="3"/>
  <c r="W154" i="3"/>
  <c r="U154" i="3" l="1"/>
  <c r="E155" i="3" s="1"/>
  <c r="H155" i="3" s="1"/>
  <c r="AH155" i="3"/>
  <c r="AG155" i="3"/>
  <c r="Y153" i="3"/>
  <c r="D155" i="3" l="1"/>
  <c r="G155" i="3" s="1"/>
  <c r="K155" i="3"/>
  <c r="A156" i="3" s="1"/>
  <c r="B156" i="3" s="1"/>
  <c r="AA156" i="3" l="1"/>
  <c r="Z156" i="3"/>
  <c r="AC156" i="3"/>
  <c r="P156" i="3"/>
  <c r="Q156" i="3" s="1"/>
  <c r="R156" i="3" s="1"/>
  <c r="S156" i="3" s="1"/>
  <c r="F155" i="3"/>
  <c r="V155" i="3"/>
  <c r="AE155" i="3"/>
  <c r="I155" i="3"/>
  <c r="J155" i="3"/>
  <c r="AD155" i="3" s="1"/>
  <c r="M155" i="3"/>
  <c r="N155" i="3" s="1"/>
  <c r="T156" i="3" l="1"/>
  <c r="W155" i="3"/>
  <c r="L155" i="3"/>
  <c r="AG156" i="3" l="1"/>
  <c r="U155" i="3"/>
  <c r="D156" i="3" s="1"/>
  <c r="AH156" i="3"/>
  <c r="Y154" i="3"/>
  <c r="E156" i="3" l="1"/>
  <c r="H156" i="3" s="1"/>
  <c r="K156" i="3" s="1"/>
  <c r="A157" i="3" s="1"/>
  <c r="B157" i="3" s="1"/>
  <c r="G156" i="3"/>
  <c r="P157" i="3" l="1"/>
  <c r="Q157" i="3" s="1"/>
  <c r="R157" i="3" s="1"/>
  <c r="S157" i="3" s="1"/>
  <c r="Z157" i="3"/>
  <c r="AA157" i="3"/>
  <c r="AC157" i="3"/>
  <c r="F156" i="3"/>
  <c r="V156" i="3"/>
  <c r="AE156" i="3"/>
  <c r="I156" i="3"/>
  <c r="J156" i="3"/>
  <c r="AD156" i="3" s="1"/>
  <c r="M156" i="3"/>
  <c r="N156" i="3" s="1"/>
  <c r="T157" i="3" l="1"/>
  <c r="W156" i="3"/>
  <c r="L156" i="3"/>
  <c r="U156" i="3" l="1"/>
  <c r="E157" i="3" s="1"/>
  <c r="H157" i="3" s="1"/>
  <c r="AH157" i="3"/>
  <c r="AG157" i="3"/>
  <c r="Y155" i="3"/>
  <c r="D157" i="3" l="1"/>
  <c r="G157" i="3" s="1"/>
  <c r="K157" i="3"/>
  <c r="A158" i="3" s="1"/>
  <c r="B158" i="3" s="1"/>
  <c r="AA158" i="3" l="1"/>
  <c r="AC158" i="3"/>
  <c r="Z158" i="3"/>
  <c r="P158" i="3"/>
  <c r="Q158" i="3" s="1"/>
  <c r="R158" i="3" s="1"/>
  <c r="S158" i="3" s="1"/>
  <c r="F157" i="3"/>
  <c r="I157" i="3"/>
  <c r="J157" i="3"/>
  <c r="AD157" i="3" s="1"/>
  <c r="M157" i="3"/>
  <c r="N157" i="3" s="1"/>
  <c r="V157" i="3"/>
  <c r="AE157" i="3"/>
  <c r="T158" i="3" l="1"/>
  <c r="W157" i="3"/>
  <c r="L157" i="3"/>
  <c r="U157" i="3" l="1"/>
  <c r="E158" i="3" s="1"/>
  <c r="H158" i="3" s="1"/>
  <c r="AH158" i="3"/>
  <c r="AG158" i="3"/>
  <c r="Y156" i="3"/>
  <c r="D158" i="3" l="1"/>
  <c r="F158" i="3" s="1"/>
  <c r="K158" i="3"/>
  <c r="A159" i="3" s="1"/>
  <c r="B159" i="3" s="1"/>
  <c r="AC159" i="3" l="1"/>
  <c r="Z159" i="3"/>
  <c r="AA159" i="3"/>
  <c r="P159" i="3"/>
  <c r="Q159" i="3" s="1"/>
  <c r="R159" i="3" s="1"/>
  <c r="S159" i="3" s="1"/>
  <c r="G158" i="3"/>
  <c r="I158" i="3" s="1"/>
  <c r="V158" i="3"/>
  <c r="AE158" i="3"/>
  <c r="T159" i="3" l="1"/>
  <c r="M158" i="3"/>
  <c r="N158" i="3" s="1"/>
  <c r="J158" i="3"/>
  <c r="W158" i="3"/>
  <c r="L158" i="3" l="1"/>
  <c r="U158" i="3" s="1"/>
  <c r="E159" i="3" s="1"/>
  <c r="H159" i="3" s="1"/>
  <c r="AD158" i="3"/>
  <c r="Y157" i="3" l="1"/>
  <c r="AH159" i="3"/>
  <c r="AG159" i="3"/>
  <c r="D159" i="3"/>
  <c r="F159" i="3" s="1"/>
  <c r="K159" i="3"/>
  <c r="A160" i="3" s="1"/>
  <c r="B160" i="3" s="1"/>
  <c r="AA160" i="3" l="1"/>
  <c r="P160" i="3"/>
  <c r="Q160" i="3" s="1"/>
  <c r="R160" i="3" s="1"/>
  <c r="S160" i="3" s="1"/>
  <c r="Z160" i="3"/>
  <c r="AC160" i="3"/>
  <c r="G159" i="3"/>
  <c r="M159" i="3" s="1"/>
  <c r="N159" i="3" s="1"/>
  <c r="V159" i="3"/>
  <c r="AE159" i="3"/>
  <c r="T160" i="3" l="1"/>
  <c r="I159" i="3"/>
  <c r="W159" i="3" s="1"/>
  <c r="J159" i="3"/>
  <c r="L159" i="3" l="1"/>
  <c r="AH160" i="3" s="1"/>
  <c r="AD159" i="3"/>
  <c r="Y158" i="3" l="1"/>
  <c r="AG160" i="3"/>
  <c r="U159" i="3"/>
  <c r="E160" i="3" s="1"/>
  <c r="H160" i="3" s="1"/>
  <c r="K160" i="3" s="1"/>
  <c r="A161" i="3" s="1"/>
  <c r="B161" i="3" s="1"/>
  <c r="D160" i="3" l="1"/>
  <c r="G160" i="3" s="1"/>
  <c r="I160" i="3" s="1"/>
  <c r="Z161" i="3"/>
  <c r="AA161" i="3"/>
  <c r="P161" i="3"/>
  <c r="Q161" i="3" s="1"/>
  <c r="R161" i="3" s="1"/>
  <c r="S161" i="3" s="1"/>
  <c r="AC161" i="3"/>
  <c r="V160" i="3"/>
  <c r="AE160" i="3"/>
  <c r="M160" i="3" l="1"/>
  <c r="N160" i="3" s="1"/>
  <c r="F160" i="3"/>
  <c r="J160" i="3"/>
  <c r="AD160" i="3" s="1"/>
  <c r="T161" i="3"/>
  <c r="W160" i="3"/>
  <c r="L160" i="3" l="1"/>
  <c r="AG161" i="3" s="1"/>
  <c r="Y159" i="3" l="1"/>
  <c r="U160" i="3"/>
  <c r="E161" i="3" s="1"/>
  <c r="H161" i="3" s="1"/>
  <c r="K161" i="3" s="1"/>
  <c r="A162" i="3" s="1"/>
  <c r="B162" i="3" s="1"/>
  <c r="AH161" i="3"/>
  <c r="D161" i="3" l="1"/>
  <c r="G161" i="3" s="1"/>
  <c r="I161" i="3" s="1"/>
  <c r="Z162" i="3"/>
  <c r="P162" i="3"/>
  <c r="Q162" i="3" s="1"/>
  <c r="R162" i="3" s="1"/>
  <c r="S162" i="3" s="1"/>
  <c r="AC162" i="3"/>
  <c r="AA162" i="3"/>
  <c r="V161" i="3"/>
  <c r="AE161" i="3"/>
  <c r="M161" i="3" l="1"/>
  <c r="N161" i="3" s="1"/>
  <c r="J161" i="3"/>
  <c r="AD161" i="3" s="1"/>
  <c r="F161" i="3"/>
  <c r="T162" i="3"/>
  <c r="W161" i="3"/>
  <c r="L161" i="3" l="1"/>
  <c r="U161" i="3" s="1"/>
  <c r="D162" i="3" s="1"/>
  <c r="Y160" i="3" l="1"/>
  <c r="AH162" i="3"/>
  <c r="AG162" i="3"/>
  <c r="G162" i="3"/>
  <c r="E162" i="3"/>
  <c r="H162" i="3" s="1"/>
  <c r="F162" i="3" l="1"/>
  <c r="I162" i="3"/>
  <c r="J162" i="3"/>
  <c r="AD162" i="3" s="1"/>
  <c r="M162" i="3"/>
  <c r="N162" i="3" s="1"/>
  <c r="K162" i="3"/>
  <c r="A163" i="3" s="1"/>
  <c r="B163" i="3" s="1"/>
  <c r="AC163" i="3" l="1"/>
  <c r="Z163" i="3"/>
  <c r="P163" i="3"/>
  <c r="Q163" i="3" s="1"/>
  <c r="R163" i="3" s="1"/>
  <c r="S163" i="3" s="1"/>
  <c r="AA163" i="3"/>
  <c r="V162" i="3"/>
  <c r="W162" i="3" s="1"/>
  <c r="AE162" i="3"/>
  <c r="L162" i="3"/>
  <c r="T163" i="3" l="1"/>
  <c r="AH163" i="3" s="1"/>
  <c r="U162" i="3"/>
  <c r="Y161" i="3"/>
  <c r="AG163" i="3" l="1"/>
  <c r="D163" i="3"/>
  <c r="G163" i="3" s="1"/>
  <c r="E163" i="3"/>
  <c r="H163" i="3" s="1"/>
  <c r="K163" i="3" s="1"/>
  <c r="A164" i="3" s="1"/>
  <c r="B164" i="3" s="1"/>
  <c r="AA164" i="3" l="1"/>
  <c r="Z164" i="3"/>
  <c r="AC164" i="3"/>
  <c r="P164" i="3"/>
  <c r="Q164" i="3" s="1"/>
  <c r="R164" i="3" s="1"/>
  <c r="S164" i="3" s="1"/>
  <c r="F163" i="3"/>
  <c r="V163" i="3"/>
  <c r="AE163" i="3"/>
  <c r="I163" i="3"/>
  <c r="J163" i="3"/>
  <c r="AD163" i="3" s="1"/>
  <c r="M163" i="3"/>
  <c r="N163" i="3" s="1"/>
  <c r="T164" i="3" l="1"/>
  <c r="W163" i="3"/>
  <c r="L163" i="3"/>
  <c r="AH164" i="3" l="1"/>
  <c r="U163" i="3"/>
  <c r="D164" i="3" s="1"/>
  <c r="AG164" i="3"/>
  <c r="Y162" i="3"/>
  <c r="E164" i="3" l="1"/>
  <c r="H164" i="3" s="1"/>
  <c r="K164" i="3" s="1"/>
  <c r="A165" i="3" s="1"/>
  <c r="B165" i="3" s="1"/>
  <c r="G164" i="3"/>
  <c r="AA165" i="3" l="1"/>
  <c r="AC165" i="3"/>
  <c r="Z165" i="3"/>
  <c r="P165" i="3"/>
  <c r="Q165" i="3" s="1"/>
  <c r="R165" i="3" s="1"/>
  <c r="S165" i="3" s="1"/>
  <c r="AD165" i="3"/>
  <c r="F164" i="3"/>
  <c r="I164" i="3"/>
  <c r="J164" i="3"/>
  <c r="AD164" i="3" s="1"/>
  <c r="M164" i="3"/>
  <c r="N164" i="3" s="1"/>
  <c r="V164" i="3"/>
  <c r="AE164" i="3"/>
  <c r="T165" i="3" l="1"/>
  <c r="W164" i="3"/>
  <c r="L164" i="3"/>
  <c r="U164" i="3" l="1"/>
  <c r="D165" i="3" s="1"/>
  <c r="AG165" i="3"/>
  <c r="AH165" i="3"/>
  <c r="Y163" i="3"/>
  <c r="E165" i="3" l="1"/>
  <c r="H165" i="3" s="1"/>
  <c r="K165" i="3" s="1"/>
  <c r="A166" i="3" s="1"/>
  <c r="B166" i="3" s="1"/>
  <c r="G165" i="3"/>
  <c r="AA166" i="3" l="1"/>
  <c r="P166" i="3"/>
  <c r="Q166" i="3" s="1"/>
  <c r="R166" i="3" s="1"/>
  <c r="S166" i="3" s="1"/>
  <c r="AD166" i="3"/>
  <c r="Z166" i="3"/>
  <c r="AC166" i="3"/>
  <c r="F165" i="3"/>
  <c r="V165" i="3"/>
  <c r="AE165" i="3"/>
  <c r="I165" i="3"/>
  <c r="J165" i="3"/>
  <c r="M165" i="3"/>
  <c r="N165" i="3" s="1"/>
  <c r="T166" i="3" l="1"/>
  <c r="L165" i="3"/>
  <c r="W165" i="3"/>
  <c r="AH166" i="3" l="1"/>
  <c r="U165" i="3"/>
  <c r="E166" i="3" s="1"/>
  <c r="H166" i="3" s="1"/>
  <c r="AG166" i="3"/>
  <c r="Y164" i="3"/>
  <c r="D166" i="3" l="1"/>
  <c r="G166" i="3" s="1"/>
  <c r="K166" i="3"/>
  <c r="A167" i="3" s="1"/>
  <c r="B167" i="3" s="1"/>
  <c r="P167" i="3" l="1"/>
  <c r="Q167" i="3" s="1"/>
  <c r="R167" i="3" s="1"/>
  <c r="S167" i="3" s="1"/>
  <c r="AA167" i="3"/>
  <c r="Z167" i="3"/>
  <c r="AD167" i="3"/>
  <c r="AC167" i="3"/>
  <c r="F166" i="3"/>
  <c r="I166" i="3"/>
  <c r="J166" i="3"/>
  <c r="M166" i="3"/>
  <c r="N166" i="3" s="1"/>
  <c r="V166" i="3"/>
  <c r="AE166" i="3"/>
  <c r="T167" i="3" l="1"/>
  <c r="W166" i="3"/>
  <c r="L166" i="3"/>
  <c r="AH167" i="3" l="1"/>
  <c r="AG167" i="3"/>
  <c r="U166" i="3"/>
  <c r="E167" i="3" s="1"/>
  <c r="H167" i="3" s="1"/>
  <c r="Y165" i="3"/>
  <c r="K167" i="3" l="1"/>
  <c r="A168" i="3" s="1"/>
  <c r="B168" i="3" s="1"/>
  <c r="D167" i="3"/>
  <c r="Z168" i="3" l="1"/>
  <c r="AD168" i="3"/>
  <c r="AC168" i="3"/>
  <c r="AA168" i="3"/>
  <c r="P168" i="3"/>
  <c r="Q168" i="3" s="1"/>
  <c r="R168" i="3" s="1"/>
  <c r="S168" i="3" s="1"/>
  <c r="V167" i="3"/>
  <c r="AE167" i="3"/>
  <c r="F167" i="3"/>
  <c r="G167" i="3"/>
  <c r="T168" i="3" l="1"/>
  <c r="I167" i="3"/>
  <c r="W167" i="3" s="1"/>
  <c r="J167" i="3"/>
  <c r="M167" i="3"/>
  <c r="N167" i="3" s="1"/>
  <c r="L167" i="3" l="1"/>
  <c r="AH168" i="3" l="1"/>
  <c r="U167" i="3"/>
  <c r="E168" i="3" s="1"/>
  <c r="H168" i="3" s="1"/>
  <c r="AG168" i="3"/>
  <c r="Y166" i="3"/>
  <c r="D168" i="3" l="1"/>
  <c r="F168" i="3" s="1"/>
  <c r="K168" i="3"/>
  <c r="A169" i="3" s="1"/>
  <c r="B169" i="3" s="1"/>
  <c r="AD169" i="3" l="1"/>
  <c r="Z169" i="3"/>
  <c r="AA169" i="3"/>
  <c r="AC169" i="3"/>
  <c r="P169" i="3"/>
  <c r="Q169" i="3" s="1"/>
  <c r="R169" i="3" s="1"/>
  <c r="S169" i="3" s="1"/>
  <c r="G168" i="3"/>
  <c r="I168" i="3" s="1"/>
  <c r="V168" i="3"/>
  <c r="AE168" i="3"/>
  <c r="T169" i="3" l="1"/>
  <c r="M168" i="3"/>
  <c r="N168" i="3" s="1"/>
  <c r="J168" i="3"/>
  <c r="L168" i="3" s="1"/>
  <c r="W168" i="3"/>
  <c r="U168" i="3" l="1"/>
  <c r="E169" i="3" s="1"/>
  <c r="H169" i="3" s="1"/>
  <c r="AH169" i="3"/>
  <c r="AG169" i="3"/>
  <c r="Y167" i="3"/>
  <c r="D169" i="3" l="1"/>
  <c r="F169" i="3" s="1"/>
  <c r="K169" i="3"/>
  <c r="A170" i="3" s="1"/>
  <c r="B170" i="3" s="1"/>
  <c r="AA170" i="3" l="1"/>
  <c r="AC170" i="3"/>
  <c r="P170" i="3"/>
  <c r="Q170" i="3" s="1"/>
  <c r="R170" i="3" s="1"/>
  <c r="S170" i="3" s="1"/>
  <c r="AD170" i="3"/>
  <c r="Z170" i="3"/>
  <c r="G169" i="3"/>
  <c r="I169" i="3" s="1"/>
  <c r="V169" i="3"/>
  <c r="AE169" i="3"/>
  <c r="T170" i="3" l="1"/>
  <c r="M169" i="3"/>
  <c r="N169" i="3" s="1"/>
  <c r="J169" i="3"/>
  <c r="L169" i="3" s="1"/>
  <c r="W169" i="3"/>
  <c r="AH170" i="3" l="1"/>
  <c r="U169" i="3"/>
  <c r="E170" i="3" s="1"/>
  <c r="H170" i="3" s="1"/>
  <c r="AG170" i="3"/>
  <c r="Y168" i="3"/>
  <c r="D170" i="3" l="1"/>
  <c r="G170" i="3" s="1"/>
  <c r="K170" i="3"/>
  <c r="A171" i="3" s="1"/>
  <c r="B171" i="3" s="1"/>
  <c r="AD171" i="3" l="1"/>
  <c r="Z171" i="3"/>
  <c r="AA171" i="3"/>
  <c r="AC171" i="3"/>
  <c r="P171" i="3"/>
  <c r="Q171" i="3" s="1"/>
  <c r="R171" i="3" s="1"/>
  <c r="S171" i="3" s="1"/>
  <c r="F170" i="3"/>
  <c r="I170" i="3"/>
  <c r="J170" i="3"/>
  <c r="M170" i="3"/>
  <c r="N170" i="3" s="1"/>
  <c r="V170" i="3"/>
  <c r="AE170" i="3"/>
  <c r="T171" i="3" l="1"/>
  <c r="W170" i="3"/>
  <c r="L170" i="3"/>
  <c r="AG171" i="3" l="1"/>
  <c r="U170" i="3"/>
  <c r="E171" i="3" s="1"/>
  <c r="H171" i="3" s="1"/>
  <c r="AH171" i="3"/>
  <c r="Y169" i="3"/>
  <c r="K171" i="3" l="1"/>
  <c r="A172" i="3" s="1"/>
  <c r="B172" i="3" s="1"/>
  <c r="D171" i="3"/>
  <c r="P172" i="3" l="1"/>
  <c r="Q172" i="3" s="1"/>
  <c r="R172" i="3" s="1"/>
  <c r="S172" i="3" s="1"/>
  <c r="AC172" i="3"/>
  <c r="AD172" i="3"/>
  <c r="AA172" i="3"/>
  <c r="Z172" i="3"/>
  <c r="F171" i="3"/>
  <c r="G171" i="3"/>
  <c r="V171" i="3"/>
  <c r="AE171" i="3"/>
  <c r="T172" i="3" l="1"/>
  <c r="I171" i="3"/>
  <c r="W171" i="3" s="1"/>
  <c r="J171" i="3"/>
  <c r="M171" i="3"/>
  <c r="N171" i="3" s="1"/>
  <c r="L171" i="3" l="1"/>
  <c r="U171" i="3" l="1"/>
  <c r="E172" i="3" s="1"/>
  <c r="H172" i="3" s="1"/>
  <c r="AH172" i="3"/>
  <c r="AG172" i="3"/>
  <c r="Y170" i="3"/>
  <c r="K172" i="3" l="1"/>
  <c r="A173" i="3" s="1"/>
  <c r="B173" i="3" s="1"/>
  <c r="D172" i="3"/>
  <c r="P173" i="3" l="1"/>
  <c r="Q173" i="3" s="1"/>
  <c r="R173" i="3" s="1"/>
  <c r="S173" i="3" s="1"/>
  <c r="AD173" i="3"/>
  <c r="AC173" i="3"/>
  <c r="Z173" i="3"/>
  <c r="AA173" i="3"/>
  <c r="V172" i="3"/>
  <c r="AE172" i="3"/>
  <c r="F172" i="3"/>
  <c r="G172" i="3"/>
  <c r="T173" i="3" l="1"/>
  <c r="I172" i="3"/>
  <c r="W172" i="3" s="1"/>
  <c r="J172" i="3"/>
  <c r="M172" i="3"/>
  <c r="N172" i="3" s="1"/>
  <c r="L172" i="3" l="1"/>
  <c r="U172" i="3" l="1"/>
  <c r="E173" i="3" s="1"/>
  <c r="H173" i="3" s="1"/>
  <c r="AH173" i="3"/>
  <c r="AG173" i="3"/>
  <c r="Y171" i="3"/>
  <c r="D173" i="3" l="1"/>
  <c r="G173" i="3" s="1"/>
  <c r="K173" i="3"/>
  <c r="A174" i="3" s="1"/>
  <c r="B174" i="3" s="1"/>
  <c r="P174" i="3" l="1"/>
  <c r="Q174" i="3" s="1"/>
  <c r="R174" i="3" s="1"/>
  <c r="S174" i="3" s="1"/>
  <c r="AA174" i="3"/>
  <c r="AC174" i="3"/>
  <c r="Z174" i="3"/>
  <c r="F173" i="3"/>
  <c r="I173" i="3"/>
  <c r="J173" i="3"/>
  <c r="M173" i="3"/>
  <c r="N173" i="3" s="1"/>
  <c r="V173" i="3"/>
  <c r="AE173" i="3"/>
  <c r="T174" i="3" l="1"/>
  <c r="L173" i="3"/>
  <c r="W173" i="3"/>
  <c r="U173" i="3" l="1"/>
  <c r="E174" i="3" s="1"/>
  <c r="H174" i="3" s="1"/>
  <c r="AG174" i="3"/>
  <c r="AH174" i="3"/>
  <c r="Y172" i="3"/>
  <c r="D174" i="3" l="1"/>
  <c r="G174" i="3" s="1"/>
  <c r="K174" i="3"/>
  <c r="A175" i="3" s="1"/>
  <c r="B175" i="3" s="1"/>
  <c r="AC175" i="3" l="1"/>
  <c r="AA175" i="3"/>
  <c r="Z175" i="3"/>
  <c r="P175" i="3"/>
  <c r="Q175" i="3" s="1"/>
  <c r="R175" i="3" s="1"/>
  <c r="S175" i="3" s="1"/>
  <c r="AD175" i="3"/>
  <c r="F174" i="3"/>
  <c r="V174" i="3"/>
  <c r="AE174" i="3"/>
  <c r="I174" i="3"/>
  <c r="J174" i="3"/>
  <c r="AD174" i="3" s="1"/>
  <c r="M174" i="3"/>
  <c r="N174" i="3" s="1"/>
  <c r="T175" i="3" l="1"/>
  <c r="W174" i="3"/>
  <c r="L174" i="3"/>
  <c r="U174" i="3" l="1"/>
  <c r="D175" i="3" s="1"/>
  <c r="AG175" i="3"/>
  <c r="AH175" i="3"/>
  <c r="Y173" i="3"/>
  <c r="E175" i="3" l="1"/>
  <c r="H175" i="3" s="1"/>
  <c r="K175" i="3" s="1"/>
  <c r="A176" i="3" s="1"/>
  <c r="B176" i="3" s="1"/>
  <c r="G175" i="3"/>
  <c r="P176" i="3" l="1"/>
  <c r="Q176" i="3" s="1"/>
  <c r="R176" i="3" s="1"/>
  <c r="S176" i="3" s="1"/>
  <c r="Z176" i="3"/>
  <c r="AA176" i="3"/>
  <c r="AC176" i="3"/>
  <c r="AD176" i="3"/>
  <c r="F175" i="3"/>
  <c r="I175" i="3"/>
  <c r="J175" i="3"/>
  <c r="M175" i="3"/>
  <c r="N175" i="3" s="1"/>
  <c r="V175" i="3"/>
  <c r="AE175" i="3"/>
  <c r="T176" i="3" l="1"/>
  <c r="W175" i="3"/>
  <c r="L175" i="3"/>
  <c r="U175" i="3" l="1"/>
  <c r="E176" i="3" s="1"/>
  <c r="H176" i="3" s="1"/>
  <c r="AG176" i="3"/>
  <c r="AH176" i="3"/>
  <c r="Y174" i="3"/>
  <c r="D176" i="3" l="1"/>
  <c r="G176" i="3" s="1"/>
  <c r="K176" i="3"/>
  <c r="A177" i="3" s="1"/>
  <c r="B177" i="3" s="1"/>
  <c r="Z177" i="3" l="1"/>
  <c r="AC177" i="3"/>
  <c r="AD177" i="3"/>
  <c r="P177" i="3"/>
  <c r="Q177" i="3" s="1"/>
  <c r="R177" i="3" s="1"/>
  <c r="S177" i="3" s="1"/>
  <c r="AA177" i="3"/>
  <c r="F176" i="3"/>
  <c r="I176" i="3"/>
  <c r="J176" i="3"/>
  <c r="M176" i="3"/>
  <c r="N176" i="3" s="1"/>
  <c r="V176" i="3"/>
  <c r="AE176" i="3"/>
  <c r="T177" i="3" l="1"/>
  <c r="W176" i="3"/>
  <c r="L176" i="3"/>
  <c r="AH177" i="3" l="1"/>
  <c r="U176" i="3"/>
  <c r="D177" i="3" s="1"/>
  <c r="AG177" i="3"/>
  <c r="Y175" i="3"/>
  <c r="G177" i="3" l="1"/>
  <c r="E177" i="3"/>
  <c r="H177" i="3" s="1"/>
  <c r="F177" i="3" l="1"/>
  <c r="I177" i="3"/>
  <c r="J177" i="3"/>
  <c r="M177" i="3"/>
  <c r="N177" i="3" s="1"/>
  <c r="K177" i="3"/>
  <c r="A178" i="3" s="1"/>
  <c r="B178" i="3" s="1"/>
  <c r="AA178" i="3" l="1"/>
  <c r="Z178" i="3"/>
  <c r="AC178" i="3"/>
  <c r="P178" i="3"/>
  <c r="Q178" i="3" s="1"/>
  <c r="R178" i="3" s="1"/>
  <c r="S178" i="3" s="1"/>
  <c r="AD178" i="3"/>
  <c r="V177" i="3"/>
  <c r="W177" i="3" s="1"/>
  <c r="AE177" i="3"/>
  <c r="L177" i="3"/>
  <c r="T178" i="3" l="1"/>
  <c r="AH178" i="3" s="1"/>
  <c r="U177" i="3"/>
  <c r="Y176" i="3"/>
  <c r="E178" i="3" l="1"/>
  <c r="H178" i="3" s="1"/>
  <c r="K178" i="3" s="1"/>
  <c r="A179" i="3" s="1"/>
  <c r="B179" i="3" s="1"/>
  <c r="AG178" i="3"/>
  <c r="D178" i="3"/>
  <c r="G178" i="3" s="1"/>
  <c r="Z179" i="3" l="1"/>
  <c r="AD179" i="3"/>
  <c r="AC179" i="3"/>
  <c r="AA179" i="3"/>
  <c r="P179" i="3"/>
  <c r="Q179" i="3" s="1"/>
  <c r="R179" i="3" s="1"/>
  <c r="S179" i="3" s="1"/>
  <c r="F178" i="3"/>
  <c r="I178" i="3"/>
  <c r="J178" i="3"/>
  <c r="M178" i="3"/>
  <c r="N178" i="3" s="1"/>
  <c r="V178" i="3"/>
  <c r="AE178" i="3"/>
  <c r="T179" i="3" l="1"/>
  <c r="W178" i="3"/>
  <c r="L178" i="3"/>
  <c r="U178" i="3" l="1"/>
  <c r="E179" i="3" s="1"/>
  <c r="H179" i="3" s="1"/>
  <c r="AG179" i="3"/>
  <c r="AH179" i="3"/>
  <c r="Y177" i="3"/>
  <c r="D179" i="3" l="1"/>
  <c r="G179" i="3" s="1"/>
  <c r="K179" i="3"/>
  <c r="A180" i="3" s="1"/>
  <c r="B180" i="3" s="1"/>
  <c r="AC180" i="3" l="1"/>
  <c r="AA180" i="3"/>
  <c r="AD180" i="3"/>
  <c r="P180" i="3"/>
  <c r="Q180" i="3" s="1"/>
  <c r="R180" i="3" s="1"/>
  <c r="S180" i="3" s="1"/>
  <c r="Z180" i="3"/>
  <c r="F179" i="3"/>
  <c r="V179" i="3"/>
  <c r="AE179" i="3"/>
  <c r="I179" i="3"/>
  <c r="J179" i="3"/>
  <c r="M179" i="3"/>
  <c r="N179" i="3" s="1"/>
  <c r="T180" i="3" l="1"/>
  <c r="W179" i="3"/>
  <c r="L179" i="3"/>
  <c r="AG180" i="3" l="1"/>
  <c r="U179" i="3"/>
  <c r="D180" i="3" s="1"/>
  <c r="AH180" i="3"/>
  <c r="Y178" i="3"/>
  <c r="E180" i="3" l="1"/>
  <c r="H180" i="3" s="1"/>
  <c r="K180" i="3" s="1"/>
  <c r="A181" i="3" s="1"/>
  <c r="B181" i="3" s="1"/>
  <c r="G180" i="3"/>
  <c r="AA181" i="3" l="1"/>
  <c r="AC181" i="3"/>
  <c r="P181" i="3"/>
  <c r="Q181" i="3" s="1"/>
  <c r="R181" i="3" s="1"/>
  <c r="S181" i="3" s="1"/>
  <c r="AD181" i="3"/>
  <c r="Z181" i="3"/>
  <c r="F180" i="3"/>
  <c r="I180" i="3"/>
  <c r="J180" i="3"/>
  <c r="M180" i="3"/>
  <c r="N180" i="3" s="1"/>
  <c r="V180" i="3"/>
  <c r="AE180" i="3"/>
  <c r="T181" i="3" l="1"/>
  <c r="L180" i="3"/>
  <c r="W180" i="3"/>
  <c r="U180" i="3" l="1"/>
  <c r="E181" i="3" s="1"/>
  <c r="H181" i="3" s="1"/>
  <c r="AH181" i="3"/>
  <c r="AG181" i="3"/>
  <c r="Y179" i="3"/>
  <c r="D181" i="3" l="1"/>
  <c r="G181" i="3" s="1"/>
  <c r="K181" i="3"/>
  <c r="A182" i="3" s="1"/>
  <c r="B182" i="3" s="1"/>
  <c r="AA182" i="3" l="1"/>
  <c r="P182" i="3"/>
  <c r="Q182" i="3" s="1"/>
  <c r="R182" i="3" s="1"/>
  <c r="S182" i="3" s="1"/>
  <c r="Z182" i="3"/>
  <c r="AC182" i="3"/>
  <c r="AD182" i="3"/>
  <c r="F181" i="3"/>
  <c r="I181" i="3"/>
  <c r="J181" i="3"/>
  <c r="M181" i="3"/>
  <c r="N181" i="3" s="1"/>
  <c r="V181" i="3"/>
  <c r="AE181" i="3"/>
  <c r="T182" i="3" l="1"/>
  <c r="W181" i="3"/>
  <c r="L181" i="3"/>
  <c r="AH182" i="3" l="1"/>
  <c r="U181" i="3"/>
  <c r="E182" i="3" s="1"/>
  <c r="H182" i="3" s="1"/>
  <c r="AG182" i="3"/>
  <c r="Y180" i="3"/>
  <c r="K182" i="3" l="1"/>
  <c r="A183" i="3" s="1"/>
  <c r="B183" i="3" s="1"/>
  <c r="D182" i="3"/>
  <c r="AA183" i="3" l="1"/>
  <c r="AD183" i="3"/>
  <c r="P183" i="3"/>
  <c r="Q183" i="3" s="1"/>
  <c r="R183" i="3" s="1"/>
  <c r="S183" i="3" s="1"/>
  <c r="AC183" i="3"/>
  <c r="Z183" i="3"/>
  <c r="V182" i="3"/>
  <c r="AE182" i="3"/>
  <c r="F182" i="3"/>
  <c r="G182" i="3"/>
  <c r="T183" i="3" l="1"/>
  <c r="I182" i="3"/>
  <c r="W182" i="3" s="1"/>
  <c r="J182" i="3"/>
  <c r="M182" i="3"/>
  <c r="N182" i="3" s="1"/>
  <c r="L182" i="3" l="1"/>
  <c r="U182" i="3" l="1"/>
  <c r="E183" i="3" s="1"/>
  <c r="H183" i="3" s="1"/>
  <c r="AH183" i="3"/>
  <c r="AG183" i="3"/>
  <c r="Y181" i="3"/>
  <c r="D183" i="3" l="1"/>
  <c r="G183" i="3" s="1"/>
  <c r="K183" i="3"/>
  <c r="A184" i="3" s="1"/>
  <c r="B184" i="3" s="1"/>
  <c r="Z184" i="3" l="1"/>
  <c r="P184" i="3"/>
  <c r="Q184" i="3" s="1"/>
  <c r="R184" i="3" s="1"/>
  <c r="S184" i="3" s="1"/>
  <c r="AC184" i="3"/>
  <c r="AA184" i="3"/>
  <c r="F183" i="3"/>
  <c r="I183" i="3"/>
  <c r="J183" i="3"/>
  <c r="M183" i="3"/>
  <c r="N183" i="3" s="1"/>
  <c r="V183" i="3"/>
  <c r="AE183" i="3"/>
  <c r="T184" i="3" l="1"/>
  <c r="W183" i="3"/>
  <c r="L183" i="3"/>
  <c r="U183" i="3" l="1"/>
  <c r="D184" i="3" s="1"/>
  <c r="AG184" i="3"/>
  <c r="AH184" i="3"/>
  <c r="Y182" i="3"/>
  <c r="G184" i="3" l="1"/>
  <c r="E184" i="3"/>
  <c r="H184" i="3" s="1"/>
  <c r="K184" i="3" l="1"/>
  <c r="A185" i="3" s="1"/>
  <c r="B185" i="3" s="1"/>
  <c r="I184" i="3"/>
  <c r="J184" i="3"/>
  <c r="AD184" i="3" s="1"/>
  <c r="M184" i="3"/>
  <c r="N184" i="3" s="1"/>
  <c r="F184" i="3"/>
  <c r="AD185" i="3" l="1"/>
  <c r="AC185" i="3"/>
  <c r="AA185" i="3"/>
  <c r="P185" i="3"/>
  <c r="Q185" i="3" s="1"/>
  <c r="R185" i="3" s="1"/>
  <c r="S185" i="3" s="1"/>
  <c r="Z185" i="3"/>
  <c r="V184" i="3"/>
  <c r="W184" i="3" s="1"/>
  <c r="AE184" i="3"/>
  <c r="L184" i="3"/>
  <c r="T185" i="3" l="1"/>
  <c r="AH185" i="3" s="1"/>
  <c r="U184" i="3"/>
  <c r="Y183" i="3"/>
  <c r="D185" i="3" l="1"/>
  <c r="G185" i="3" s="1"/>
  <c r="AG185" i="3"/>
  <c r="E185" i="3"/>
  <c r="H185" i="3" s="1"/>
  <c r="K185" i="3" s="1"/>
  <c r="A186" i="3" s="1"/>
  <c r="B186" i="3" s="1"/>
  <c r="Z186" i="3" l="1"/>
  <c r="P186" i="3"/>
  <c r="Q186" i="3" s="1"/>
  <c r="R186" i="3" s="1"/>
  <c r="S186" i="3" s="1"/>
  <c r="AA186" i="3"/>
  <c r="AC186" i="3"/>
  <c r="AD186" i="3"/>
  <c r="F185" i="3"/>
  <c r="I185" i="3"/>
  <c r="J185" i="3"/>
  <c r="M185" i="3"/>
  <c r="N185" i="3" s="1"/>
  <c r="V185" i="3"/>
  <c r="AE185" i="3"/>
  <c r="T186" i="3" l="1"/>
  <c r="W185" i="3"/>
  <c r="L185" i="3"/>
  <c r="U185" i="3" l="1"/>
  <c r="E186" i="3" s="1"/>
  <c r="H186" i="3" s="1"/>
  <c r="AH186" i="3"/>
  <c r="AG186" i="3"/>
  <c r="Y184" i="3"/>
  <c r="D186" i="3" l="1"/>
  <c r="G186" i="3" s="1"/>
  <c r="K186" i="3"/>
  <c r="A187" i="3" s="1"/>
  <c r="B187" i="3" s="1"/>
  <c r="AD187" i="3" l="1"/>
  <c r="AA187" i="3"/>
  <c r="AC187" i="3"/>
  <c r="P187" i="3"/>
  <c r="Q187" i="3" s="1"/>
  <c r="R187" i="3" s="1"/>
  <c r="S187" i="3" s="1"/>
  <c r="Z187" i="3"/>
  <c r="F186" i="3"/>
  <c r="V186" i="3"/>
  <c r="AE186" i="3"/>
  <c r="I186" i="3"/>
  <c r="J186" i="3"/>
  <c r="M186" i="3"/>
  <c r="N186" i="3" s="1"/>
  <c r="T187" i="3" l="1"/>
  <c r="L186" i="3"/>
  <c r="W186" i="3"/>
  <c r="AG187" i="3" l="1"/>
  <c r="AH187" i="3"/>
  <c r="U186" i="3"/>
  <c r="D187" i="3" s="1"/>
  <c r="Y185" i="3"/>
  <c r="G187" i="3" l="1"/>
  <c r="E187" i="3"/>
  <c r="H187" i="3" s="1"/>
  <c r="I187" i="3" l="1"/>
  <c r="J187" i="3"/>
  <c r="M187" i="3"/>
  <c r="N187" i="3" s="1"/>
  <c r="F187" i="3"/>
  <c r="K187" i="3"/>
  <c r="A188" i="3" s="1"/>
  <c r="B188" i="3" s="1"/>
  <c r="Z188" i="3" l="1"/>
  <c r="P188" i="3"/>
  <c r="Q188" i="3" s="1"/>
  <c r="R188" i="3" s="1"/>
  <c r="S188" i="3" s="1"/>
  <c r="AC188" i="3"/>
  <c r="AA188" i="3"/>
  <c r="AD188" i="3"/>
  <c r="L187" i="3"/>
  <c r="V187" i="3"/>
  <c r="W187" i="3" s="1"/>
  <c r="AE187" i="3"/>
  <c r="T188" i="3" l="1"/>
  <c r="AG188" i="3" s="1"/>
  <c r="U187" i="3"/>
  <c r="Y186" i="3"/>
  <c r="AH188" i="3" l="1"/>
  <c r="E188" i="3"/>
  <c r="H188" i="3" s="1"/>
  <c r="K188" i="3" s="1"/>
  <c r="A189" i="3" s="1"/>
  <c r="B189" i="3" s="1"/>
  <c r="D188" i="3"/>
  <c r="G188" i="3" s="1"/>
  <c r="Z189" i="3" l="1"/>
  <c r="AC189" i="3"/>
  <c r="AD189" i="3"/>
  <c r="P189" i="3"/>
  <c r="Q189" i="3" s="1"/>
  <c r="R189" i="3" s="1"/>
  <c r="S189" i="3" s="1"/>
  <c r="AA189" i="3"/>
  <c r="F188" i="3"/>
  <c r="I188" i="3"/>
  <c r="J188" i="3"/>
  <c r="M188" i="3"/>
  <c r="N188" i="3" s="1"/>
  <c r="V188" i="3"/>
  <c r="AE188" i="3"/>
  <c r="T189" i="3" l="1"/>
  <c r="W188" i="3"/>
  <c r="L188" i="3"/>
  <c r="U188" i="3" l="1"/>
  <c r="E189" i="3" s="1"/>
  <c r="H189" i="3" s="1"/>
  <c r="AH189" i="3"/>
  <c r="AG189" i="3"/>
  <c r="Y187" i="3"/>
  <c r="D189" i="3" l="1"/>
  <c r="G189" i="3" s="1"/>
  <c r="K189" i="3"/>
  <c r="A190" i="3" s="1"/>
  <c r="B190" i="3" s="1"/>
  <c r="AC190" i="3" l="1"/>
  <c r="Z190" i="3"/>
  <c r="AD190" i="3"/>
  <c r="AA190" i="3"/>
  <c r="P190" i="3"/>
  <c r="Q190" i="3" s="1"/>
  <c r="R190" i="3" s="1"/>
  <c r="S190" i="3" s="1"/>
  <c r="F189" i="3"/>
  <c r="I189" i="3"/>
  <c r="J189" i="3"/>
  <c r="M189" i="3"/>
  <c r="N189" i="3" s="1"/>
  <c r="V189" i="3"/>
  <c r="AE189" i="3"/>
  <c r="T190" i="3" l="1"/>
  <c r="W189" i="3"/>
  <c r="L189" i="3"/>
  <c r="AH190" i="3" l="1"/>
  <c r="U189" i="3"/>
  <c r="D190" i="3" s="1"/>
  <c r="AG190" i="3"/>
  <c r="Y188" i="3"/>
  <c r="G190" i="3" l="1"/>
  <c r="E190" i="3"/>
  <c r="H190" i="3" s="1"/>
  <c r="K190" i="3" l="1"/>
  <c r="A191" i="3" s="1"/>
  <c r="B191" i="3" s="1"/>
  <c r="I190" i="3"/>
  <c r="J190" i="3"/>
  <c r="M190" i="3"/>
  <c r="N190" i="3" s="1"/>
  <c r="F190" i="3"/>
  <c r="P191" i="3" l="1"/>
  <c r="Q191" i="3" s="1"/>
  <c r="R191" i="3" s="1"/>
  <c r="S191" i="3" s="1"/>
  <c r="AA191" i="3"/>
  <c r="AC191" i="3"/>
  <c r="AD191" i="3"/>
  <c r="Z191" i="3"/>
  <c r="L190" i="3"/>
  <c r="V190" i="3"/>
  <c r="W190" i="3" s="1"/>
  <c r="AE190" i="3"/>
  <c r="T191" i="3" l="1"/>
  <c r="AG191" i="3" s="1"/>
  <c r="U190" i="3"/>
  <c r="Y189" i="3"/>
  <c r="AH191" i="3" l="1"/>
  <c r="E191" i="3"/>
  <c r="H191" i="3" s="1"/>
  <c r="K191" i="3" s="1"/>
  <c r="A192" i="3" s="1"/>
  <c r="B192" i="3" s="1"/>
  <c r="D191" i="3"/>
  <c r="P192" i="3" l="1"/>
  <c r="Q192" i="3" s="1"/>
  <c r="R192" i="3" s="1"/>
  <c r="S192" i="3" s="1"/>
  <c r="Z192" i="3"/>
  <c r="AD192" i="3"/>
  <c r="AA192" i="3"/>
  <c r="AC192" i="3"/>
  <c r="V191" i="3"/>
  <c r="AE191" i="3"/>
  <c r="F191" i="3"/>
  <c r="G191" i="3"/>
  <c r="T192" i="3" l="1"/>
  <c r="I191" i="3"/>
  <c r="W191" i="3" s="1"/>
  <c r="J191" i="3"/>
  <c r="M191" i="3"/>
  <c r="N191" i="3" s="1"/>
  <c r="L191" i="3" l="1"/>
  <c r="AG192" i="3" l="1"/>
  <c r="U191" i="3"/>
  <c r="E192" i="3" s="1"/>
  <c r="H192" i="3" s="1"/>
  <c r="AH192" i="3"/>
  <c r="Y190" i="3"/>
  <c r="D192" i="3" l="1"/>
  <c r="G192" i="3" s="1"/>
  <c r="K192" i="3"/>
  <c r="A193" i="3" s="1"/>
  <c r="B193" i="3" s="1"/>
  <c r="AC193" i="3" l="1"/>
  <c r="AA193" i="3"/>
  <c r="AD193" i="3"/>
  <c r="P193" i="3"/>
  <c r="Q193" i="3" s="1"/>
  <c r="R193" i="3" s="1"/>
  <c r="S193" i="3" s="1"/>
  <c r="Z193" i="3"/>
  <c r="F192" i="3"/>
  <c r="I192" i="3"/>
  <c r="J192" i="3"/>
  <c r="M192" i="3"/>
  <c r="N192" i="3" s="1"/>
  <c r="V192" i="3"/>
  <c r="AE192" i="3"/>
  <c r="T193" i="3" l="1"/>
  <c r="W192" i="3"/>
  <c r="L192" i="3"/>
  <c r="U192" i="3" l="1"/>
  <c r="D193" i="3" s="1"/>
  <c r="AG193" i="3"/>
  <c r="AH193" i="3"/>
  <c r="Y191" i="3"/>
  <c r="G193" i="3" l="1"/>
  <c r="E193" i="3"/>
  <c r="H193" i="3" s="1"/>
  <c r="K193" i="3" l="1"/>
  <c r="A194" i="3" s="1"/>
  <c r="B194" i="3" s="1"/>
  <c r="I193" i="3"/>
  <c r="J193" i="3"/>
  <c r="M193" i="3"/>
  <c r="N193" i="3" s="1"/>
  <c r="F193" i="3"/>
  <c r="P194" i="3" l="1"/>
  <c r="Q194" i="3" s="1"/>
  <c r="R194" i="3" s="1"/>
  <c r="S194" i="3" s="1"/>
  <c r="AA194" i="3"/>
  <c r="AC194" i="3"/>
  <c r="Z194" i="3"/>
  <c r="L193" i="3"/>
  <c r="V193" i="3"/>
  <c r="W193" i="3" s="1"/>
  <c r="AE193" i="3"/>
  <c r="T194" i="3" l="1"/>
  <c r="AH194" i="3" s="1"/>
  <c r="U193" i="3"/>
  <c r="Y192" i="3"/>
  <c r="AG194" i="3" l="1"/>
  <c r="D194" i="3"/>
  <c r="G194" i="3" s="1"/>
  <c r="E194" i="3"/>
  <c r="H194" i="3" s="1"/>
  <c r="K194" i="3" s="1"/>
  <c r="A195" i="3" s="1"/>
  <c r="B195" i="3" s="1"/>
  <c r="P195" i="3" l="1"/>
  <c r="Q195" i="3" s="1"/>
  <c r="R195" i="3" s="1"/>
  <c r="S195" i="3" s="1"/>
  <c r="AD195" i="3"/>
  <c r="Z195" i="3"/>
  <c r="AA195" i="3"/>
  <c r="AC195" i="3"/>
  <c r="F194" i="3"/>
  <c r="V194" i="3"/>
  <c r="AE194" i="3"/>
  <c r="I194" i="3"/>
  <c r="J194" i="3"/>
  <c r="AD194" i="3" s="1"/>
  <c r="M194" i="3"/>
  <c r="N194" i="3" s="1"/>
  <c r="T195" i="3" l="1"/>
  <c r="W194" i="3"/>
  <c r="L194" i="3"/>
  <c r="U194" i="3" l="1"/>
  <c r="D195" i="3" s="1"/>
  <c r="AH195" i="3"/>
  <c r="AG195" i="3"/>
  <c r="Y193" i="3"/>
  <c r="E195" i="3" l="1"/>
  <c r="H195" i="3" s="1"/>
  <c r="K195" i="3" s="1"/>
  <c r="A196" i="3" s="1"/>
  <c r="B196" i="3" s="1"/>
  <c r="G195" i="3"/>
  <c r="P196" i="3" l="1"/>
  <c r="Q196" i="3" s="1"/>
  <c r="R196" i="3" s="1"/>
  <c r="S196" i="3" s="1"/>
  <c r="Z196" i="3"/>
  <c r="AC196" i="3"/>
  <c r="AD196" i="3"/>
  <c r="AA196" i="3"/>
  <c r="F195" i="3"/>
  <c r="V195" i="3"/>
  <c r="AE195" i="3"/>
  <c r="I195" i="3"/>
  <c r="J195" i="3"/>
  <c r="M195" i="3"/>
  <c r="N195" i="3" s="1"/>
  <c r="T196" i="3" l="1"/>
  <c r="W195" i="3"/>
  <c r="L195" i="3"/>
  <c r="AH196" i="3" l="1"/>
  <c r="U195" i="3"/>
  <c r="D196" i="3" s="1"/>
  <c r="AG196" i="3"/>
  <c r="Y194" i="3"/>
  <c r="E196" i="3" l="1"/>
  <c r="H196" i="3" s="1"/>
  <c r="K196" i="3" s="1"/>
  <c r="A197" i="3" s="1"/>
  <c r="B197" i="3" s="1"/>
  <c r="G196" i="3"/>
  <c r="AD197" i="3" l="1"/>
  <c r="AA197" i="3"/>
  <c r="Z197" i="3"/>
  <c r="AC197" i="3"/>
  <c r="P197" i="3"/>
  <c r="Q197" i="3" s="1"/>
  <c r="R197" i="3" s="1"/>
  <c r="S197" i="3" s="1"/>
  <c r="F196" i="3"/>
  <c r="I196" i="3"/>
  <c r="J196" i="3"/>
  <c r="M196" i="3"/>
  <c r="N196" i="3" s="1"/>
  <c r="V196" i="3"/>
  <c r="AE196" i="3"/>
  <c r="T197" i="3" l="1"/>
  <c r="L196" i="3"/>
  <c r="W196" i="3"/>
  <c r="U196" i="3" l="1"/>
  <c r="E197" i="3" s="1"/>
  <c r="H197" i="3" s="1"/>
  <c r="AG197" i="3"/>
  <c r="AH197" i="3"/>
  <c r="Y195" i="3"/>
  <c r="D197" i="3" l="1"/>
  <c r="G197" i="3" s="1"/>
  <c r="K197" i="3"/>
  <c r="A198" i="3" s="1"/>
  <c r="B198" i="3" s="1"/>
  <c r="P198" i="3" l="1"/>
  <c r="Q198" i="3" s="1"/>
  <c r="R198" i="3" s="1"/>
  <c r="S198" i="3" s="1"/>
  <c r="AA198" i="3"/>
  <c r="Z198" i="3"/>
  <c r="AC198" i="3"/>
  <c r="AD198" i="3"/>
  <c r="F197" i="3"/>
  <c r="I197" i="3"/>
  <c r="J197" i="3"/>
  <c r="M197" i="3"/>
  <c r="N197" i="3" s="1"/>
  <c r="V197" i="3"/>
  <c r="AE197" i="3"/>
  <c r="T198" i="3" l="1"/>
  <c r="W197" i="3"/>
  <c r="L197" i="3"/>
  <c r="AG198" i="3" l="1"/>
  <c r="AH198" i="3"/>
  <c r="U197" i="3"/>
  <c r="E198" i="3" s="1"/>
  <c r="H198" i="3" s="1"/>
  <c r="Y196" i="3"/>
  <c r="K198" i="3" l="1"/>
  <c r="A199" i="3" s="1"/>
  <c r="B199" i="3" s="1"/>
  <c r="D198" i="3"/>
  <c r="AD199" i="3" l="1"/>
  <c r="P199" i="3"/>
  <c r="Q199" i="3" s="1"/>
  <c r="R199" i="3" s="1"/>
  <c r="S199" i="3" s="1"/>
  <c r="AC199" i="3"/>
  <c r="AA199" i="3"/>
  <c r="Z199" i="3"/>
  <c r="V198" i="3"/>
  <c r="AE198" i="3"/>
  <c r="F198" i="3"/>
  <c r="G198" i="3"/>
  <c r="T199" i="3" l="1"/>
  <c r="I198" i="3"/>
  <c r="W198" i="3" s="1"/>
  <c r="J198" i="3"/>
  <c r="M198" i="3"/>
  <c r="N198" i="3" s="1"/>
  <c r="L198" i="3" l="1"/>
  <c r="AG199" i="3" l="1"/>
  <c r="U198" i="3"/>
  <c r="E199" i="3" s="1"/>
  <c r="H199" i="3" s="1"/>
  <c r="AH199" i="3"/>
  <c r="Y197" i="3"/>
  <c r="K199" i="3" l="1"/>
  <c r="A200" i="3" s="1"/>
  <c r="B200" i="3" s="1"/>
  <c r="D199" i="3"/>
  <c r="AA200" i="3" l="1"/>
  <c r="AC200" i="3"/>
  <c r="Z200" i="3"/>
  <c r="P200" i="3"/>
  <c r="Q200" i="3" s="1"/>
  <c r="R200" i="3" s="1"/>
  <c r="S200" i="3" s="1"/>
  <c r="AD200" i="3"/>
  <c r="V199" i="3"/>
  <c r="AE199" i="3"/>
  <c r="F199" i="3"/>
  <c r="G199" i="3"/>
  <c r="T200" i="3" l="1"/>
  <c r="I199" i="3"/>
  <c r="W199" i="3" s="1"/>
  <c r="J199" i="3"/>
  <c r="M199" i="3"/>
  <c r="N199" i="3" s="1"/>
  <c r="L199" i="3" l="1"/>
  <c r="AH200" i="3" l="1"/>
  <c r="AG200" i="3"/>
  <c r="U199" i="3"/>
  <c r="E200" i="3" s="1"/>
  <c r="H200" i="3" s="1"/>
  <c r="Y198" i="3"/>
  <c r="K200" i="3" l="1"/>
  <c r="A201" i="3" s="1"/>
  <c r="B201" i="3" s="1"/>
  <c r="D200" i="3"/>
  <c r="AC201" i="3" l="1"/>
  <c r="AD201" i="3"/>
  <c r="P201" i="3"/>
  <c r="Q201" i="3" s="1"/>
  <c r="R201" i="3" s="1"/>
  <c r="S201" i="3" s="1"/>
  <c r="AA201" i="3"/>
  <c r="Z201" i="3"/>
  <c r="V200" i="3"/>
  <c r="AE200" i="3"/>
  <c r="F200" i="3"/>
  <c r="G200" i="3"/>
  <c r="T201" i="3" l="1"/>
  <c r="I200" i="3"/>
  <c r="W200" i="3" s="1"/>
  <c r="J200" i="3"/>
  <c r="M200" i="3"/>
  <c r="N200" i="3" s="1"/>
  <c r="L200" i="3" l="1"/>
  <c r="AG201" i="3" l="1"/>
  <c r="U200" i="3"/>
  <c r="E201" i="3" s="1"/>
  <c r="H201" i="3" s="1"/>
  <c r="AH201" i="3"/>
  <c r="Y199" i="3"/>
  <c r="D201" i="3" l="1"/>
  <c r="G201" i="3" s="1"/>
  <c r="K201" i="3"/>
  <c r="A202" i="3" s="1"/>
  <c r="B202" i="3" s="1"/>
  <c r="AA202" i="3" l="1"/>
  <c r="AC202" i="3"/>
  <c r="AD202" i="3"/>
  <c r="Z202" i="3"/>
  <c r="P202" i="3"/>
  <c r="Q202" i="3" s="1"/>
  <c r="R202" i="3" s="1"/>
  <c r="S202" i="3" s="1"/>
  <c r="F201" i="3"/>
  <c r="I201" i="3"/>
  <c r="J201" i="3"/>
  <c r="M201" i="3"/>
  <c r="N201" i="3" s="1"/>
  <c r="V201" i="3"/>
  <c r="AE201" i="3"/>
  <c r="T202" i="3" l="1"/>
  <c r="W201" i="3"/>
  <c r="L201" i="3"/>
  <c r="U201" i="3" l="1"/>
  <c r="E202" i="3" s="1"/>
  <c r="H202" i="3" s="1"/>
  <c r="AG202" i="3"/>
  <c r="AH202" i="3"/>
  <c r="Y200" i="3"/>
  <c r="D202" i="3" l="1"/>
  <c r="G202" i="3" s="1"/>
  <c r="K202" i="3"/>
  <c r="A203" i="3" s="1"/>
  <c r="B203" i="3" s="1"/>
  <c r="Z203" i="3" l="1"/>
  <c r="P203" i="3"/>
  <c r="Q203" i="3" s="1"/>
  <c r="R203" i="3" s="1"/>
  <c r="S203" i="3" s="1"/>
  <c r="AD203" i="3"/>
  <c r="AC203" i="3"/>
  <c r="AA203" i="3"/>
  <c r="F202" i="3"/>
  <c r="V202" i="3"/>
  <c r="AE202" i="3"/>
  <c r="I202" i="3"/>
  <c r="J202" i="3"/>
  <c r="M202" i="3"/>
  <c r="N202" i="3" s="1"/>
  <c r="T203" i="3" l="1"/>
  <c r="W202" i="3"/>
  <c r="L202" i="3"/>
  <c r="U202" i="3" l="1"/>
  <c r="E203" i="3" s="1"/>
  <c r="H203" i="3" s="1"/>
  <c r="AH203" i="3"/>
  <c r="AG203" i="3"/>
  <c r="Y201" i="3"/>
  <c r="D203" i="3" l="1"/>
  <c r="G203" i="3" s="1"/>
  <c r="K203" i="3"/>
  <c r="A204" i="3" s="1"/>
  <c r="B204" i="3" s="1"/>
  <c r="Z204" i="3" l="1"/>
  <c r="AC204" i="3"/>
  <c r="AA204" i="3"/>
  <c r="P204" i="3"/>
  <c r="Q204" i="3" s="1"/>
  <c r="R204" i="3" s="1"/>
  <c r="S204" i="3" s="1"/>
  <c r="T204" i="3" s="1"/>
  <c r="F203" i="3"/>
  <c r="I203" i="3"/>
  <c r="J203" i="3"/>
  <c r="M203" i="3"/>
  <c r="N203" i="3" s="1"/>
  <c r="V203" i="3"/>
  <c r="AE203" i="3"/>
  <c r="W203" i="3" l="1"/>
  <c r="L203" i="3"/>
  <c r="U203" i="3" l="1"/>
  <c r="E204" i="3" s="1"/>
  <c r="H204" i="3" s="1"/>
  <c r="AH204" i="3"/>
  <c r="AG204" i="3"/>
  <c r="Y202" i="3"/>
  <c r="D204" i="3" l="1"/>
  <c r="G204" i="3" s="1"/>
  <c r="K204" i="3"/>
  <c r="F204" i="3" l="1"/>
  <c r="I204" i="3"/>
  <c r="J204" i="3"/>
  <c r="M204" i="3"/>
  <c r="N204" i="3" s="1"/>
  <c r="V204" i="3"/>
  <c r="A205" i="3"/>
  <c r="B205" i="3" s="1"/>
  <c r="AE204" i="3"/>
  <c r="W204" i="3" l="1"/>
  <c r="L204" i="3"/>
  <c r="AD204" i="3"/>
  <c r="AC205" i="3"/>
  <c r="P205" i="3"/>
  <c r="Q205" i="3" s="1"/>
  <c r="R205" i="3" s="1"/>
  <c r="S205" i="3" s="1"/>
  <c r="Z205" i="3"/>
  <c r="AA205" i="3"/>
  <c r="AD205" i="3"/>
  <c r="U204" i="3" l="1"/>
  <c r="Y203" i="3"/>
  <c r="T205" i="3"/>
  <c r="AH205" i="3" s="1"/>
  <c r="E205" i="3" l="1"/>
  <c r="H205" i="3" s="1"/>
  <c r="D205" i="3"/>
  <c r="AG205" i="3"/>
  <c r="K205" i="3" l="1"/>
  <c r="F205" i="3"/>
  <c r="G205" i="3"/>
  <c r="V205" i="3" l="1"/>
  <c r="A206" i="3"/>
  <c r="B206" i="3" s="1"/>
  <c r="AE205" i="3"/>
  <c r="I205" i="3"/>
  <c r="J205" i="3"/>
  <c r="M205" i="3"/>
  <c r="N205" i="3" s="1"/>
  <c r="W205" i="3" l="1"/>
  <c r="L205" i="3"/>
  <c r="AC206" i="3"/>
  <c r="P206" i="3"/>
  <c r="Q206" i="3" s="1"/>
  <c r="R206" i="3" s="1"/>
  <c r="S206" i="3" s="1"/>
  <c r="Z206" i="3"/>
  <c r="AA206" i="3"/>
  <c r="AD206" i="3"/>
  <c r="T206" i="3" l="1"/>
  <c r="AH206" i="3" s="1"/>
  <c r="U205" i="3"/>
  <c r="Y204" i="3"/>
  <c r="AG206" i="3" l="1"/>
  <c r="D206" i="3"/>
  <c r="E206" i="3"/>
  <c r="H206" i="3" s="1"/>
  <c r="F206" i="3" l="1"/>
  <c r="G206" i="3"/>
  <c r="K206" i="3"/>
  <c r="I206" i="3" l="1"/>
  <c r="J206" i="3"/>
  <c r="M206" i="3"/>
  <c r="N206" i="3" s="1"/>
  <c r="V206" i="3"/>
  <c r="A207" i="3"/>
  <c r="B207" i="3" s="1"/>
  <c r="AE206" i="3"/>
  <c r="W206" i="3" l="1"/>
  <c r="L206" i="3"/>
  <c r="P207" i="3"/>
  <c r="Q207" i="3" s="1"/>
  <c r="R207" i="3" s="1"/>
  <c r="S207" i="3" s="1"/>
  <c r="AC207" i="3"/>
  <c r="Z207" i="3"/>
  <c r="AA207" i="3"/>
  <c r="T207" i="3" l="1"/>
  <c r="U206" i="3"/>
  <c r="Y205" i="3"/>
  <c r="D207" i="3" l="1"/>
  <c r="G207" i="3" s="1"/>
  <c r="AH207" i="3"/>
  <c r="E207" i="3"/>
  <c r="H207" i="3" s="1"/>
  <c r="AG207" i="3"/>
  <c r="F207" i="3" l="1"/>
  <c r="I207" i="3"/>
  <c r="J207" i="3"/>
  <c r="AD207" i="3" s="1"/>
  <c r="M207" i="3"/>
  <c r="N207" i="3" s="1"/>
  <c r="K207" i="3"/>
  <c r="V207" i="3" l="1"/>
  <c r="W207" i="3" s="1"/>
  <c r="AE207" i="3"/>
  <c r="A208" i="3"/>
  <c r="B208" i="3" s="1"/>
  <c r="L207" i="3"/>
  <c r="Z208" i="3" l="1"/>
  <c r="AC208" i="3"/>
  <c r="AA208" i="3"/>
  <c r="P208" i="3"/>
  <c r="Q208" i="3" s="1"/>
  <c r="R208" i="3" s="1"/>
  <c r="S208" i="3" s="1"/>
  <c r="U207" i="3"/>
  <c r="Y206" i="3"/>
  <c r="T208" i="3" l="1"/>
  <c r="AG208" i="3" s="1"/>
  <c r="AH208" i="3" l="1"/>
  <c r="D208" i="3"/>
  <c r="G208" i="3" s="1"/>
  <c r="E208" i="3"/>
  <c r="H208" i="3" s="1"/>
  <c r="K208" i="3" s="1"/>
  <c r="F208" i="3" l="1"/>
  <c r="I208" i="3"/>
  <c r="J208" i="3"/>
  <c r="AD208" i="3" s="1"/>
  <c r="M208" i="3"/>
  <c r="N208" i="3" s="1"/>
  <c r="V208" i="3"/>
  <c r="A209" i="3"/>
  <c r="B209" i="3" s="1"/>
  <c r="AE208" i="3"/>
  <c r="W208" i="3" l="1"/>
  <c r="L208" i="3"/>
  <c r="P209" i="3"/>
  <c r="Q209" i="3" s="1"/>
  <c r="R209" i="3" s="1"/>
  <c r="S209" i="3" s="1"/>
  <c r="AC209" i="3"/>
  <c r="AD209" i="3"/>
  <c r="AA209" i="3"/>
  <c r="Z209" i="3"/>
  <c r="U208" i="3" l="1"/>
  <c r="Y207" i="3"/>
  <c r="T209" i="3"/>
  <c r="AH209" i="3" s="1"/>
  <c r="AG209" i="3" l="1"/>
  <c r="D209" i="3"/>
  <c r="G209" i="3" s="1"/>
  <c r="E209" i="3"/>
  <c r="H209" i="3" s="1"/>
  <c r="F209" i="3" l="1"/>
  <c r="K209" i="3"/>
  <c r="I209" i="3"/>
  <c r="J209" i="3"/>
  <c r="M209" i="3"/>
  <c r="N209" i="3" s="1"/>
  <c r="L209" i="3" l="1"/>
  <c r="V209" i="3"/>
  <c r="W209" i="3" s="1"/>
  <c r="A210" i="3"/>
  <c r="B210" i="3" s="1"/>
  <c r="AE209" i="3"/>
  <c r="AC210" i="3" l="1"/>
  <c r="Z210" i="3"/>
  <c r="P210" i="3"/>
  <c r="Q210" i="3" s="1"/>
  <c r="R210" i="3" s="1"/>
  <c r="S210" i="3" s="1"/>
  <c r="AA210" i="3"/>
  <c r="AD210" i="3"/>
  <c r="U209" i="3"/>
  <c r="Y208" i="3"/>
  <c r="T210" i="3" l="1"/>
  <c r="AG210" i="3" s="1"/>
  <c r="AH210" i="3" l="1"/>
  <c r="D210" i="3"/>
  <c r="E210" i="3"/>
  <c r="H210" i="3" s="1"/>
  <c r="F210" i="3" l="1"/>
  <c r="G210" i="3"/>
  <c r="K210" i="3"/>
  <c r="V210" i="3" l="1"/>
  <c r="AE210" i="3"/>
  <c r="A211" i="3"/>
  <c r="B211" i="3" s="1"/>
  <c r="I210" i="3"/>
  <c r="J210" i="3"/>
  <c r="M210" i="3"/>
  <c r="N210" i="3" s="1"/>
  <c r="W210" i="3" l="1"/>
  <c r="AC211" i="3"/>
  <c r="Z211" i="3"/>
  <c r="P211" i="3"/>
  <c r="Q211" i="3" s="1"/>
  <c r="R211" i="3" s="1"/>
  <c r="S211" i="3" s="1"/>
  <c r="AA211" i="3"/>
  <c r="AD211" i="3"/>
  <c r="L210" i="3"/>
  <c r="T211" i="3" l="1"/>
  <c r="AG211" i="3" s="1"/>
  <c r="U210" i="3"/>
  <c r="Y209" i="3"/>
  <c r="E211" i="3" l="1"/>
  <c r="H211" i="3" s="1"/>
  <c r="D211" i="3"/>
  <c r="AH211" i="3"/>
  <c r="K211" i="3" l="1"/>
  <c r="F211" i="3"/>
  <c r="G211" i="3"/>
  <c r="I211" i="3" l="1"/>
  <c r="J211" i="3"/>
  <c r="M211" i="3"/>
  <c r="N211" i="3" s="1"/>
  <c r="V211" i="3"/>
  <c r="AE211" i="3"/>
  <c r="A212" i="3"/>
  <c r="B212" i="3" s="1"/>
  <c r="W211" i="3" l="1"/>
  <c r="AA212" i="3"/>
  <c r="Z212" i="3"/>
  <c r="P212" i="3"/>
  <c r="Q212" i="3" s="1"/>
  <c r="R212" i="3" s="1"/>
  <c r="S212" i="3" s="1"/>
  <c r="AC212" i="3"/>
  <c r="AD212" i="3"/>
  <c r="L211" i="3"/>
  <c r="U211" i="3" l="1"/>
  <c r="Y210" i="3"/>
  <c r="T212" i="3"/>
  <c r="E212" i="3" l="1"/>
  <c r="H212" i="3" s="1"/>
  <c r="K212" i="3" s="1"/>
  <c r="AH212" i="3"/>
  <c r="AG212" i="3"/>
  <c r="D212" i="3"/>
  <c r="F212" i="3" l="1"/>
  <c r="G212" i="3"/>
  <c r="V212" i="3"/>
  <c r="A213" i="3"/>
  <c r="B213" i="3" s="1"/>
  <c r="AE212" i="3"/>
  <c r="AD213" i="3" l="1"/>
  <c r="AC213" i="3"/>
  <c r="P213" i="3"/>
  <c r="Q213" i="3" s="1"/>
  <c r="R213" i="3" s="1"/>
  <c r="S213" i="3" s="1"/>
  <c r="AA213" i="3"/>
  <c r="Z213" i="3"/>
  <c r="I212" i="3"/>
  <c r="W212" i="3" s="1"/>
  <c r="J212" i="3"/>
  <c r="M212" i="3"/>
  <c r="N212" i="3" s="1"/>
  <c r="T213" i="3" l="1"/>
  <c r="L212" i="3"/>
  <c r="U212" i="3" l="1"/>
  <c r="E213" i="3" s="1"/>
  <c r="H213" i="3" s="1"/>
  <c r="AH213" i="3"/>
  <c r="AG213" i="3"/>
  <c r="Y211" i="3"/>
  <c r="D213" i="3" l="1"/>
  <c r="G213" i="3" s="1"/>
  <c r="K213" i="3"/>
  <c r="F213" i="3" l="1"/>
  <c r="I213" i="3"/>
  <c r="J213" i="3"/>
  <c r="M213" i="3"/>
  <c r="N213" i="3" s="1"/>
  <c r="V213" i="3"/>
  <c r="A214" i="3"/>
  <c r="B214" i="3" s="1"/>
  <c r="AE213" i="3"/>
  <c r="W213" i="3" l="1"/>
  <c r="L213" i="3"/>
  <c r="P214" i="3"/>
  <c r="Q214" i="3" s="1"/>
  <c r="R214" i="3" s="1"/>
  <c r="S214" i="3" s="1"/>
  <c r="AC214" i="3"/>
  <c r="AA214" i="3"/>
  <c r="Z214" i="3"/>
  <c r="U213" i="3" l="1"/>
  <c r="Y212" i="3"/>
  <c r="T214" i="3"/>
  <c r="D214" i="3" l="1"/>
  <c r="G214" i="3" s="1"/>
  <c r="E214" i="3"/>
  <c r="H214" i="3" s="1"/>
  <c r="AG214" i="3"/>
  <c r="AH214" i="3"/>
  <c r="F214" i="3" l="1"/>
  <c r="I214" i="3"/>
  <c r="J214" i="3"/>
  <c r="M214" i="3"/>
  <c r="N214" i="3" s="1"/>
  <c r="K214" i="3"/>
  <c r="AE214" i="3" s="1"/>
  <c r="V214" i="3" l="1"/>
  <c r="W214" i="3" s="1"/>
  <c r="A215" i="3"/>
  <c r="B215" i="3" s="1"/>
  <c r="L214" i="3"/>
  <c r="AD214" i="3"/>
  <c r="U214" i="3" l="1"/>
  <c r="Y213" i="3"/>
  <c r="AC215" i="3"/>
  <c r="AD215" i="3"/>
  <c r="Z215" i="3"/>
  <c r="P215" i="3"/>
  <c r="Q215" i="3" s="1"/>
  <c r="R215" i="3" s="1"/>
  <c r="S215" i="3" s="1"/>
  <c r="AA215" i="3"/>
  <c r="T215" i="3" l="1"/>
  <c r="AH215" i="3" s="1"/>
  <c r="D215" i="3" l="1"/>
  <c r="G215" i="3" s="1"/>
  <c r="E215" i="3"/>
  <c r="H215" i="3" s="1"/>
  <c r="K215" i="3" s="1"/>
  <c r="AE215" i="3" s="1"/>
  <c r="AG215" i="3"/>
  <c r="F215" i="3" l="1"/>
  <c r="V215" i="3"/>
  <c r="A216" i="3"/>
  <c r="B216" i="3" s="1"/>
  <c r="I215" i="3"/>
  <c r="J215" i="3"/>
  <c r="M215" i="3"/>
  <c r="N215" i="3" s="1"/>
  <c r="W215" i="3" l="1"/>
  <c r="L215" i="3"/>
  <c r="P216" i="3"/>
  <c r="Q216" i="3" s="1"/>
  <c r="R216" i="3" s="1"/>
  <c r="S216" i="3" s="1"/>
  <c r="Z216" i="3"/>
  <c r="AC216" i="3"/>
  <c r="AD216" i="3"/>
  <c r="AA216" i="3"/>
  <c r="U215" i="3" l="1"/>
  <c r="Y214" i="3"/>
  <c r="T216" i="3"/>
  <c r="AH216" i="3" s="1"/>
  <c r="D216" i="3" l="1"/>
  <c r="G216" i="3" s="1"/>
  <c r="AG216" i="3"/>
  <c r="E216" i="3"/>
  <c r="H216" i="3" s="1"/>
  <c r="K216" i="3" l="1"/>
  <c r="AE216" i="3" s="1"/>
  <c r="I216" i="3"/>
  <c r="J216" i="3"/>
  <c r="M216" i="3"/>
  <c r="N216" i="3" s="1"/>
  <c r="F216" i="3"/>
  <c r="V216" i="3" l="1"/>
  <c r="W216" i="3" s="1"/>
  <c r="A217" i="3"/>
  <c r="B217" i="3" s="1"/>
  <c r="L216" i="3"/>
  <c r="U216" i="3" l="1"/>
  <c r="Y215" i="3"/>
  <c r="P217" i="3"/>
  <c r="Q217" i="3" s="1"/>
  <c r="R217" i="3" s="1"/>
  <c r="S217" i="3" s="1"/>
  <c r="AC217" i="3"/>
  <c r="AA217" i="3"/>
  <c r="Z217" i="3"/>
  <c r="T217" i="3" l="1"/>
  <c r="D217" i="3" s="1"/>
  <c r="G217" i="3" l="1"/>
  <c r="AG217" i="3"/>
  <c r="AH217" i="3"/>
  <c r="E217" i="3"/>
  <c r="H217" i="3" s="1"/>
  <c r="I217" i="3" l="1"/>
  <c r="J217" i="3"/>
  <c r="AD217" i="3" s="1"/>
  <c r="M217" i="3"/>
  <c r="N217" i="3" s="1"/>
  <c r="K217" i="3"/>
  <c r="AE217" i="3" s="1"/>
  <c r="F217" i="3"/>
  <c r="V217" i="3" l="1"/>
  <c r="W217" i="3" s="1"/>
  <c r="A218" i="3"/>
  <c r="B218" i="3" s="1"/>
  <c r="L217" i="3"/>
  <c r="U217" i="3" l="1"/>
  <c r="Y216" i="3"/>
  <c r="AC218" i="3"/>
  <c r="AA218" i="3"/>
  <c r="Z218" i="3"/>
  <c r="P218" i="3"/>
  <c r="Q218" i="3" s="1"/>
  <c r="R218" i="3" s="1"/>
  <c r="S218" i="3" s="1"/>
  <c r="T218" i="3" l="1"/>
  <c r="AG218" i="3" s="1"/>
  <c r="AH218" i="3" l="1"/>
  <c r="E218" i="3"/>
  <c r="H218" i="3" s="1"/>
  <c r="K218" i="3" s="1"/>
  <c r="AE218" i="3" s="1"/>
  <c r="D218" i="3"/>
  <c r="G218" i="3" s="1"/>
  <c r="F218" i="3" l="1"/>
  <c r="I218" i="3"/>
  <c r="J218" i="3"/>
  <c r="AD218" i="3" s="1"/>
  <c r="M218" i="3"/>
  <c r="N218" i="3" s="1"/>
  <c r="V218" i="3"/>
  <c r="A219" i="3"/>
  <c r="B219" i="3" s="1"/>
  <c r="W218" i="3" l="1"/>
  <c r="L218" i="3"/>
  <c r="P219" i="3"/>
  <c r="Q219" i="3" s="1"/>
  <c r="R219" i="3" s="1"/>
  <c r="S219" i="3" s="1"/>
  <c r="AD219" i="3"/>
  <c r="AC219" i="3"/>
  <c r="AA219" i="3"/>
  <c r="Z219" i="3"/>
  <c r="U218" i="3" l="1"/>
  <c r="Y217" i="3"/>
  <c r="T219" i="3"/>
  <c r="AG219" i="3" s="1"/>
  <c r="D219" i="3" l="1"/>
  <c r="E219" i="3"/>
  <c r="H219" i="3" s="1"/>
  <c r="AH219" i="3"/>
  <c r="F219" i="3" l="1"/>
  <c r="G219" i="3"/>
  <c r="K219" i="3"/>
  <c r="AE219" i="3" s="1"/>
  <c r="I219" i="3" l="1"/>
  <c r="J219" i="3"/>
  <c r="M219" i="3"/>
  <c r="N219" i="3" s="1"/>
  <c r="V219" i="3"/>
  <c r="A220" i="3"/>
  <c r="B220" i="3" s="1"/>
  <c r="W219" i="3" l="1"/>
  <c r="L219" i="3"/>
  <c r="AC220" i="3"/>
  <c r="AD220" i="3"/>
  <c r="Z220" i="3"/>
  <c r="P220" i="3"/>
  <c r="Q220" i="3" s="1"/>
  <c r="R220" i="3" s="1"/>
  <c r="S220" i="3" s="1"/>
  <c r="AA220" i="3"/>
  <c r="U219" i="3" l="1"/>
  <c r="Y218" i="3"/>
  <c r="T220" i="3"/>
  <c r="E220" i="3" l="1"/>
  <c r="H220" i="3" s="1"/>
  <c r="K220" i="3" s="1"/>
  <c r="AE220" i="3" s="1"/>
  <c r="D220" i="3"/>
  <c r="G220" i="3" s="1"/>
  <c r="AG220" i="3"/>
  <c r="AH220" i="3"/>
  <c r="F220" i="3" l="1"/>
  <c r="I220" i="3"/>
  <c r="J220" i="3"/>
  <c r="M220" i="3"/>
  <c r="N220" i="3" s="1"/>
  <c r="V220" i="3"/>
  <c r="A221" i="3"/>
  <c r="B221" i="3" s="1"/>
  <c r="W220" i="3" l="1"/>
  <c r="L220" i="3"/>
  <c r="AA221" i="3"/>
  <c r="AC221" i="3"/>
  <c r="AD221" i="3"/>
  <c r="P221" i="3"/>
  <c r="Q221" i="3" s="1"/>
  <c r="R221" i="3" s="1"/>
  <c r="S221" i="3" s="1"/>
  <c r="Z221" i="3"/>
  <c r="T221" i="3" l="1"/>
  <c r="U220" i="3"/>
  <c r="Y219" i="3"/>
  <c r="D221" i="3" l="1"/>
  <c r="G221" i="3" s="1"/>
  <c r="AH221" i="3"/>
  <c r="AG221" i="3"/>
  <c r="E221" i="3"/>
  <c r="H221" i="3" s="1"/>
  <c r="K221" i="3" l="1"/>
  <c r="AE221" i="3" s="1"/>
  <c r="I221" i="3"/>
  <c r="J221" i="3"/>
  <c r="M221" i="3"/>
  <c r="N221" i="3" s="1"/>
  <c r="F221" i="3"/>
  <c r="L221" i="3" l="1"/>
  <c r="V221" i="3"/>
  <c r="W221" i="3" s="1"/>
  <c r="A222" i="3"/>
  <c r="B222" i="3" s="1"/>
  <c r="P222" i="3" l="1"/>
  <c r="Q222" i="3" s="1"/>
  <c r="R222" i="3" s="1"/>
  <c r="S222" i="3" s="1"/>
  <c r="AC222" i="3"/>
  <c r="Z222" i="3"/>
  <c r="AA222" i="3"/>
  <c r="AD222" i="3"/>
  <c r="U221" i="3"/>
  <c r="Y220" i="3"/>
  <c r="T222" i="3" l="1"/>
  <c r="AH222" i="3" s="1"/>
  <c r="E222" i="3" l="1"/>
  <c r="H222" i="3" s="1"/>
  <c r="AG222" i="3"/>
  <c r="D222" i="3"/>
  <c r="F222" i="3" l="1"/>
  <c r="G222" i="3"/>
  <c r="K222" i="3"/>
  <c r="AE222" i="3" s="1"/>
  <c r="I222" i="3" l="1"/>
  <c r="J222" i="3"/>
  <c r="M222" i="3"/>
  <c r="N222" i="3" s="1"/>
  <c r="V222" i="3"/>
  <c r="A223" i="3"/>
  <c r="B223" i="3" s="1"/>
  <c r="W222" i="3" l="1"/>
  <c r="L222" i="3"/>
  <c r="P223" i="3"/>
  <c r="Q223" i="3" s="1"/>
  <c r="R223" i="3" s="1"/>
  <c r="S223" i="3" s="1"/>
  <c r="Z223" i="3"/>
  <c r="AC223" i="3"/>
  <c r="AD223" i="3"/>
  <c r="AA223" i="3"/>
  <c r="U222" i="3" l="1"/>
  <c r="Y221" i="3"/>
  <c r="T223" i="3"/>
  <c r="D223" i="3" l="1"/>
  <c r="G223" i="3" s="1"/>
  <c r="AG223" i="3"/>
  <c r="AH223" i="3"/>
  <c r="E223" i="3"/>
  <c r="H223" i="3" s="1"/>
  <c r="K223" i="3" s="1"/>
  <c r="AE223" i="3" s="1"/>
  <c r="F223" i="3" l="1"/>
  <c r="I223" i="3"/>
  <c r="J223" i="3"/>
  <c r="M223" i="3"/>
  <c r="N223" i="3" s="1"/>
  <c r="V223" i="3"/>
  <c r="A224" i="3"/>
  <c r="B224" i="3" s="1"/>
  <c r="W223" i="3" l="1"/>
  <c r="L223" i="3"/>
  <c r="Z224" i="3"/>
  <c r="P224" i="3"/>
  <c r="Q224" i="3" s="1"/>
  <c r="R224" i="3" s="1"/>
  <c r="S224" i="3" s="1"/>
  <c r="AC224" i="3"/>
  <c r="AA224" i="3"/>
  <c r="U223" i="3" l="1"/>
  <c r="Y222" i="3"/>
  <c r="T224" i="3"/>
  <c r="D224" i="3" l="1"/>
  <c r="G224" i="3" s="1"/>
  <c r="AG224" i="3"/>
  <c r="AH224" i="3"/>
  <c r="E224" i="3"/>
  <c r="H224" i="3" s="1"/>
  <c r="K224" i="3" s="1"/>
  <c r="AE224" i="3" s="1"/>
  <c r="F224" i="3" l="1"/>
  <c r="I224" i="3"/>
  <c r="J224" i="3"/>
  <c r="M224" i="3"/>
  <c r="N224" i="3" s="1"/>
  <c r="V224" i="3"/>
  <c r="A225" i="3"/>
  <c r="B225" i="3" s="1"/>
  <c r="W224" i="3" l="1"/>
  <c r="L224" i="3"/>
  <c r="AD224" i="3"/>
  <c r="AC225" i="3"/>
  <c r="P225" i="3"/>
  <c r="Q225" i="3" s="1"/>
  <c r="R225" i="3" s="1"/>
  <c r="S225" i="3" s="1"/>
  <c r="AA225" i="3"/>
  <c r="AD225" i="3"/>
  <c r="Z225" i="3"/>
  <c r="U224" i="3" l="1"/>
  <c r="Y223" i="3"/>
  <c r="T225" i="3"/>
  <c r="AG225" i="3" s="1"/>
  <c r="AH225" i="3" l="1"/>
  <c r="E225" i="3"/>
  <c r="H225" i="3" s="1"/>
  <c r="D225" i="3"/>
  <c r="K225" i="3" l="1"/>
  <c r="AE225" i="3" s="1"/>
  <c r="F225" i="3"/>
  <c r="G225" i="3"/>
  <c r="I225" i="3" l="1"/>
  <c r="J225" i="3"/>
  <c r="M225" i="3"/>
  <c r="N225" i="3" s="1"/>
  <c r="V225" i="3"/>
  <c r="A226" i="3"/>
  <c r="B226" i="3" s="1"/>
  <c r="W225" i="3" l="1"/>
  <c r="L225" i="3"/>
  <c r="AD226" i="3"/>
  <c r="Z226" i="3"/>
  <c r="AA226" i="3"/>
  <c r="P226" i="3"/>
  <c r="Q226" i="3" s="1"/>
  <c r="R226" i="3" s="1"/>
  <c r="S226" i="3" s="1"/>
  <c r="AC226" i="3"/>
  <c r="U225" i="3" l="1"/>
  <c r="Y224" i="3"/>
  <c r="T226" i="3"/>
  <c r="D226" i="3" l="1"/>
  <c r="G226" i="3" s="1"/>
  <c r="AH226" i="3"/>
  <c r="AG226" i="3"/>
  <c r="E226" i="3"/>
  <c r="H226" i="3" s="1"/>
  <c r="F226" i="3" l="1"/>
  <c r="I226" i="3"/>
  <c r="J226" i="3"/>
  <c r="M226" i="3"/>
  <c r="N226" i="3" s="1"/>
  <c r="K226" i="3"/>
  <c r="AE226" i="3" s="1"/>
  <c r="V226" i="3" l="1"/>
  <c r="W226" i="3" s="1"/>
  <c r="A227" i="3"/>
  <c r="B227" i="3" s="1"/>
  <c r="L226" i="3"/>
  <c r="U226" i="3" l="1"/>
  <c r="Y225" i="3"/>
  <c r="P227" i="3"/>
  <c r="Q227" i="3" s="1"/>
  <c r="R227" i="3" s="1"/>
  <c r="S227" i="3" s="1"/>
  <c r="AA227" i="3"/>
  <c r="Z227" i="3"/>
  <c r="AC227" i="3"/>
  <c r="T227" i="3" l="1"/>
  <c r="D227" i="3" s="1"/>
  <c r="E227" i="3" l="1"/>
  <c r="H227" i="3" s="1"/>
  <c r="K227" i="3" s="1"/>
  <c r="AE227" i="3" s="1"/>
  <c r="AH227" i="3"/>
  <c r="AG227" i="3"/>
  <c r="G227" i="3"/>
  <c r="F227" i="3" l="1"/>
  <c r="V227" i="3"/>
  <c r="A228" i="3"/>
  <c r="B228" i="3" s="1"/>
  <c r="I227" i="3"/>
  <c r="J227" i="3"/>
  <c r="AD227" i="3" s="1"/>
  <c r="M227" i="3"/>
  <c r="N227" i="3" s="1"/>
  <c r="L227" i="3" l="1"/>
  <c r="W227" i="3"/>
  <c r="AA228" i="3"/>
  <c r="Z228" i="3"/>
  <c r="P228" i="3"/>
  <c r="Q228" i="3" s="1"/>
  <c r="R228" i="3" s="1"/>
  <c r="S228" i="3" s="1"/>
  <c r="AC228" i="3"/>
  <c r="T228" i="3" l="1"/>
  <c r="AG228" i="3" s="1"/>
  <c r="U227" i="3"/>
  <c r="Y226" i="3"/>
  <c r="AH228" i="3" l="1"/>
  <c r="E228" i="3"/>
  <c r="H228" i="3" s="1"/>
  <c r="D228" i="3"/>
  <c r="K228" i="3" l="1"/>
  <c r="AE228" i="3" s="1"/>
  <c r="F228" i="3"/>
  <c r="G228" i="3"/>
  <c r="V228" i="3" l="1"/>
  <c r="A229" i="3"/>
  <c r="B229" i="3" s="1"/>
  <c r="I228" i="3"/>
  <c r="J228" i="3"/>
  <c r="AD228" i="3" s="1"/>
  <c r="M228" i="3"/>
  <c r="N228" i="3" s="1"/>
  <c r="W228" i="3" l="1"/>
  <c r="L228" i="3"/>
  <c r="AA229" i="3"/>
  <c r="AD229" i="3"/>
  <c r="AC229" i="3"/>
  <c r="P229" i="3"/>
  <c r="Q229" i="3" s="1"/>
  <c r="R229" i="3" s="1"/>
  <c r="S229" i="3" s="1"/>
  <c r="Z229" i="3"/>
  <c r="U228" i="3" l="1"/>
  <c r="Y227" i="3"/>
  <c r="T229" i="3"/>
  <c r="AH229" i="3" s="1"/>
  <c r="D229" i="3" l="1"/>
  <c r="E229" i="3"/>
  <c r="H229" i="3" s="1"/>
  <c r="AG229" i="3"/>
  <c r="K229" i="3" l="1"/>
  <c r="AE229" i="3" s="1"/>
  <c r="F229" i="3"/>
  <c r="G229" i="3"/>
  <c r="V229" i="3" l="1"/>
  <c r="A230" i="3"/>
  <c r="B230" i="3" s="1"/>
  <c r="I229" i="3"/>
  <c r="J229" i="3"/>
  <c r="M229" i="3"/>
  <c r="N229" i="3" s="1"/>
  <c r="L229" i="3" l="1"/>
  <c r="W229" i="3"/>
  <c r="P230" i="3"/>
  <c r="Q230" i="3" s="1"/>
  <c r="R230" i="3" s="1"/>
  <c r="S230" i="3" s="1"/>
  <c r="AA230" i="3"/>
  <c r="AC230" i="3"/>
  <c r="AD230" i="3"/>
  <c r="Z230" i="3"/>
  <c r="U229" i="3" l="1"/>
  <c r="Y228" i="3"/>
  <c r="T230" i="3"/>
  <c r="AH230" i="3" s="1"/>
  <c r="AG230" i="3" l="1"/>
  <c r="D230" i="3"/>
  <c r="E230" i="3"/>
  <c r="H230" i="3" s="1"/>
  <c r="K230" i="3" l="1"/>
  <c r="AE230" i="3" s="1"/>
  <c r="F230" i="3"/>
  <c r="G230" i="3"/>
  <c r="I230" i="3" l="1"/>
  <c r="J230" i="3"/>
  <c r="M230" i="3"/>
  <c r="N230" i="3" s="1"/>
  <c r="V230" i="3"/>
  <c r="A231" i="3"/>
  <c r="B231" i="3" s="1"/>
  <c r="W230" i="3" l="1"/>
  <c r="L230" i="3"/>
  <c r="AD231" i="3"/>
  <c r="P231" i="3"/>
  <c r="Q231" i="3" s="1"/>
  <c r="R231" i="3" s="1"/>
  <c r="S231" i="3" s="1"/>
  <c r="AA231" i="3"/>
  <c r="Z231" i="3"/>
  <c r="AC231" i="3"/>
  <c r="T231" i="3" l="1"/>
  <c r="U230" i="3"/>
  <c r="Y229" i="3"/>
  <c r="D231" i="3" l="1"/>
  <c r="G231" i="3" s="1"/>
  <c r="E231" i="3"/>
  <c r="H231" i="3" s="1"/>
  <c r="K231" i="3" s="1"/>
  <c r="AE231" i="3" s="1"/>
  <c r="AG231" i="3"/>
  <c r="AH231" i="3"/>
  <c r="F231" i="3" l="1"/>
  <c r="V231" i="3"/>
  <c r="A232" i="3"/>
  <c r="B232" i="3" s="1"/>
  <c r="I231" i="3"/>
  <c r="J231" i="3"/>
  <c r="M231" i="3"/>
  <c r="N231" i="3" s="1"/>
  <c r="L231" i="3" l="1"/>
  <c r="W231" i="3"/>
  <c r="P232" i="3"/>
  <c r="Q232" i="3" s="1"/>
  <c r="R232" i="3" s="1"/>
  <c r="S232" i="3" s="1"/>
  <c r="AD232" i="3"/>
  <c r="Z232" i="3"/>
  <c r="AA232" i="3"/>
  <c r="AC232" i="3"/>
  <c r="U231" i="3" l="1"/>
  <c r="Y230" i="3"/>
  <c r="T232" i="3"/>
  <c r="D232" i="3" l="1"/>
  <c r="G232" i="3" s="1"/>
  <c r="AG232" i="3"/>
  <c r="E232" i="3"/>
  <c r="H232" i="3" s="1"/>
  <c r="AH232" i="3"/>
  <c r="F232" i="3" l="1"/>
  <c r="I232" i="3"/>
  <c r="J232" i="3"/>
  <c r="M232" i="3"/>
  <c r="N232" i="3" s="1"/>
  <c r="K232" i="3"/>
  <c r="AE232" i="3" s="1"/>
  <c r="V232" i="3" l="1"/>
  <c r="W232" i="3" s="1"/>
  <c r="A233" i="3"/>
  <c r="B233" i="3" s="1"/>
  <c r="L232" i="3"/>
  <c r="U232" i="3" l="1"/>
  <c r="Y231" i="3"/>
  <c r="AA233" i="3"/>
  <c r="AD233" i="3"/>
  <c r="AC233" i="3"/>
  <c r="P233" i="3"/>
  <c r="Q233" i="3" s="1"/>
  <c r="R233" i="3" s="1"/>
  <c r="S233" i="3" s="1"/>
  <c r="Z233" i="3"/>
  <c r="T233" i="3" l="1"/>
  <c r="D233" i="3" s="1"/>
  <c r="AG233" i="3" l="1"/>
  <c r="AH233" i="3"/>
  <c r="E233" i="3"/>
  <c r="H233" i="3" s="1"/>
  <c r="K233" i="3" s="1"/>
  <c r="AE233" i="3" s="1"/>
  <c r="G233" i="3"/>
  <c r="F233" i="3" l="1"/>
  <c r="I233" i="3"/>
  <c r="J233" i="3"/>
  <c r="M233" i="3"/>
  <c r="N233" i="3" s="1"/>
  <c r="V233" i="3"/>
  <c r="A234" i="3"/>
  <c r="B234" i="3" s="1"/>
  <c r="W233" i="3" l="1"/>
  <c r="L233" i="3"/>
  <c r="Z234" i="3"/>
  <c r="P234" i="3"/>
  <c r="Q234" i="3" s="1"/>
  <c r="R234" i="3" s="1"/>
  <c r="S234" i="3" s="1"/>
  <c r="AC234" i="3"/>
  <c r="AA234" i="3"/>
  <c r="U233" i="3" l="1"/>
  <c r="Y232" i="3"/>
  <c r="T234" i="3"/>
  <c r="E234" i="3" l="1"/>
  <c r="H234" i="3" s="1"/>
  <c r="K234" i="3" s="1"/>
  <c r="AE234" i="3" s="1"/>
  <c r="AG234" i="3"/>
  <c r="AH234" i="3"/>
  <c r="D234" i="3"/>
  <c r="G234" i="3" s="1"/>
  <c r="F234" i="3" l="1"/>
  <c r="I234" i="3"/>
  <c r="J234" i="3"/>
  <c r="M234" i="3"/>
  <c r="N234" i="3" s="1"/>
  <c r="V234" i="3"/>
  <c r="A235" i="3"/>
  <c r="B235" i="3" s="1"/>
  <c r="L234" i="3" l="1"/>
  <c r="AD234" i="3"/>
  <c r="W234" i="3"/>
  <c r="AC235" i="3"/>
  <c r="AA235" i="3"/>
  <c r="Z235" i="3"/>
  <c r="P235" i="3"/>
  <c r="Q235" i="3" s="1"/>
  <c r="R235" i="3" s="1"/>
  <c r="S235" i="3" s="1"/>
  <c r="AD235" i="3"/>
  <c r="U234" i="3" l="1"/>
  <c r="Y233" i="3"/>
  <c r="T235" i="3"/>
  <c r="E235" i="3" l="1"/>
  <c r="H235" i="3" s="1"/>
  <c r="K235" i="3" s="1"/>
  <c r="AE235" i="3" s="1"/>
  <c r="AG235" i="3"/>
  <c r="D235" i="3"/>
  <c r="AH235" i="3"/>
  <c r="F235" i="3" l="1"/>
  <c r="G235" i="3"/>
  <c r="V235" i="3"/>
  <c r="A236" i="3"/>
  <c r="B236" i="3" s="1"/>
  <c r="AD236" i="3" l="1"/>
  <c r="P236" i="3"/>
  <c r="Q236" i="3" s="1"/>
  <c r="R236" i="3" s="1"/>
  <c r="S236" i="3" s="1"/>
  <c r="AA236" i="3"/>
  <c r="Z236" i="3"/>
  <c r="AC236" i="3"/>
  <c r="I235" i="3"/>
  <c r="W235" i="3" s="1"/>
  <c r="J235" i="3"/>
  <c r="M235" i="3"/>
  <c r="N235" i="3" s="1"/>
  <c r="T236" i="3" l="1"/>
  <c r="L235" i="3"/>
  <c r="U235" i="3" l="1"/>
  <c r="D236" i="3" s="1"/>
  <c r="AH236" i="3"/>
  <c r="AG236" i="3"/>
  <c r="Y234" i="3"/>
  <c r="E236" i="3" l="1"/>
  <c r="H236" i="3" s="1"/>
  <c r="K236" i="3" s="1"/>
  <c r="AE236" i="3" s="1"/>
  <c r="G236" i="3"/>
  <c r="F236" i="3" l="1"/>
  <c r="I236" i="3"/>
  <c r="J236" i="3"/>
  <c r="M236" i="3"/>
  <c r="N236" i="3" s="1"/>
  <c r="V236" i="3"/>
  <c r="A237" i="3"/>
  <c r="B237" i="3" s="1"/>
  <c r="W236" i="3" l="1"/>
  <c r="L236" i="3"/>
  <c r="P237" i="3"/>
  <c r="Q237" i="3" s="1"/>
  <c r="R237" i="3" s="1"/>
  <c r="S237" i="3" s="1"/>
  <c r="AA237" i="3"/>
  <c r="Z237" i="3"/>
  <c r="AC237" i="3"/>
  <c r="U236" i="3" l="1"/>
  <c r="Y235" i="3"/>
  <c r="T237" i="3"/>
  <c r="AH237" i="3" s="1"/>
  <c r="E237" i="3" l="1"/>
  <c r="H237" i="3" s="1"/>
  <c r="K237" i="3" s="1"/>
  <c r="AE237" i="3" s="1"/>
  <c r="AG237" i="3"/>
  <c r="D237" i="3"/>
  <c r="F237" i="3" l="1"/>
  <c r="G237" i="3"/>
  <c r="M237" i="3" s="1"/>
  <c r="N237" i="3" s="1"/>
  <c r="V237" i="3"/>
  <c r="A238" i="3"/>
  <c r="B238" i="3" s="1"/>
  <c r="I237" i="3" l="1"/>
  <c r="W237" i="3" s="1"/>
  <c r="J237" i="3"/>
  <c r="P238" i="3"/>
  <c r="Q238" i="3" s="1"/>
  <c r="R238" i="3" s="1"/>
  <c r="S238" i="3" s="1"/>
  <c r="Z238" i="3"/>
  <c r="AC238" i="3"/>
  <c r="AA238" i="3"/>
  <c r="L237" i="3" l="1"/>
  <c r="U237" i="3" s="1"/>
  <c r="AD237" i="3"/>
  <c r="T238" i="3"/>
  <c r="Y236" i="3" l="1"/>
  <c r="AG238" i="3"/>
  <c r="AH238" i="3"/>
  <c r="E238" i="3"/>
  <c r="H238" i="3" s="1"/>
  <c r="K238" i="3" s="1"/>
  <c r="AE238" i="3" s="1"/>
  <c r="D238" i="3"/>
  <c r="F238" i="3" l="1"/>
  <c r="G238" i="3"/>
  <c r="M238" i="3" s="1"/>
  <c r="N238" i="3" s="1"/>
  <c r="V238" i="3"/>
  <c r="A239" i="3"/>
  <c r="B239" i="3" s="1"/>
  <c r="I238" i="3" l="1"/>
  <c r="W238" i="3" s="1"/>
  <c r="J238" i="3"/>
  <c r="AD239" i="3"/>
  <c r="P239" i="3"/>
  <c r="Q239" i="3" s="1"/>
  <c r="R239" i="3" s="1"/>
  <c r="S239" i="3" s="1"/>
  <c r="AC239" i="3"/>
  <c r="Z239" i="3"/>
  <c r="AA239" i="3"/>
  <c r="L238" i="3" l="1"/>
  <c r="U238" i="3" s="1"/>
  <c r="AD238" i="3"/>
  <c r="T239" i="3"/>
  <c r="Y237" i="3" l="1"/>
  <c r="D239" i="3"/>
  <c r="G239" i="3" s="1"/>
  <c r="E239" i="3"/>
  <c r="H239" i="3" s="1"/>
  <c r="K239" i="3" s="1"/>
  <c r="AE239" i="3" s="1"/>
  <c r="AG239" i="3"/>
  <c r="AH239" i="3"/>
  <c r="F239" i="3" l="1"/>
  <c r="I239" i="3"/>
  <c r="J239" i="3"/>
  <c r="M239" i="3"/>
  <c r="N239" i="3" s="1"/>
  <c r="V239" i="3"/>
  <c r="A240" i="3"/>
  <c r="B240" i="3" s="1"/>
  <c r="W239" i="3" l="1"/>
  <c r="L239" i="3"/>
  <c r="Z240" i="3"/>
  <c r="P240" i="3"/>
  <c r="Q240" i="3" s="1"/>
  <c r="R240" i="3" s="1"/>
  <c r="S240" i="3" s="1"/>
  <c r="AD240" i="3"/>
  <c r="AA240" i="3"/>
  <c r="AC240" i="3"/>
  <c r="U239" i="3" l="1"/>
  <c r="Y238" i="3"/>
  <c r="T240" i="3"/>
  <c r="E240" i="3" l="1"/>
  <c r="H240" i="3" s="1"/>
  <c r="K240" i="3" s="1"/>
  <c r="AE240" i="3" s="1"/>
  <c r="D240" i="3"/>
  <c r="AG240" i="3"/>
  <c r="AH240" i="3"/>
  <c r="V240" i="3" l="1"/>
  <c r="A241" i="3"/>
  <c r="B241" i="3" s="1"/>
  <c r="F240" i="3"/>
  <c r="G240" i="3"/>
  <c r="I240" i="3" l="1"/>
  <c r="W240" i="3" s="1"/>
  <c r="J240" i="3"/>
  <c r="M240" i="3"/>
  <c r="N240" i="3" s="1"/>
  <c r="Z241" i="3"/>
  <c r="AD241" i="3"/>
  <c r="AC241" i="3"/>
  <c r="P241" i="3"/>
  <c r="Q241" i="3" s="1"/>
  <c r="R241" i="3" s="1"/>
  <c r="S241" i="3" s="1"/>
  <c r="AA241" i="3"/>
  <c r="T241" i="3" l="1"/>
  <c r="L240" i="3"/>
  <c r="AG241" i="3" l="1"/>
  <c r="AH241" i="3"/>
  <c r="U240" i="3"/>
  <c r="D241" i="3" s="1"/>
  <c r="Y239" i="3"/>
  <c r="G241" i="3" l="1"/>
  <c r="E241" i="3"/>
  <c r="H241" i="3" s="1"/>
  <c r="F241" i="3" l="1"/>
  <c r="I241" i="3"/>
  <c r="J241" i="3"/>
  <c r="M241" i="3"/>
  <c r="N241" i="3" s="1"/>
  <c r="K241" i="3"/>
  <c r="AE241" i="3" s="1"/>
  <c r="V241" i="3" l="1"/>
  <c r="W241" i="3" s="1"/>
  <c r="A242" i="3"/>
  <c r="B242" i="3" s="1"/>
  <c r="L241" i="3"/>
  <c r="U241" i="3" l="1"/>
  <c r="Y240" i="3"/>
  <c r="Z242" i="3"/>
  <c r="AA242" i="3"/>
  <c r="P242" i="3"/>
  <c r="Q242" i="3" s="1"/>
  <c r="R242" i="3" s="1"/>
  <c r="S242" i="3" s="1"/>
  <c r="AD242" i="3"/>
  <c r="AC242" i="3"/>
  <c r="T242" i="3" l="1"/>
  <c r="D242" i="3" s="1"/>
  <c r="E242" i="3" l="1"/>
  <c r="H242" i="3" s="1"/>
  <c r="K242" i="3" s="1"/>
  <c r="AE242" i="3" s="1"/>
  <c r="G242" i="3"/>
  <c r="AH242" i="3"/>
  <c r="AG242" i="3"/>
  <c r="F242" i="3" l="1"/>
  <c r="I242" i="3"/>
  <c r="J242" i="3"/>
  <c r="M242" i="3"/>
  <c r="N242" i="3" s="1"/>
  <c r="V242" i="3"/>
  <c r="A243" i="3"/>
  <c r="B243" i="3" s="1"/>
  <c r="W242" i="3" l="1"/>
  <c r="L242" i="3"/>
  <c r="AA243" i="3"/>
  <c r="AC243" i="3"/>
  <c r="Z243" i="3"/>
  <c r="P243" i="3"/>
  <c r="Q243" i="3" s="1"/>
  <c r="R243" i="3" s="1"/>
  <c r="S243" i="3" s="1"/>
  <c r="AD243" i="3"/>
  <c r="U242" i="3" l="1"/>
  <c r="Y241" i="3"/>
  <c r="T243" i="3"/>
  <c r="AH243" i="3" s="1"/>
  <c r="D243" i="3" l="1"/>
  <c r="G243" i="3" s="1"/>
  <c r="E243" i="3"/>
  <c r="H243" i="3" s="1"/>
  <c r="K243" i="3" s="1"/>
  <c r="AE243" i="3" s="1"/>
  <c r="AG243" i="3"/>
  <c r="F243" i="3" l="1"/>
  <c r="I243" i="3"/>
  <c r="J243" i="3"/>
  <c r="M243" i="3"/>
  <c r="N243" i="3" s="1"/>
  <c r="V243" i="3"/>
  <c r="A244" i="3"/>
  <c r="B244" i="3" s="1"/>
  <c r="W243" i="3" l="1"/>
  <c r="L243" i="3"/>
  <c r="AA244" i="3"/>
  <c r="P244" i="3"/>
  <c r="Q244" i="3" s="1"/>
  <c r="R244" i="3" s="1"/>
  <c r="S244" i="3" s="1"/>
  <c r="Z244" i="3"/>
  <c r="AC244" i="3"/>
  <c r="U243" i="3" l="1"/>
  <c r="Y242" i="3"/>
  <c r="T244" i="3"/>
  <c r="D244" i="3" l="1"/>
  <c r="G244" i="3" s="1"/>
  <c r="E244" i="3"/>
  <c r="H244" i="3" s="1"/>
  <c r="AG244" i="3"/>
  <c r="AH244" i="3"/>
  <c r="I244" i="3" l="1"/>
  <c r="J244" i="3"/>
  <c r="M244" i="3"/>
  <c r="N244" i="3" s="1"/>
  <c r="F244" i="3"/>
  <c r="K244" i="3"/>
  <c r="AE244" i="3" s="1"/>
  <c r="L244" i="3" l="1"/>
  <c r="AD244" i="3"/>
  <c r="V244" i="3"/>
  <c r="W244" i="3" s="1"/>
  <c r="A245" i="3"/>
  <c r="B245" i="3" s="1"/>
  <c r="U244" i="3" l="1"/>
  <c r="Y243" i="3"/>
  <c r="Z245" i="3"/>
  <c r="AD245" i="3"/>
  <c r="AA245" i="3"/>
  <c r="P245" i="3"/>
  <c r="Q245" i="3" s="1"/>
  <c r="R245" i="3" s="1"/>
  <c r="S245" i="3" s="1"/>
  <c r="AC245" i="3"/>
  <c r="T245" i="3" l="1"/>
  <c r="AG245" i="3" s="1"/>
  <c r="D245" i="3" l="1"/>
  <c r="G245" i="3" s="1"/>
  <c r="AH245" i="3"/>
  <c r="E245" i="3"/>
  <c r="H245" i="3" s="1"/>
  <c r="F245" i="3" l="1"/>
  <c r="I245" i="3"/>
  <c r="J245" i="3"/>
  <c r="M245" i="3"/>
  <c r="N245" i="3" s="1"/>
  <c r="K245" i="3"/>
  <c r="AE245" i="3" s="1"/>
  <c r="V245" i="3" l="1"/>
  <c r="W245" i="3" s="1"/>
  <c r="A246" i="3"/>
  <c r="B246" i="3" s="1"/>
  <c r="L245" i="3"/>
  <c r="U245" i="3" l="1"/>
  <c r="Y244" i="3"/>
  <c r="P246" i="3"/>
  <c r="Q246" i="3" s="1"/>
  <c r="R246" i="3" s="1"/>
  <c r="S246" i="3" s="1"/>
  <c r="AC246" i="3"/>
  <c r="Z246" i="3"/>
  <c r="AD246" i="3"/>
  <c r="AA246" i="3"/>
  <c r="T246" i="3" l="1"/>
  <c r="D246" i="3" s="1"/>
  <c r="E246" i="3" l="1"/>
  <c r="H246" i="3" s="1"/>
  <c r="K246" i="3" s="1"/>
  <c r="AE246" i="3" s="1"/>
  <c r="AG246" i="3"/>
  <c r="AH246" i="3"/>
  <c r="G246" i="3"/>
  <c r="F246" i="3" l="1"/>
  <c r="I246" i="3"/>
  <c r="J246" i="3"/>
  <c r="M246" i="3"/>
  <c r="N246" i="3" s="1"/>
  <c r="V246" i="3"/>
  <c r="A247" i="3"/>
  <c r="B247" i="3" s="1"/>
  <c r="W246" i="3" l="1"/>
  <c r="L246" i="3"/>
  <c r="P247" i="3"/>
  <c r="Q247" i="3" s="1"/>
  <c r="R247" i="3" s="1"/>
  <c r="S247" i="3" s="1"/>
  <c r="AA247" i="3"/>
  <c r="AC247" i="3"/>
  <c r="Z247" i="3"/>
  <c r="U246" i="3" l="1"/>
  <c r="Y245" i="3"/>
  <c r="T247" i="3"/>
  <c r="AG247" i="3" s="1"/>
  <c r="AH247" i="3" l="1"/>
  <c r="D247" i="3"/>
  <c r="E247" i="3"/>
  <c r="H247" i="3" s="1"/>
  <c r="K247" i="3" s="1"/>
  <c r="AE247" i="3" s="1"/>
  <c r="F247" i="3" l="1"/>
  <c r="G247" i="3"/>
  <c r="M247" i="3" s="1"/>
  <c r="N247" i="3" s="1"/>
  <c r="V247" i="3"/>
  <c r="A248" i="3"/>
  <c r="B248" i="3" s="1"/>
  <c r="I247" i="3" l="1"/>
  <c r="W247" i="3" s="1"/>
  <c r="J247" i="3"/>
  <c r="Z248" i="3"/>
  <c r="P248" i="3"/>
  <c r="Q248" i="3" s="1"/>
  <c r="R248" i="3" s="1"/>
  <c r="S248" i="3" s="1"/>
  <c r="AA248" i="3"/>
  <c r="AC248" i="3"/>
  <c r="L247" i="3" l="1"/>
  <c r="U247" i="3" s="1"/>
  <c r="AD247" i="3"/>
  <c r="T248" i="3"/>
  <c r="AG248" i="3" l="1"/>
  <c r="Y246" i="3"/>
  <c r="E248" i="3"/>
  <c r="H248" i="3" s="1"/>
  <c r="K248" i="3" s="1"/>
  <c r="AE248" i="3" s="1"/>
  <c r="AH248" i="3"/>
  <c r="D248" i="3"/>
  <c r="G248" i="3" s="1"/>
  <c r="F248" i="3" l="1"/>
  <c r="I248" i="3"/>
  <c r="J248" i="3"/>
  <c r="AD248" i="3" s="1"/>
  <c r="M248" i="3"/>
  <c r="N248" i="3" s="1"/>
  <c r="V248" i="3"/>
  <c r="A249" i="3"/>
  <c r="B249" i="3" s="1"/>
  <c r="W248" i="3" l="1"/>
  <c r="L248" i="3"/>
  <c r="AC249" i="3"/>
  <c r="P249" i="3"/>
  <c r="Q249" i="3" s="1"/>
  <c r="R249" i="3" s="1"/>
  <c r="S249" i="3" s="1"/>
  <c r="Z249" i="3"/>
  <c r="AD249" i="3"/>
  <c r="AA249" i="3"/>
  <c r="U248" i="3" l="1"/>
  <c r="Y247" i="3"/>
  <c r="T249" i="3"/>
  <c r="AG249" i="3" s="1"/>
  <c r="D249" i="3" l="1"/>
  <c r="G249" i="3" s="1"/>
  <c r="AH249" i="3"/>
  <c r="E249" i="3"/>
  <c r="H249" i="3" s="1"/>
  <c r="K249" i="3" s="1"/>
  <c r="AE249" i="3" s="1"/>
  <c r="F249" i="3" l="1"/>
  <c r="I249" i="3"/>
  <c r="J249" i="3"/>
  <c r="M249" i="3"/>
  <c r="N249" i="3" s="1"/>
  <c r="V249" i="3"/>
  <c r="A250" i="3"/>
  <c r="B250" i="3" s="1"/>
  <c r="W249" i="3" l="1"/>
  <c r="L249" i="3"/>
  <c r="AC250" i="3"/>
  <c r="AA250" i="3"/>
  <c r="P250" i="3"/>
  <c r="Q250" i="3" s="1"/>
  <c r="R250" i="3" s="1"/>
  <c r="S250" i="3" s="1"/>
  <c r="AD250" i="3"/>
  <c r="Z250" i="3"/>
  <c r="T250" i="3" l="1"/>
  <c r="AG250" i="3" s="1"/>
  <c r="U249" i="3"/>
  <c r="Y248" i="3"/>
  <c r="D250" i="3" l="1"/>
  <c r="E250" i="3"/>
  <c r="H250" i="3" s="1"/>
  <c r="AH250" i="3"/>
  <c r="F250" i="3" l="1"/>
  <c r="G250" i="3"/>
  <c r="K250" i="3"/>
  <c r="AE250" i="3" s="1"/>
  <c r="V250" i="3" l="1"/>
  <c r="A251" i="3"/>
  <c r="B251" i="3" s="1"/>
  <c r="I250" i="3"/>
  <c r="J250" i="3"/>
  <c r="M250" i="3"/>
  <c r="N250" i="3" s="1"/>
  <c r="W250" i="3" l="1"/>
  <c r="L250" i="3"/>
  <c r="P251" i="3"/>
  <c r="Q251" i="3" s="1"/>
  <c r="R251" i="3" s="1"/>
  <c r="S251" i="3" s="1"/>
  <c r="AC251" i="3"/>
  <c r="AA251" i="3"/>
  <c r="Z251" i="3"/>
  <c r="AD251" i="3"/>
  <c r="U250" i="3" l="1"/>
  <c r="Y249" i="3"/>
  <c r="T251" i="3"/>
  <c r="D251" i="3" l="1"/>
  <c r="G251" i="3" s="1"/>
  <c r="AG251" i="3"/>
  <c r="AH251" i="3"/>
  <c r="E251" i="3"/>
  <c r="H251" i="3" s="1"/>
  <c r="I251" i="3" l="1"/>
  <c r="J251" i="3"/>
  <c r="M251" i="3"/>
  <c r="N251" i="3" s="1"/>
  <c r="K251" i="3"/>
  <c r="AE251" i="3" s="1"/>
  <c r="F251" i="3"/>
  <c r="V251" i="3" l="1"/>
  <c r="W251" i="3" s="1"/>
  <c r="A252" i="3"/>
  <c r="B252" i="3" s="1"/>
  <c r="L251" i="3"/>
  <c r="U251" i="3" l="1"/>
  <c r="Y250" i="3"/>
  <c r="AD252" i="3"/>
  <c r="Z252" i="3"/>
  <c r="AA252" i="3"/>
  <c r="P252" i="3"/>
  <c r="Q252" i="3" s="1"/>
  <c r="R252" i="3" s="1"/>
  <c r="S252" i="3" s="1"/>
  <c r="AC252" i="3"/>
  <c r="T252" i="3" l="1"/>
  <c r="AH252" i="3" s="1"/>
  <c r="E252" i="3" l="1"/>
  <c r="H252" i="3" s="1"/>
  <c r="K252" i="3" s="1"/>
  <c r="AE252" i="3" s="1"/>
  <c r="AG252" i="3"/>
  <c r="D252" i="3"/>
  <c r="F252" i="3" l="1"/>
  <c r="G252" i="3"/>
  <c r="V252" i="3"/>
  <c r="A253" i="3"/>
  <c r="B253" i="3" s="1"/>
  <c r="AC253" i="3" l="1"/>
  <c r="AA253" i="3"/>
  <c r="AD253" i="3"/>
  <c r="P253" i="3"/>
  <c r="Q253" i="3" s="1"/>
  <c r="R253" i="3" s="1"/>
  <c r="S253" i="3" s="1"/>
  <c r="Z253" i="3"/>
  <c r="I252" i="3"/>
  <c r="W252" i="3" s="1"/>
  <c r="J252" i="3"/>
  <c r="M252" i="3"/>
  <c r="N252" i="3" s="1"/>
  <c r="L252" i="3" l="1"/>
  <c r="T253" i="3"/>
  <c r="AH253" i="3" l="1"/>
  <c r="U252" i="3"/>
  <c r="E253" i="3" s="1"/>
  <c r="H253" i="3" s="1"/>
  <c r="AG253" i="3"/>
  <c r="Y251" i="3"/>
  <c r="D253" i="3" l="1"/>
  <c r="F253" i="3" s="1"/>
  <c r="K253" i="3"/>
  <c r="AE253" i="3" s="1"/>
  <c r="G253" i="3" l="1"/>
  <c r="J253" i="3" s="1"/>
  <c r="V253" i="3"/>
  <c r="A254" i="3"/>
  <c r="B254" i="3" s="1"/>
  <c r="M253" i="3" l="1"/>
  <c r="N253" i="3" s="1"/>
  <c r="I253" i="3"/>
  <c r="W253" i="3" s="1"/>
  <c r="L253" i="3"/>
  <c r="AA254" i="3"/>
  <c r="AC254" i="3"/>
  <c r="P254" i="3"/>
  <c r="Q254" i="3" s="1"/>
  <c r="R254" i="3" s="1"/>
  <c r="S254" i="3" s="1"/>
  <c r="Z254" i="3"/>
  <c r="U253" i="3" l="1"/>
  <c r="Y252" i="3"/>
  <c r="T254" i="3"/>
  <c r="AH254" i="3" s="1"/>
  <c r="D254" i="3" l="1"/>
  <c r="G254" i="3" s="1"/>
  <c r="E254" i="3"/>
  <c r="H254" i="3" s="1"/>
  <c r="K254" i="3" s="1"/>
  <c r="AE254" i="3" s="1"/>
  <c r="AG254" i="3"/>
  <c r="F254" i="3" l="1"/>
  <c r="I254" i="3"/>
  <c r="J254" i="3"/>
  <c r="M254" i="3"/>
  <c r="N254" i="3" s="1"/>
  <c r="V254" i="3"/>
  <c r="A255" i="3"/>
  <c r="B255" i="3" s="1"/>
  <c r="W254" i="3" l="1"/>
  <c r="L254" i="3"/>
  <c r="AD254" i="3"/>
  <c r="AA255" i="3"/>
  <c r="AC255" i="3"/>
  <c r="AD255" i="3"/>
  <c r="Z255" i="3"/>
  <c r="P255" i="3"/>
  <c r="Q255" i="3" s="1"/>
  <c r="R255" i="3" s="1"/>
  <c r="S255" i="3" s="1"/>
  <c r="U254" i="3" l="1"/>
  <c r="Y253" i="3"/>
  <c r="T255" i="3"/>
  <c r="D255" i="3" l="1"/>
  <c r="G255" i="3" s="1"/>
  <c r="AG255" i="3"/>
  <c r="AH255" i="3"/>
  <c r="E255" i="3"/>
  <c r="H255" i="3" s="1"/>
  <c r="K255" i="3" s="1"/>
  <c r="AE255" i="3" s="1"/>
  <c r="F255" i="3" l="1"/>
  <c r="I255" i="3"/>
  <c r="J255" i="3"/>
  <c r="M255" i="3"/>
  <c r="N255" i="3" s="1"/>
  <c r="V255" i="3"/>
  <c r="A256" i="3"/>
  <c r="B256" i="3" s="1"/>
  <c r="W255" i="3" l="1"/>
  <c r="L255" i="3"/>
  <c r="AA256" i="3"/>
  <c r="AD256" i="3"/>
  <c r="P256" i="3"/>
  <c r="Q256" i="3" s="1"/>
  <c r="R256" i="3" s="1"/>
  <c r="S256" i="3" s="1"/>
  <c r="Z256" i="3"/>
  <c r="AC256" i="3"/>
  <c r="U255" i="3" l="1"/>
  <c r="Y254" i="3"/>
  <c r="T256" i="3"/>
  <c r="D256" i="3" l="1"/>
  <c r="G256" i="3" s="1"/>
  <c r="E256" i="3"/>
  <c r="H256" i="3" s="1"/>
  <c r="AH256" i="3"/>
  <c r="AG256" i="3"/>
  <c r="F256" i="3" l="1"/>
  <c r="I256" i="3"/>
  <c r="J256" i="3"/>
  <c r="M256" i="3"/>
  <c r="N256" i="3" s="1"/>
  <c r="K256" i="3"/>
  <c r="AE256" i="3" s="1"/>
  <c r="L256" i="3" l="1"/>
  <c r="V256" i="3"/>
  <c r="W256" i="3" s="1"/>
  <c r="A257" i="3"/>
  <c r="B257" i="3" s="1"/>
  <c r="U256" i="3" l="1"/>
  <c r="Y255" i="3"/>
  <c r="AC257" i="3"/>
  <c r="Z257" i="3"/>
  <c r="P257" i="3"/>
  <c r="Q257" i="3" s="1"/>
  <c r="R257" i="3" s="1"/>
  <c r="S257" i="3" s="1"/>
  <c r="AA257" i="3"/>
  <c r="T257" i="3" l="1"/>
  <c r="D257" i="3" s="1"/>
  <c r="E257" i="3" l="1"/>
  <c r="H257" i="3" s="1"/>
  <c r="K257" i="3" s="1"/>
  <c r="AE257" i="3" s="1"/>
  <c r="AG257" i="3"/>
  <c r="AH257" i="3"/>
  <c r="G257" i="3"/>
  <c r="F257" i="3" l="1"/>
  <c r="V257" i="3"/>
  <c r="A258" i="3"/>
  <c r="B258" i="3" s="1"/>
  <c r="I257" i="3"/>
  <c r="J257" i="3"/>
  <c r="AD257" i="3" s="1"/>
  <c r="M257" i="3"/>
  <c r="N257" i="3" s="1"/>
  <c r="W257" i="3" l="1"/>
  <c r="L257" i="3"/>
  <c r="AC258" i="3"/>
  <c r="Z258" i="3"/>
  <c r="P258" i="3"/>
  <c r="Q258" i="3" s="1"/>
  <c r="R258" i="3" s="1"/>
  <c r="S258" i="3" s="1"/>
  <c r="AA258" i="3"/>
  <c r="U257" i="3" l="1"/>
  <c r="Y256" i="3"/>
  <c r="T258" i="3"/>
  <c r="AG258" i="3" s="1"/>
  <c r="E258" i="3" l="1"/>
  <c r="H258" i="3" s="1"/>
  <c r="D258" i="3"/>
  <c r="AH258" i="3"/>
  <c r="F258" i="3" l="1"/>
  <c r="G258" i="3"/>
  <c r="K258" i="3"/>
  <c r="AE258" i="3" s="1"/>
  <c r="V258" i="3" l="1"/>
  <c r="A259" i="3"/>
  <c r="B259" i="3" s="1"/>
  <c r="I258" i="3"/>
  <c r="J258" i="3"/>
  <c r="AD258" i="3" s="1"/>
  <c r="M258" i="3"/>
  <c r="N258" i="3" s="1"/>
  <c r="L258" i="3" l="1"/>
  <c r="AC259" i="3"/>
  <c r="P259" i="3"/>
  <c r="Q259" i="3" s="1"/>
  <c r="R259" i="3" s="1"/>
  <c r="S259" i="3" s="1"/>
  <c r="Z259" i="3"/>
  <c r="AD259" i="3"/>
  <c r="AA259" i="3"/>
  <c r="W258" i="3"/>
  <c r="U258" i="3" l="1"/>
  <c r="Y257" i="3"/>
  <c r="T259" i="3"/>
  <c r="AH259" i="3" s="1"/>
  <c r="D259" i="3" l="1"/>
  <c r="G259" i="3" s="1"/>
  <c r="AG259" i="3"/>
  <c r="E259" i="3"/>
  <c r="H259" i="3" s="1"/>
  <c r="K259" i="3" s="1"/>
  <c r="AE259" i="3" s="1"/>
  <c r="F259" i="3" l="1"/>
  <c r="I259" i="3"/>
  <c r="J259" i="3"/>
  <c r="M259" i="3"/>
  <c r="N259" i="3" s="1"/>
  <c r="V259" i="3"/>
  <c r="A260" i="3"/>
  <c r="B260" i="3" s="1"/>
  <c r="W259" i="3" l="1"/>
  <c r="L259" i="3"/>
  <c r="AA260" i="3"/>
  <c r="P260" i="3"/>
  <c r="Q260" i="3" s="1"/>
  <c r="R260" i="3" s="1"/>
  <c r="S260" i="3" s="1"/>
  <c r="AD260" i="3"/>
  <c r="Z260" i="3"/>
  <c r="AC260" i="3"/>
  <c r="U259" i="3" l="1"/>
  <c r="Y258" i="3"/>
  <c r="T260" i="3"/>
  <c r="AH260" i="3" s="1"/>
  <c r="AG260" i="3" l="1"/>
  <c r="D260" i="3"/>
  <c r="E260" i="3"/>
  <c r="H260" i="3" s="1"/>
  <c r="K260" i="3" l="1"/>
  <c r="AE260" i="3" s="1"/>
  <c r="F260" i="3"/>
  <c r="G260" i="3"/>
  <c r="I260" i="3" l="1"/>
  <c r="J260" i="3"/>
  <c r="M260" i="3"/>
  <c r="N260" i="3" s="1"/>
  <c r="V260" i="3"/>
  <c r="A261" i="3"/>
  <c r="B261" i="3" s="1"/>
  <c r="W260" i="3" l="1"/>
  <c r="L260" i="3"/>
  <c r="Z261" i="3"/>
  <c r="AA261" i="3"/>
  <c r="AD261" i="3"/>
  <c r="P261" i="3"/>
  <c r="Q261" i="3" s="1"/>
  <c r="R261" i="3" s="1"/>
  <c r="S261" i="3" s="1"/>
  <c r="AC261" i="3"/>
  <c r="U260" i="3" l="1"/>
  <c r="Y259" i="3"/>
  <c r="T261" i="3"/>
  <c r="AH261" i="3" s="1"/>
  <c r="E261" i="3" l="1"/>
  <c r="H261" i="3" s="1"/>
  <c r="D261" i="3"/>
  <c r="AG261" i="3"/>
  <c r="K261" i="3" l="1"/>
  <c r="AE261" i="3" s="1"/>
  <c r="F261" i="3"/>
  <c r="G261" i="3"/>
  <c r="I261" i="3" l="1"/>
  <c r="J261" i="3"/>
  <c r="M261" i="3"/>
  <c r="N261" i="3" s="1"/>
  <c r="V261" i="3"/>
  <c r="A262" i="3"/>
  <c r="B262" i="3" s="1"/>
  <c r="W261" i="3" l="1"/>
  <c r="L261" i="3"/>
  <c r="AA262" i="3"/>
  <c r="Z262" i="3"/>
  <c r="P262" i="3"/>
  <c r="Q262" i="3" s="1"/>
  <c r="R262" i="3" s="1"/>
  <c r="S262" i="3" s="1"/>
  <c r="AC262" i="3"/>
  <c r="AD262" i="3"/>
  <c r="T262" i="3" l="1"/>
  <c r="AG262" i="3" s="1"/>
  <c r="U261" i="3"/>
  <c r="Y260" i="3"/>
  <c r="E262" i="3" l="1"/>
  <c r="H262" i="3" s="1"/>
  <c r="K262" i="3" s="1"/>
  <c r="AE262" i="3" s="1"/>
  <c r="AH262" i="3"/>
  <c r="D262" i="3"/>
  <c r="F262" i="3" l="1"/>
  <c r="G262" i="3"/>
  <c r="V262" i="3"/>
  <c r="A263" i="3"/>
  <c r="B263" i="3" s="1"/>
  <c r="P263" i="3" l="1"/>
  <c r="Q263" i="3" s="1"/>
  <c r="R263" i="3" s="1"/>
  <c r="S263" i="3" s="1"/>
  <c r="AA263" i="3"/>
  <c r="Z263" i="3"/>
  <c r="AD263" i="3"/>
  <c r="AC263" i="3"/>
  <c r="I262" i="3"/>
  <c r="W262" i="3" s="1"/>
  <c r="J262" i="3"/>
  <c r="M262" i="3"/>
  <c r="N262" i="3" s="1"/>
  <c r="L262" i="3" l="1"/>
  <c r="T263" i="3"/>
  <c r="U262" i="3" l="1"/>
  <c r="E263" i="3" s="1"/>
  <c r="H263" i="3" s="1"/>
  <c r="AH263" i="3"/>
  <c r="AG263" i="3"/>
  <c r="Y261" i="3"/>
  <c r="D263" i="3" l="1"/>
  <c r="G263" i="3" s="1"/>
  <c r="K263" i="3"/>
  <c r="AE263" i="3" s="1"/>
  <c r="F263" i="3" l="1"/>
  <c r="V263" i="3"/>
  <c r="A264" i="3"/>
  <c r="B264" i="3" s="1"/>
  <c r="I263" i="3"/>
  <c r="J263" i="3"/>
  <c r="M263" i="3"/>
  <c r="N263" i="3" s="1"/>
  <c r="W263" i="3" l="1"/>
  <c r="L263" i="3"/>
  <c r="P264" i="3"/>
  <c r="Q264" i="3" s="1"/>
  <c r="R264" i="3" s="1"/>
  <c r="S264" i="3" s="1"/>
  <c r="AA264" i="3"/>
  <c r="AC264" i="3"/>
  <c r="Z264" i="3"/>
  <c r="U263" i="3" l="1"/>
  <c r="Y262" i="3"/>
  <c r="T264" i="3"/>
  <c r="AH264" i="3" s="1"/>
  <c r="AG264" i="3" l="1"/>
  <c r="D264" i="3"/>
  <c r="G264" i="3" s="1"/>
  <c r="E264" i="3"/>
  <c r="H264" i="3" s="1"/>
  <c r="K264" i="3" l="1"/>
  <c r="AE264" i="3" s="1"/>
  <c r="I264" i="3"/>
  <c r="J264" i="3"/>
  <c r="AD264" i="3" s="1"/>
  <c r="M264" i="3"/>
  <c r="N264" i="3" s="1"/>
  <c r="F264" i="3"/>
  <c r="L264" i="3" l="1"/>
  <c r="V264" i="3"/>
  <c r="W264" i="3" s="1"/>
  <c r="A265" i="3"/>
  <c r="B265" i="3" s="1"/>
  <c r="U264" i="3" l="1"/>
  <c r="Y263" i="3"/>
  <c r="P265" i="3"/>
  <c r="Q265" i="3" s="1"/>
  <c r="R265" i="3" s="1"/>
  <c r="S265" i="3" s="1"/>
  <c r="AA265" i="3"/>
  <c r="AD265" i="3"/>
  <c r="Z265" i="3"/>
  <c r="AC265" i="3"/>
  <c r="T265" i="3" l="1"/>
  <c r="AG265" i="3" l="1"/>
  <c r="AH265" i="3"/>
  <c r="D265" i="3"/>
  <c r="E265" i="3"/>
  <c r="H265" i="3" s="1"/>
  <c r="F265" i="3" l="1"/>
  <c r="G265" i="3"/>
  <c r="K265" i="3"/>
  <c r="AE265" i="3" s="1"/>
  <c r="I265" i="3" l="1"/>
  <c r="J265" i="3"/>
  <c r="M265" i="3"/>
  <c r="N265" i="3" s="1"/>
  <c r="V265" i="3"/>
  <c r="A266" i="3"/>
  <c r="B266" i="3" s="1"/>
  <c r="L265" i="3" l="1"/>
  <c r="W265" i="3"/>
  <c r="P266" i="3"/>
  <c r="Q266" i="3" s="1"/>
  <c r="R266" i="3" s="1"/>
  <c r="S266" i="3" s="1"/>
  <c r="AC266" i="3"/>
  <c r="Z266" i="3"/>
  <c r="AA266" i="3"/>
  <c r="AD266" i="3"/>
  <c r="T266" i="3" l="1"/>
  <c r="U265" i="3"/>
  <c r="Y264" i="3"/>
  <c r="E266" i="3" l="1"/>
  <c r="H266" i="3" s="1"/>
  <c r="K266" i="3" s="1"/>
  <c r="AE266" i="3" s="1"/>
  <c r="AH266" i="3"/>
  <c r="AG266" i="3"/>
  <c r="D266" i="3"/>
  <c r="V266" i="3" l="1"/>
  <c r="A267" i="3"/>
  <c r="B267" i="3" s="1"/>
  <c r="F266" i="3"/>
  <c r="G266" i="3"/>
  <c r="I266" i="3" l="1"/>
  <c r="W266" i="3" s="1"/>
  <c r="J266" i="3"/>
  <c r="M266" i="3"/>
  <c r="N266" i="3" s="1"/>
  <c r="AC267" i="3"/>
  <c r="P267" i="3"/>
  <c r="Q267" i="3" s="1"/>
  <c r="R267" i="3" s="1"/>
  <c r="S267" i="3" s="1"/>
  <c r="AA267" i="3"/>
  <c r="Z267" i="3"/>
  <c r="T267" i="3" l="1"/>
  <c r="L266" i="3"/>
  <c r="AH267" i="3" l="1"/>
  <c r="AG267" i="3"/>
  <c r="U266" i="3"/>
  <c r="E267" i="3" s="1"/>
  <c r="H267" i="3" s="1"/>
  <c r="Y265" i="3"/>
  <c r="K267" i="3" l="1"/>
  <c r="AE267" i="3" s="1"/>
  <c r="D267" i="3"/>
  <c r="V267" i="3" l="1"/>
  <c r="A268" i="3"/>
  <c r="B268" i="3" s="1"/>
  <c r="F267" i="3"/>
  <c r="G267" i="3"/>
  <c r="I267" i="3" l="1"/>
  <c r="W267" i="3" s="1"/>
  <c r="J267" i="3"/>
  <c r="AD267" i="3" s="1"/>
  <c r="M267" i="3"/>
  <c r="N267" i="3" s="1"/>
  <c r="AC268" i="3"/>
  <c r="P268" i="3"/>
  <c r="Q268" i="3" s="1"/>
  <c r="R268" i="3" s="1"/>
  <c r="S268" i="3" s="1"/>
  <c r="Z268" i="3"/>
  <c r="AA268" i="3"/>
  <c r="T268" i="3" l="1"/>
  <c r="L267" i="3"/>
  <c r="U267" i="3" l="1"/>
  <c r="E268" i="3" s="1"/>
  <c r="H268" i="3" s="1"/>
  <c r="AH268" i="3"/>
  <c r="AG268" i="3"/>
  <c r="Y266" i="3"/>
  <c r="K268" i="3" l="1"/>
  <c r="AE268" i="3" s="1"/>
  <c r="D268" i="3"/>
  <c r="V268" i="3" l="1"/>
  <c r="A269" i="3"/>
  <c r="B269" i="3" s="1"/>
  <c r="F268" i="3"/>
  <c r="G268" i="3"/>
  <c r="I268" i="3" l="1"/>
  <c r="W268" i="3" s="1"/>
  <c r="J268" i="3"/>
  <c r="AD268" i="3" s="1"/>
  <c r="M268" i="3"/>
  <c r="N268" i="3" s="1"/>
  <c r="AD269" i="3"/>
  <c r="P269" i="3"/>
  <c r="Q269" i="3" s="1"/>
  <c r="R269" i="3" s="1"/>
  <c r="S269" i="3" s="1"/>
  <c r="AA269" i="3"/>
  <c r="Z269" i="3"/>
  <c r="AC269" i="3"/>
  <c r="T269" i="3" l="1"/>
  <c r="L268" i="3"/>
  <c r="U268" i="3" l="1"/>
  <c r="D269" i="3" s="1"/>
  <c r="AH269" i="3"/>
  <c r="AG269" i="3"/>
  <c r="Y267" i="3"/>
  <c r="G269" i="3" l="1"/>
  <c r="E269" i="3"/>
  <c r="H269" i="3" s="1"/>
  <c r="F269" i="3" l="1"/>
  <c r="I269" i="3"/>
  <c r="J269" i="3"/>
  <c r="M269" i="3"/>
  <c r="N269" i="3" s="1"/>
  <c r="K269" i="3"/>
  <c r="AE269" i="3" s="1"/>
  <c r="V269" i="3" l="1"/>
  <c r="W269" i="3" s="1"/>
  <c r="A270" i="3"/>
  <c r="B270" i="3" s="1"/>
  <c r="L269" i="3"/>
  <c r="U269" i="3" l="1"/>
  <c r="Y268" i="3"/>
  <c r="AA270" i="3"/>
  <c r="Z270" i="3"/>
  <c r="P270" i="3"/>
  <c r="Q270" i="3" s="1"/>
  <c r="R270" i="3" s="1"/>
  <c r="S270" i="3" s="1"/>
  <c r="AC270" i="3"/>
  <c r="AD270" i="3"/>
  <c r="T270" i="3" l="1"/>
  <c r="AG270" i="3" s="1"/>
  <c r="AH270" i="3" l="1"/>
  <c r="E270" i="3"/>
  <c r="H270" i="3" s="1"/>
  <c r="K270" i="3" s="1"/>
  <c r="AE270" i="3" s="1"/>
  <c r="D270" i="3"/>
  <c r="G270" i="3" s="1"/>
  <c r="F270" i="3" l="1"/>
  <c r="V270" i="3"/>
  <c r="A271" i="3"/>
  <c r="B271" i="3" s="1"/>
  <c r="I270" i="3"/>
  <c r="J270" i="3"/>
  <c r="M270" i="3"/>
  <c r="N270" i="3" s="1"/>
  <c r="L270" i="3" l="1"/>
  <c r="Z271" i="3"/>
  <c r="AA271" i="3"/>
  <c r="P271" i="3"/>
  <c r="Q271" i="3" s="1"/>
  <c r="R271" i="3" s="1"/>
  <c r="S271" i="3" s="1"/>
  <c r="AC271" i="3"/>
  <c r="AD271" i="3"/>
  <c r="W270" i="3"/>
  <c r="U270" i="3" l="1"/>
  <c r="Y269" i="3"/>
  <c r="T271" i="3"/>
  <c r="AH271" i="3" s="1"/>
  <c r="AG271" i="3" l="1"/>
  <c r="D271" i="3"/>
  <c r="E271" i="3"/>
  <c r="H271" i="3" s="1"/>
  <c r="K271" i="3" l="1"/>
  <c r="AE271" i="3" s="1"/>
  <c r="F271" i="3"/>
  <c r="G271" i="3"/>
  <c r="I271" i="3" l="1"/>
  <c r="J271" i="3"/>
  <c r="M271" i="3"/>
  <c r="N271" i="3" s="1"/>
  <c r="V271" i="3"/>
  <c r="A272" i="3"/>
  <c r="B272" i="3" s="1"/>
  <c r="W271" i="3" l="1"/>
  <c r="L271" i="3"/>
  <c r="AD272" i="3"/>
  <c r="Z272" i="3"/>
  <c r="AA272" i="3"/>
  <c r="P272" i="3"/>
  <c r="Q272" i="3" s="1"/>
  <c r="R272" i="3" s="1"/>
  <c r="S272" i="3" s="1"/>
  <c r="AC272" i="3"/>
  <c r="T272" i="3" l="1"/>
  <c r="U271" i="3"/>
  <c r="Y270" i="3"/>
  <c r="D272" i="3" l="1"/>
  <c r="G272" i="3" s="1"/>
  <c r="E272" i="3"/>
  <c r="H272" i="3" s="1"/>
  <c r="K272" i="3" s="1"/>
  <c r="AE272" i="3" s="1"/>
  <c r="AG272" i="3"/>
  <c r="AH272" i="3"/>
  <c r="F272" i="3" l="1"/>
  <c r="I272" i="3"/>
  <c r="J272" i="3"/>
  <c r="M272" i="3"/>
  <c r="N272" i="3" s="1"/>
  <c r="V272" i="3"/>
  <c r="A273" i="3"/>
  <c r="B273" i="3" s="1"/>
  <c r="W272" i="3" l="1"/>
  <c r="L272" i="3"/>
  <c r="AA273" i="3"/>
  <c r="P273" i="3"/>
  <c r="Q273" i="3" s="1"/>
  <c r="R273" i="3" s="1"/>
  <c r="S273" i="3" s="1"/>
  <c r="Z273" i="3"/>
  <c r="AC273" i="3"/>
  <c r="AD273" i="3"/>
  <c r="T273" i="3" l="1"/>
  <c r="AG273" i="3" s="1"/>
  <c r="U272" i="3"/>
  <c r="Y271" i="3"/>
  <c r="D273" i="3" l="1"/>
  <c r="G273" i="3" s="1"/>
  <c r="AH273" i="3"/>
  <c r="E273" i="3"/>
  <c r="H273" i="3" s="1"/>
  <c r="F273" i="3" l="1"/>
  <c r="I273" i="3"/>
  <c r="J273" i="3"/>
  <c r="M273" i="3"/>
  <c r="N273" i="3" s="1"/>
  <c r="K273" i="3"/>
  <c r="AE273" i="3" s="1"/>
  <c r="L273" i="3" l="1"/>
  <c r="V273" i="3"/>
  <c r="W273" i="3" s="1"/>
  <c r="A274" i="3"/>
  <c r="B274" i="3" s="1"/>
  <c r="P274" i="3" l="1"/>
  <c r="Q274" i="3" s="1"/>
  <c r="R274" i="3" s="1"/>
  <c r="S274" i="3" s="1"/>
  <c r="AC274" i="3"/>
  <c r="Z274" i="3"/>
  <c r="AA274" i="3"/>
  <c r="U273" i="3"/>
  <c r="Y272" i="3"/>
  <c r="T274" i="3" l="1"/>
  <c r="AG274" i="3" s="1"/>
  <c r="D274" i="3" l="1"/>
  <c r="G274" i="3" s="1"/>
  <c r="AH274" i="3"/>
  <c r="E274" i="3"/>
  <c r="H274" i="3" s="1"/>
  <c r="I274" i="3" l="1"/>
  <c r="J274" i="3"/>
  <c r="AD274" i="3" s="1"/>
  <c r="M274" i="3"/>
  <c r="N274" i="3" s="1"/>
  <c r="K274" i="3"/>
  <c r="AE274" i="3" s="1"/>
  <c r="F274" i="3"/>
  <c r="L274" i="3" l="1"/>
  <c r="V274" i="3"/>
  <c r="W274" i="3" s="1"/>
  <c r="A275" i="3"/>
  <c r="B275" i="3" s="1"/>
  <c r="U274" i="3" l="1"/>
  <c r="Y273" i="3"/>
  <c r="AA275" i="3"/>
  <c r="P275" i="3"/>
  <c r="Q275" i="3" s="1"/>
  <c r="R275" i="3" s="1"/>
  <c r="S275" i="3" s="1"/>
  <c r="AD275" i="3"/>
  <c r="Z275" i="3"/>
  <c r="AC275" i="3"/>
  <c r="T275" i="3" l="1"/>
  <c r="AH275" i="3" s="1"/>
  <c r="E275" i="3" l="1"/>
  <c r="H275" i="3" s="1"/>
  <c r="AG275" i="3"/>
  <c r="D275" i="3"/>
  <c r="F275" i="3" l="1"/>
  <c r="G275" i="3"/>
  <c r="K275" i="3"/>
  <c r="AE275" i="3" s="1"/>
  <c r="I275" i="3" l="1"/>
  <c r="J275" i="3"/>
  <c r="M275" i="3"/>
  <c r="N275" i="3" s="1"/>
  <c r="V275" i="3"/>
  <c r="A276" i="3"/>
  <c r="B276" i="3" s="1"/>
  <c r="W275" i="3" l="1"/>
  <c r="L275" i="3"/>
  <c r="AA276" i="3"/>
  <c r="Z276" i="3"/>
  <c r="P276" i="3"/>
  <c r="Q276" i="3" s="1"/>
  <c r="R276" i="3" s="1"/>
  <c r="S276" i="3" s="1"/>
  <c r="AC276" i="3"/>
  <c r="AD276" i="3"/>
  <c r="U275" i="3" l="1"/>
  <c r="Y274" i="3"/>
  <c r="T276" i="3"/>
  <c r="AH276" i="3" s="1"/>
  <c r="D276" i="3" l="1"/>
  <c r="AG276" i="3"/>
  <c r="E276" i="3"/>
  <c r="H276" i="3" s="1"/>
  <c r="F276" i="3" l="1"/>
  <c r="G276" i="3"/>
  <c r="K276" i="3"/>
  <c r="AE276" i="3" s="1"/>
  <c r="I276" i="3" l="1"/>
  <c r="J276" i="3"/>
  <c r="M276" i="3"/>
  <c r="N276" i="3" s="1"/>
  <c r="V276" i="3"/>
  <c r="A277" i="3"/>
  <c r="B277" i="3" s="1"/>
  <c r="W276" i="3" l="1"/>
  <c r="L276" i="3"/>
  <c r="P277" i="3"/>
  <c r="Q277" i="3" s="1"/>
  <c r="R277" i="3" s="1"/>
  <c r="S277" i="3" s="1"/>
  <c r="AC277" i="3"/>
  <c r="Z277" i="3"/>
  <c r="AA277" i="3"/>
  <c r="U276" i="3" l="1"/>
  <c r="Y275" i="3"/>
  <c r="T277" i="3"/>
  <c r="AG277" i="3" s="1"/>
  <c r="D277" i="3" l="1"/>
  <c r="G277" i="3" s="1"/>
  <c r="E277" i="3"/>
  <c r="H277" i="3" s="1"/>
  <c r="K277" i="3" s="1"/>
  <c r="AE277" i="3" s="1"/>
  <c r="AH277" i="3"/>
  <c r="F277" i="3" l="1"/>
  <c r="V277" i="3"/>
  <c r="A278" i="3"/>
  <c r="B278" i="3" s="1"/>
  <c r="I277" i="3"/>
  <c r="J277" i="3"/>
  <c r="AD277" i="3" s="1"/>
  <c r="M277" i="3"/>
  <c r="N277" i="3" s="1"/>
  <c r="W277" i="3" l="1"/>
  <c r="L277" i="3"/>
  <c r="AC278" i="3"/>
  <c r="Z278" i="3"/>
  <c r="P278" i="3"/>
  <c r="Q278" i="3" s="1"/>
  <c r="R278" i="3" s="1"/>
  <c r="S278" i="3" s="1"/>
  <c r="AA278" i="3"/>
  <c r="T278" i="3" l="1"/>
  <c r="U277" i="3"/>
  <c r="Y276" i="3"/>
  <c r="E278" i="3" l="1"/>
  <c r="H278" i="3" s="1"/>
  <c r="K278" i="3" s="1"/>
  <c r="AE278" i="3" s="1"/>
  <c r="D278" i="3"/>
  <c r="AH278" i="3"/>
  <c r="AG278" i="3"/>
  <c r="V278" i="3" l="1"/>
  <c r="A279" i="3"/>
  <c r="B279" i="3" s="1"/>
  <c r="F278" i="3"/>
  <c r="G278" i="3"/>
  <c r="I278" i="3" l="1"/>
  <c r="W278" i="3" s="1"/>
  <c r="J278" i="3"/>
  <c r="AD278" i="3" s="1"/>
  <c r="M278" i="3"/>
  <c r="N278" i="3" s="1"/>
  <c r="P279" i="3"/>
  <c r="Q279" i="3" s="1"/>
  <c r="R279" i="3" s="1"/>
  <c r="S279" i="3" s="1"/>
  <c r="AA279" i="3"/>
  <c r="AD279" i="3"/>
  <c r="Z279" i="3"/>
  <c r="AC279" i="3"/>
  <c r="T279" i="3" l="1"/>
  <c r="L278" i="3"/>
  <c r="U278" i="3" l="1"/>
  <c r="D279" i="3" s="1"/>
  <c r="AG279" i="3"/>
  <c r="AH279" i="3"/>
  <c r="Y277" i="3"/>
  <c r="G279" i="3" l="1"/>
  <c r="E279" i="3"/>
  <c r="H279" i="3" s="1"/>
  <c r="I279" i="3" l="1"/>
  <c r="J279" i="3"/>
  <c r="M279" i="3"/>
  <c r="N279" i="3" s="1"/>
  <c r="F279" i="3"/>
  <c r="K279" i="3"/>
  <c r="AE279" i="3" s="1"/>
  <c r="V279" i="3" l="1"/>
  <c r="W279" i="3" s="1"/>
  <c r="A280" i="3"/>
  <c r="B280" i="3" s="1"/>
  <c r="L279" i="3"/>
  <c r="U279" i="3" l="1"/>
  <c r="Y278" i="3"/>
  <c r="AA280" i="3"/>
  <c r="P280" i="3"/>
  <c r="Q280" i="3" s="1"/>
  <c r="R280" i="3" s="1"/>
  <c r="S280" i="3" s="1"/>
  <c r="AD280" i="3"/>
  <c r="AC280" i="3"/>
  <c r="Z280" i="3"/>
  <c r="T280" i="3" l="1"/>
  <c r="AH280" i="3" s="1"/>
  <c r="D280" i="3" l="1"/>
  <c r="G280" i="3" s="1"/>
  <c r="E280" i="3"/>
  <c r="H280" i="3" s="1"/>
  <c r="K280" i="3" s="1"/>
  <c r="AE280" i="3" s="1"/>
  <c r="AG280" i="3"/>
  <c r="F280" i="3" l="1"/>
  <c r="I280" i="3"/>
  <c r="J280" i="3"/>
  <c r="M280" i="3"/>
  <c r="N280" i="3" s="1"/>
  <c r="V280" i="3"/>
  <c r="A281" i="3"/>
  <c r="B281" i="3" s="1"/>
  <c r="L280" i="3" l="1"/>
  <c r="W280" i="3"/>
  <c r="AC281" i="3"/>
  <c r="AA281" i="3"/>
  <c r="P281" i="3"/>
  <c r="Q281" i="3" s="1"/>
  <c r="R281" i="3" s="1"/>
  <c r="S281" i="3" s="1"/>
  <c r="AD281" i="3"/>
  <c r="Z281" i="3"/>
  <c r="T281" i="3" l="1"/>
  <c r="AG281" i="3" s="1"/>
  <c r="U280" i="3"/>
  <c r="Y279" i="3"/>
  <c r="D281" i="3" l="1"/>
  <c r="E281" i="3"/>
  <c r="H281" i="3" s="1"/>
  <c r="AH281" i="3"/>
  <c r="F281" i="3" l="1"/>
  <c r="G281" i="3"/>
  <c r="K281" i="3"/>
  <c r="AE281" i="3" s="1"/>
  <c r="I281" i="3" l="1"/>
  <c r="J281" i="3"/>
  <c r="M281" i="3"/>
  <c r="N281" i="3" s="1"/>
  <c r="V281" i="3"/>
  <c r="A282" i="3"/>
  <c r="B282" i="3" s="1"/>
  <c r="W281" i="3" l="1"/>
  <c r="L281" i="3"/>
  <c r="AC282" i="3"/>
  <c r="Z282" i="3"/>
  <c r="AD282" i="3"/>
  <c r="P282" i="3"/>
  <c r="Q282" i="3" s="1"/>
  <c r="R282" i="3" s="1"/>
  <c r="S282" i="3" s="1"/>
  <c r="AA282" i="3"/>
  <c r="U281" i="3" l="1"/>
  <c r="Y280" i="3"/>
  <c r="T282" i="3"/>
  <c r="D282" i="3" l="1"/>
  <c r="G282" i="3" s="1"/>
  <c r="E282" i="3"/>
  <c r="H282" i="3" s="1"/>
  <c r="AH282" i="3"/>
  <c r="AG282" i="3"/>
  <c r="F282" i="3" l="1"/>
  <c r="I282" i="3"/>
  <c r="J282" i="3"/>
  <c r="M282" i="3"/>
  <c r="N282" i="3" s="1"/>
  <c r="K282" i="3"/>
  <c r="AE282" i="3" s="1"/>
  <c r="V282" i="3" l="1"/>
  <c r="W282" i="3" s="1"/>
  <c r="A283" i="3"/>
  <c r="B283" i="3" s="1"/>
  <c r="L282" i="3"/>
  <c r="U282" i="3" l="1"/>
  <c r="Y281" i="3"/>
  <c r="Z283" i="3"/>
  <c r="AC283" i="3"/>
  <c r="AD283" i="3"/>
  <c r="P283" i="3"/>
  <c r="Q283" i="3" s="1"/>
  <c r="R283" i="3" s="1"/>
  <c r="S283" i="3" s="1"/>
  <c r="AA283" i="3"/>
  <c r="T283" i="3" l="1"/>
  <c r="AH283" i="3" s="1"/>
  <c r="AG283" i="3" l="1"/>
  <c r="E283" i="3"/>
  <c r="H283" i="3" s="1"/>
  <c r="K283" i="3" s="1"/>
  <c r="AE283" i="3" s="1"/>
  <c r="D283" i="3"/>
  <c r="F283" i="3" l="1"/>
  <c r="G283" i="3"/>
  <c r="J283" i="3" s="1"/>
  <c r="V283" i="3"/>
  <c r="A284" i="3"/>
  <c r="B284" i="3" s="1"/>
  <c r="M283" i="3" l="1"/>
  <c r="N283" i="3" s="1"/>
  <c r="I283" i="3"/>
  <c r="W283" i="3" s="1"/>
  <c r="L283" i="3"/>
  <c r="AC284" i="3"/>
  <c r="AA284" i="3"/>
  <c r="P284" i="3"/>
  <c r="Q284" i="3" s="1"/>
  <c r="R284" i="3" s="1"/>
  <c r="S284" i="3" s="1"/>
  <c r="Z284" i="3"/>
  <c r="T284" i="3" l="1"/>
  <c r="AH284" i="3" s="1"/>
  <c r="U283" i="3"/>
  <c r="Y282" i="3"/>
  <c r="AG284" i="3" l="1"/>
  <c r="D284" i="3"/>
  <c r="E284" i="3"/>
  <c r="H284" i="3" s="1"/>
  <c r="F284" i="3" l="1"/>
  <c r="G284" i="3"/>
  <c r="K284" i="3"/>
  <c r="AE284" i="3" s="1"/>
  <c r="V284" i="3" l="1"/>
  <c r="A285" i="3"/>
  <c r="B285" i="3" s="1"/>
  <c r="I284" i="3"/>
  <c r="J284" i="3"/>
  <c r="AD284" i="3" s="1"/>
  <c r="M284" i="3"/>
  <c r="N284" i="3" s="1"/>
  <c r="W284" i="3" l="1"/>
  <c r="L284" i="3"/>
  <c r="AD285" i="3"/>
  <c r="AA285" i="3"/>
  <c r="P285" i="3"/>
  <c r="Q285" i="3" s="1"/>
  <c r="R285" i="3" s="1"/>
  <c r="S285" i="3" s="1"/>
  <c r="Z285" i="3"/>
  <c r="AC285" i="3"/>
  <c r="U284" i="3" l="1"/>
  <c r="Y283" i="3"/>
  <c r="T285" i="3"/>
  <c r="E285" i="3" l="1"/>
  <c r="H285" i="3" s="1"/>
  <c r="K285" i="3" s="1"/>
  <c r="AE285" i="3" s="1"/>
  <c r="AH285" i="3"/>
  <c r="D285" i="3"/>
  <c r="G285" i="3" s="1"/>
  <c r="AG285" i="3"/>
  <c r="F285" i="3" l="1"/>
  <c r="V285" i="3"/>
  <c r="A286" i="3"/>
  <c r="B286" i="3" s="1"/>
  <c r="I285" i="3"/>
  <c r="J285" i="3"/>
  <c r="M285" i="3"/>
  <c r="N285" i="3" s="1"/>
  <c r="W285" i="3" l="1"/>
  <c r="L285" i="3"/>
  <c r="AA286" i="3"/>
  <c r="P286" i="3"/>
  <c r="Q286" i="3" s="1"/>
  <c r="R286" i="3" s="1"/>
  <c r="S286" i="3" s="1"/>
  <c r="AD286" i="3"/>
  <c r="AC286" i="3"/>
  <c r="Z286" i="3"/>
  <c r="T286" i="3" l="1"/>
  <c r="AH286" i="3" s="1"/>
  <c r="U285" i="3"/>
  <c r="Y284" i="3"/>
  <c r="D286" i="3" l="1"/>
  <c r="G286" i="3" s="1"/>
  <c r="AG286" i="3"/>
  <c r="E286" i="3"/>
  <c r="H286" i="3" s="1"/>
  <c r="F286" i="3" l="1"/>
  <c r="I286" i="3"/>
  <c r="J286" i="3"/>
  <c r="M286" i="3"/>
  <c r="N286" i="3" s="1"/>
  <c r="K286" i="3"/>
  <c r="AE286" i="3" s="1"/>
  <c r="V286" i="3" l="1"/>
  <c r="W286" i="3" s="1"/>
  <c r="A287" i="3"/>
  <c r="B287" i="3" s="1"/>
  <c r="L286" i="3"/>
  <c r="U286" i="3" l="1"/>
  <c r="Y285" i="3"/>
  <c r="P287" i="3"/>
  <c r="Q287" i="3" s="1"/>
  <c r="R287" i="3" s="1"/>
  <c r="S287" i="3" s="1"/>
  <c r="AA287" i="3"/>
  <c r="Z287" i="3"/>
  <c r="AC287" i="3"/>
  <c r="T287" i="3" l="1"/>
  <c r="D287" i="3" s="1"/>
  <c r="G287" i="3" l="1"/>
  <c r="AH287" i="3"/>
  <c r="AG287" i="3"/>
  <c r="E287" i="3"/>
  <c r="H287" i="3" s="1"/>
  <c r="F287" i="3" l="1"/>
  <c r="K287" i="3"/>
  <c r="AE287" i="3" s="1"/>
  <c r="I287" i="3"/>
  <c r="J287" i="3"/>
  <c r="AD287" i="3" s="1"/>
  <c r="M287" i="3"/>
  <c r="N287" i="3" s="1"/>
  <c r="L287" i="3" l="1"/>
  <c r="V287" i="3"/>
  <c r="W287" i="3" s="1"/>
  <c r="A288" i="3"/>
  <c r="B288" i="3" s="1"/>
  <c r="U287" i="3" l="1"/>
  <c r="Y286" i="3"/>
  <c r="P288" i="3"/>
  <c r="Q288" i="3" s="1"/>
  <c r="R288" i="3" s="1"/>
  <c r="S288" i="3" s="1"/>
  <c r="AA288" i="3"/>
  <c r="AC288" i="3"/>
  <c r="Z288" i="3"/>
  <c r="T288" i="3" l="1"/>
  <c r="D288" i="3" s="1"/>
  <c r="AG288" i="3" l="1"/>
  <c r="AH288" i="3"/>
  <c r="E288" i="3"/>
  <c r="H288" i="3" s="1"/>
  <c r="K288" i="3" s="1"/>
  <c r="AE288" i="3" s="1"/>
  <c r="G288" i="3"/>
  <c r="F288" i="3" l="1"/>
  <c r="I288" i="3"/>
  <c r="J288" i="3"/>
  <c r="AD288" i="3" s="1"/>
  <c r="M288" i="3"/>
  <c r="N288" i="3" s="1"/>
  <c r="V288" i="3"/>
  <c r="A289" i="3"/>
  <c r="B289" i="3" s="1"/>
  <c r="W288" i="3" l="1"/>
  <c r="L288" i="3"/>
  <c r="AD289" i="3"/>
  <c r="P289" i="3"/>
  <c r="Q289" i="3" s="1"/>
  <c r="R289" i="3" s="1"/>
  <c r="S289" i="3" s="1"/>
  <c r="AA289" i="3"/>
  <c r="AC289" i="3"/>
  <c r="Z289" i="3"/>
  <c r="T289" i="3" l="1"/>
  <c r="U288" i="3"/>
  <c r="Y287" i="3"/>
  <c r="E289" i="3" l="1"/>
  <c r="H289" i="3" s="1"/>
  <c r="K289" i="3" s="1"/>
  <c r="AE289" i="3" s="1"/>
  <c r="AH289" i="3"/>
  <c r="AG289" i="3"/>
  <c r="D289" i="3"/>
  <c r="V289" i="3" l="1"/>
  <c r="A290" i="3"/>
  <c r="B290" i="3" s="1"/>
  <c r="F289" i="3"/>
  <c r="G289" i="3"/>
  <c r="I289" i="3" l="1"/>
  <c r="W289" i="3" s="1"/>
  <c r="J289" i="3"/>
  <c r="M289" i="3"/>
  <c r="N289" i="3" s="1"/>
  <c r="AA290" i="3"/>
  <c r="AC290" i="3"/>
  <c r="Z290" i="3"/>
  <c r="P290" i="3"/>
  <c r="Q290" i="3" s="1"/>
  <c r="R290" i="3" s="1"/>
  <c r="S290" i="3" s="1"/>
  <c r="AD290" i="3"/>
  <c r="T290" i="3" l="1"/>
  <c r="L289" i="3"/>
  <c r="U289" i="3" l="1"/>
  <c r="E290" i="3" s="1"/>
  <c r="H290" i="3" s="1"/>
  <c r="AH290" i="3"/>
  <c r="AG290" i="3"/>
  <c r="Y288" i="3"/>
  <c r="D290" i="3" l="1"/>
  <c r="G290" i="3" s="1"/>
  <c r="K290" i="3"/>
  <c r="AE290" i="3" s="1"/>
  <c r="F290" i="3" l="1"/>
  <c r="I290" i="3"/>
  <c r="J290" i="3"/>
  <c r="M290" i="3"/>
  <c r="N290" i="3" s="1"/>
  <c r="V290" i="3"/>
  <c r="A291" i="3"/>
  <c r="B291" i="3" s="1"/>
  <c r="L290" i="3" l="1"/>
  <c r="W290" i="3"/>
  <c r="P291" i="3"/>
  <c r="Q291" i="3" s="1"/>
  <c r="R291" i="3" s="1"/>
  <c r="S291" i="3" s="1"/>
  <c r="AD291" i="3"/>
  <c r="Z291" i="3"/>
  <c r="AA291" i="3"/>
  <c r="AC291" i="3"/>
  <c r="U290" i="3" l="1"/>
  <c r="Y289" i="3"/>
  <c r="T291" i="3"/>
  <c r="AG291" i="3" s="1"/>
  <c r="D291" i="3" l="1"/>
  <c r="E291" i="3"/>
  <c r="H291" i="3" s="1"/>
  <c r="AH291" i="3"/>
  <c r="K291" i="3" l="1"/>
  <c r="AE291" i="3" s="1"/>
  <c r="F291" i="3"/>
  <c r="G291" i="3"/>
  <c r="I291" i="3" l="1"/>
  <c r="J291" i="3"/>
  <c r="M291" i="3"/>
  <c r="N291" i="3" s="1"/>
  <c r="V291" i="3"/>
  <c r="A292" i="3"/>
  <c r="B292" i="3" s="1"/>
  <c r="W291" i="3" l="1"/>
  <c r="L291" i="3"/>
  <c r="Z292" i="3"/>
  <c r="AC292" i="3"/>
  <c r="AD292" i="3"/>
  <c r="AA292" i="3"/>
  <c r="P292" i="3"/>
  <c r="Q292" i="3" s="1"/>
  <c r="R292" i="3" s="1"/>
  <c r="S292" i="3" s="1"/>
  <c r="U291" i="3" l="1"/>
  <c r="Y290" i="3"/>
  <c r="T292" i="3"/>
  <c r="E292" i="3" l="1"/>
  <c r="H292" i="3" s="1"/>
  <c r="K292" i="3" s="1"/>
  <c r="AE292" i="3" s="1"/>
  <c r="D292" i="3"/>
  <c r="AG292" i="3"/>
  <c r="AH292" i="3"/>
  <c r="V292" i="3" l="1"/>
  <c r="A293" i="3"/>
  <c r="B293" i="3" s="1"/>
  <c r="F292" i="3"/>
  <c r="G292" i="3"/>
  <c r="I292" i="3" l="1"/>
  <c r="W292" i="3" s="1"/>
  <c r="J292" i="3"/>
  <c r="M292" i="3"/>
  <c r="N292" i="3" s="1"/>
  <c r="Z293" i="3"/>
  <c r="AC293" i="3"/>
  <c r="AD293" i="3"/>
  <c r="P293" i="3"/>
  <c r="Q293" i="3" s="1"/>
  <c r="R293" i="3" s="1"/>
  <c r="S293" i="3" s="1"/>
  <c r="AA293" i="3"/>
  <c r="L292" i="3" l="1"/>
  <c r="T293" i="3"/>
  <c r="U292" i="3" l="1"/>
  <c r="E293" i="3" s="1"/>
  <c r="H293" i="3" s="1"/>
  <c r="AH293" i="3"/>
  <c r="AG293" i="3"/>
  <c r="Y291" i="3"/>
  <c r="K293" i="3" l="1"/>
  <c r="AE293" i="3" s="1"/>
  <c r="D293" i="3"/>
  <c r="V293" i="3" l="1"/>
  <c r="A294" i="3"/>
  <c r="B294" i="3" s="1"/>
  <c r="F293" i="3"/>
  <c r="G293" i="3"/>
  <c r="I293" i="3" l="1"/>
  <c r="W293" i="3" s="1"/>
  <c r="J293" i="3"/>
  <c r="M293" i="3"/>
  <c r="N293" i="3" s="1"/>
  <c r="AA294" i="3"/>
  <c r="P294" i="3"/>
  <c r="Q294" i="3" s="1"/>
  <c r="R294" i="3" s="1"/>
  <c r="S294" i="3" s="1"/>
  <c r="Z294" i="3"/>
  <c r="AC294" i="3"/>
  <c r="L293" i="3" l="1"/>
  <c r="T294" i="3"/>
  <c r="AG294" i="3" l="1"/>
  <c r="U293" i="3"/>
  <c r="E294" i="3" s="1"/>
  <c r="H294" i="3" s="1"/>
  <c r="AH294" i="3"/>
  <c r="Y292" i="3"/>
  <c r="D294" i="3" l="1"/>
  <c r="G294" i="3" s="1"/>
  <c r="K294" i="3"/>
  <c r="AE294" i="3" s="1"/>
  <c r="F294" i="3" l="1"/>
  <c r="I294" i="3"/>
  <c r="J294" i="3"/>
  <c r="AD294" i="3" s="1"/>
  <c r="M294" i="3"/>
  <c r="N294" i="3" s="1"/>
  <c r="V294" i="3"/>
  <c r="A295" i="3"/>
  <c r="B295" i="3" s="1"/>
  <c r="L294" i="3" l="1"/>
  <c r="W294" i="3"/>
  <c r="AA295" i="3"/>
  <c r="AD295" i="3"/>
  <c r="P295" i="3"/>
  <c r="Q295" i="3" s="1"/>
  <c r="R295" i="3" s="1"/>
  <c r="S295" i="3" s="1"/>
  <c r="AC295" i="3"/>
  <c r="Z295" i="3"/>
  <c r="U294" i="3" l="1"/>
  <c r="Y293" i="3"/>
  <c r="T295" i="3"/>
  <c r="AG295" i="3" s="1"/>
  <c r="D295" i="3" l="1"/>
  <c r="AH295" i="3"/>
  <c r="E295" i="3"/>
  <c r="H295" i="3" s="1"/>
  <c r="F295" i="3" l="1"/>
  <c r="G295" i="3"/>
  <c r="K295" i="3"/>
  <c r="AE295" i="3" s="1"/>
  <c r="V295" i="3" l="1"/>
  <c r="A296" i="3"/>
  <c r="B296" i="3" s="1"/>
  <c r="I295" i="3"/>
  <c r="J295" i="3"/>
  <c r="M295" i="3"/>
  <c r="N295" i="3" s="1"/>
  <c r="L295" i="3" l="1"/>
  <c r="AC296" i="3"/>
  <c r="Z296" i="3"/>
  <c r="AD296" i="3"/>
  <c r="P296" i="3"/>
  <c r="Q296" i="3" s="1"/>
  <c r="R296" i="3" s="1"/>
  <c r="S296" i="3" s="1"/>
  <c r="AA296" i="3"/>
  <c r="W295" i="3"/>
  <c r="T296" i="3" l="1"/>
  <c r="U295" i="3"/>
  <c r="Y294" i="3"/>
  <c r="D296" i="3" l="1"/>
  <c r="G296" i="3" s="1"/>
  <c r="AG296" i="3"/>
  <c r="AH296" i="3"/>
  <c r="E296" i="3"/>
  <c r="H296" i="3" s="1"/>
  <c r="F296" i="3" l="1"/>
  <c r="I296" i="3"/>
  <c r="J296" i="3"/>
  <c r="M296" i="3"/>
  <c r="N296" i="3" s="1"/>
  <c r="K296" i="3"/>
  <c r="AE296" i="3" s="1"/>
  <c r="V296" i="3" l="1"/>
  <c r="W296" i="3" s="1"/>
  <c r="A297" i="3"/>
  <c r="B297" i="3" s="1"/>
  <c r="L296" i="3"/>
  <c r="U296" i="3" l="1"/>
  <c r="Y295" i="3"/>
  <c r="AA297" i="3"/>
  <c r="P297" i="3"/>
  <c r="Q297" i="3" s="1"/>
  <c r="R297" i="3" s="1"/>
  <c r="S297" i="3" s="1"/>
  <c r="Z297" i="3"/>
  <c r="AC297" i="3"/>
  <c r="T297" i="3" l="1"/>
  <c r="E297" i="3" s="1"/>
  <c r="H297" i="3" s="1"/>
  <c r="D297" i="3" l="1"/>
  <c r="F297" i="3" s="1"/>
  <c r="AG297" i="3"/>
  <c r="K297" i="3"/>
  <c r="AE297" i="3" s="1"/>
  <c r="AH297" i="3"/>
  <c r="G297" i="3" l="1"/>
  <c r="M297" i="3" s="1"/>
  <c r="N297" i="3" s="1"/>
  <c r="V297" i="3"/>
  <c r="A298" i="3"/>
  <c r="B298" i="3" s="1"/>
  <c r="J297" i="3" l="1"/>
  <c r="I297" i="3"/>
  <c r="W297" i="3" s="1"/>
  <c r="Z298" i="3"/>
  <c r="P298" i="3"/>
  <c r="Q298" i="3" s="1"/>
  <c r="R298" i="3" s="1"/>
  <c r="S298" i="3" s="1"/>
  <c r="AA298" i="3"/>
  <c r="AC298" i="3"/>
  <c r="L297" i="3" l="1"/>
  <c r="U297" i="3" s="1"/>
  <c r="AD297" i="3"/>
  <c r="T298" i="3"/>
  <c r="Y296" i="3" l="1"/>
  <c r="E298" i="3"/>
  <c r="H298" i="3" s="1"/>
  <c r="K298" i="3" s="1"/>
  <c r="AE298" i="3" s="1"/>
  <c r="AH298" i="3"/>
  <c r="D298" i="3"/>
  <c r="AG298" i="3"/>
  <c r="F298" i="3" l="1"/>
  <c r="G298" i="3"/>
  <c r="V298" i="3"/>
  <c r="A299" i="3"/>
  <c r="B299" i="3" s="1"/>
  <c r="I298" i="3" l="1"/>
  <c r="W298" i="3" s="1"/>
  <c r="J298" i="3"/>
  <c r="AD298" i="3" s="1"/>
  <c r="M298" i="3"/>
  <c r="N298" i="3" s="1"/>
  <c r="Z299" i="3"/>
  <c r="AD299" i="3"/>
  <c r="P299" i="3"/>
  <c r="Q299" i="3" s="1"/>
  <c r="R299" i="3" s="1"/>
  <c r="S299" i="3" s="1"/>
  <c r="AA299" i="3"/>
  <c r="AC299" i="3"/>
  <c r="L298" i="3" l="1"/>
  <c r="T299" i="3"/>
  <c r="AG299" i="3" l="1"/>
  <c r="U298" i="3"/>
  <c r="E299" i="3" s="1"/>
  <c r="H299" i="3" s="1"/>
  <c r="AH299" i="3"/>
  <c r="Y297" i="3"/>
  <c r="D299" i="3" l="1"/>
  <c r="G299" i="3" s="1"/>
  <c r="K299" i="3"/>
  <c r="AE299" i="3" s="1"/>
  <c r="F299" i="3" l="1"/>
  <c r="I299" i="3"/>
  <c r="J299" i="3"/>
  <c r="M299" i="3"/>
  <c r="N299" i="3" s="1"/>
  <c r="V299" i="3"/>
  <c r="A300" i="3"/>
  <c r="B300" i="3" s="1"/>
  <c r="W299" i="3" l="1"/>
  <c r="L299" i="3"/>
  <c r="Z300" i="3"/>
  <c r="P300" i="3"/>
  <c r="Q300" i="3" s="1"/>
  <c r="R300" i="3" s="1"/>
  <c r="S300" i="3" s="1"/>
  <c r="AD300" i="3"/>
  <c r="AA300" i="3"/>
  <c r="AC300" i="3"/>
  <c r="U299" i="3" l="1"/>
  <c r="Y298" i="3"/>
  <c r="T300" i="3"/>
  <c r="E300" i="3" l="1"/>
  <c r="H300" i="3" s="1"/>
  <c r="K300" i="3" s="1"/>
  <c r="AE300" i="3" s="1"/>
  <c r="AH300" i="3"/>
  <c r="AG300" i="3"/>
  <c r="D300" i="3"/>
  <c r="F300" i="3" l="1"/>
  <c r="G300" i="3"/>
  <c r="V300" i="3"/>
  <c r="A301" i="3"/>
  <c r="B301" i="3" s="1"/>
  <c r="I300" i="3" l="1"/>
  <c r="W300" i="3" s="1"/>
  <c r="J300" i="3"/>
  <c r="M300" i="3"/>
  <c r="N300" i="3" s="1"/>
  <c r="AC301" i="3"/>
  <c r="Z301" i="3"/>
  <c r="AD301" i="3"/>
  <c r="AA301" i="3"/>
  <c r="P301" i="3"/>
  <c r="Q301" i="3" s="1"/>
  <c r="R301" i="3" s="1"/>
  <c r="S301" i="3" s="1"/>
  <c r="L300" i="3" l="1"/>
  <c r="T301" i="3"/>
  <c r="AH301" i="3" l="1"/>
  <c r="U300" i="3"/>
  <c r="D301" i="3" s="1"/>
  <c r="AG301" i="3"/>
  <c r="Y299" i="3"/>
  <c r="E301" i="3" l="1"/>
  <c r="H301" i="3" s="1"/>
  <c r="K301" i="3" s="1"/>
  <c r="AE301" i="3" s="1"/>
  <c r="G301" i="3"/>
  <c r="F301" i="3" l="1"/>
  <c r="I301" i="3"/>
  <c r="J301" i="3"/>
  <c r="M301" i="3"/>
  <c r="N301" i="3" s="1"/>
  <c r="V301" i="3"/>
  <c r="A302" i="3"/>
  <c r="B302" i="3" s="1"/>
  <c r="W301" i="3" l="1"/>
  <c r="L301" i="3"/>
  <c r="P302" i="3"/>
  <c r="Q302" i="3" s="1"/>
  <c r="R302" i="3" s="1"/>
  <c r="S302" i="3" s="1"/>
  <c r="AA302" i="3"/>
  <c r="AC302" i="3"/>
  <c r="AD302" i="3"/>
  <c r="Z302" i="3"/>
  <c r="U301" i="3" l="1"/>
  <c r="Y300" i="3"/>
  <c r="T302" i="3"/>
  <c r="AG302" i="3" s="1"/>
  <c r="AH302" i="3" l="1"/>
  <c r="D302" i="3"/>
  <c r="E302" i="3"/>
  <c r="H302" i="3" s="1"/>
  <c r="K302" i="3" s="1"/>
  <c r="AE302" i="3" s="1"/>
  <c r="F302" i="3" l="1"/>
  <c r="G302" i="3"/>
  <c r="M302" i="3" s="1"/>
  <c r="N302" i="3" s="1"/>
  <c r="V302" i="3"/>
  <c r="A303" i="3"/>
  <c r="B303" i="3" s="1"/>
  <c r="I302" i="3" l="1"/>
  <c r="W302" i="3" s="1"/>
  <c r="J302" i="3"/>
  <c r="L302" i="3" s="1"/>
  <c r="AD303" i="3"/>
  <c r="Z303" i="3"/>
  <c r="P303" i="3"/>
  <c r="Q303" i="3" s="1"/>
  <c r="R303" i="3" s="1"/>
  <c r="S303" i="3" s="1"/>
  <c r="AA303" i="3"/>
  <c r="AC303" i="3"/>
  <c r="T303" i="3" l="1"/>
  <c r="U302" i="3"/>
  <c r="Y301" i="3"/>
  <c r="E303" i="3" l="1"/>
  <c r="H303" i="3" s="1"/>
  <c r="K303" i="3" s="1"/>
  <c r="AE303" i="3" s="1"/>
  <c r="D303" i="3"/>
  <c r="G303" i="3" s="1"/>
  <c r="AH303" i="3"/>
  <c r="AG303" i="3"/>
  <c r="F303" i="3" l="1"/>
  <c r="I303" i="3"/>
  <c r="J303" i="3"/>
  <c r="M303" i="3"/>
  <c r="N303" i="3" s="1"/>
  <c r="V303" i="3"/>
  <c r="A304" i="3"/>
  <c r="B304" i="3" s="1"/>
  <c r="W303" i="3" l="1"/>
  <c r="L303" i="3"/>
  <c r="Z304" i="3"/>
  <c r="P304" i="3"/>
  <c r="Q304" i="3" s="1"/>
  <c r="R304" i="3" s="1"/>
  <c r="S304" i="3" s="1"/>
  <c r="AC304" i="3"/>
  <c r="AA304" i="3"/>
  <c r="U303" i="3" l="1"/>
  <c r="Y302" i="3"/>
  <c r="T304" i="3"/>
  <c r="AH304" i="3" s="1"/>
  <c r="AG304" i="3" l="1"/>
  <c r="D304" i="3"/>
  <c r="G304" i="3" s="1"/>
  <c r="E304" i="3"/>
  <c r="H304" i="3" s="1"/>
  <c r="K304" i="3" s="1"/>
  <c r="AE304" i="3" s="1"/>
  <c r="F304" i="3" l="1"/>
  <c r="I304" i="3"/>
  <c r="J304" i="3"/>
  <c r="AD304" i="3" s="1"/>
  <c r="M304" i="3"/>
  <c r="N304" i="3" s="1"/>
  <c r="V304" i="3"/>
  <c r="A305" i="3"/>
  <c r="B305" i="3" s="1"/>
  <c r="W304" i="3" l="1"/>
  <c r="L304" i="3"/>
  <c r="Z305" i="3"/>
  <c r="AA305" i="3"/>
  <c r="P305" i="3"/>
  <c r="Q305" i="3" s="1"/>
  <c r="R305" i="3" s="1"/>
  <c r="S305" i="3" s="1"/>
  <c r="AC305" i="3"/>
  <c r="AD305" i="3"/>
  <c r="U304" i="3" l="1"/>
  <c r="Y303" i="3"/>
  <c r="T305" i="3"/>
  <c r="AG305" i="3" s="1"/>
  <c r="AH305" i="3" l="1"/>
  <c r="E305" i="3"/>
  <c r="H305" i="3" s="1"/>
  <c r="K305" i="3" s="1"/>
  <c r="AE305" i="3" s="1"/>
  <c r="D305" i="3"/>
  <c r="V305" i="3" l="1"/>
  <c r="A306" i="3"/>
  <c r="B306" i="3" s="1"/>
  <c r="F305" i="3"/>
  <c r="G305" i="3"/>
  <c r="I305" i="3" l="1"/>
  <c r="W305" i="3" s="1"/>
  <c r="J305" i="3"/>
  <c r="M305" i="3"/>
  <c r="N305" i="3" s="1"/>
  <c r="AA306" i="3"/>
  <c r="Z306" i="3"/>
  <c r="P306" i="3"/>
  <c r="Q306" i="3" s="1"/>
  <c r="R306" i="3" s="1"/>
  <c r="S306" i="3" s="1"/>
  <c r="AC306" i="3"/>
  <c r="AD306" i="3"/>
  <c r="T306" i="3" l="1"/>
  <c r="L305" i="3"/>
  <c r="U305" i="3" l="1"/>
  <c r="E306" i="3" s="1"/>
  <c r="H306" i="3" s="1"/>
  <c r="AH306" i="3"/>
  <c r="AG306" i="3"/>
  <c r="Y304" i="3"/>
  <c r="D306" i="3" l="1"/>
  <c r="G306" i="3" s="1"/>
  <c r="K306" i="3"/>
  <c r="AE306" i="3" s="1"/>
  <c r="F306" i="3" l="1"/>
  <c r="I306" i="3"/>
  <c r="J306" i="3"/>
  <c r="M306" i="3"/>
  <c r="N306" i="3" s="1"/>
  <c r="V306" i="3"/>
  <c r="A307" i="3"/>
  <c r="B307" i="3" s="1"/>
  <c r="W306" i="3" l="1"/>
  <c r="L306" i="3"/>
  <c r="AC307" i="3"/>
  <c r="P307" i="3"/>
  <c r="Q307" i="3" s="1"/>
  <c r="R307" i="3" s="1"/>
  <c r="S307" i="3" s="1"/>
  <c r="AA307" i="3"/>
  <c r="Z307" i="3"/>
  <c r="T307" i="3" l="1"/>
  <c r="AH307" i="3" s="1"/>
  <c r="U306" i="3"/>
  <c r="Y305" i="3"/>
  <c r="D307" i="3" l="1"/>
  <c r="E307" i="3"/>
  <c r="H307" i="3" s="1"/>
  <c r="AG307" i="3"/>
  <c r="F307" i="3" l="1"/>
  <c r="G307" i="3"/>
  <c r="K307" i="3"/>
  <c r="AE307" i="3" s="1"/>
  <c r="I307" i="3" l="1"/>
  <c r="J307" i="3"/>
  <c r="AD307" i="3" s="1"/>
  <c r="M307" i="3"/>
  <c r="N307" i="3" s="1"/>
  <c r="V307" i="3"/>
  <c r="A308" i="3"/>
  <c r="B308" i="3" s="1"/>
  <c r="L307" i="3" l="1"/>
  <c r="Z308" i="3"/>
  <c r="AA308" i="3"/>
  <c r="P308" i="3"/>
  <c r="Q308" i="3" s="1"/>
  <c r="R308" i="3" s="1"/>
  <c r="S308" i="3" s="1"/>
  <c r="AC308" i="3"/>
  <c r="W307" i="3"/>
  <c r="T308" i="3" l="1"/>
  <c r="U307" i="3"/>
  <c r="Y306" i="3"/>
  <c r="E308" i="3" l="1"/>
  <c r="H308" i="3" s="1"/>
  <c r="K308" i="3" s="1"/>
  <c r="AE308" i="3" s="1"/>
  <c r="AH308" i="3"/>
  <c r="AG308" i="3"/>
  <c r="D308" i="3"/>
  <c r="F308" i="3" l="1"/>
  <c r="G308" i="3"/>
  <c r="V308" i="3"/>
  <c r="A309" i="3"/>
  <c r="B309" i="3" s="1"/>
  <c r="I308" i="3" l="1"/>
  <c r="W308" i="3" s="1"/>
  <c r="J308" i="3"/>
  <c r="AD308" i="3" s="1"/>
  <c r="M308" i="3"/>
  <c r="N308" i="3" s="1"/>
  <c r="AC309" i="3"/>
  <c r="AD309" i="3"/>
  <c r="P309" i="3"/>
  <c r="Q309" i="3" s="1"/>
  <c r="R309" i="3" s="1"/>
  <c r="S309" i="3" s="1"/>
  <c r="AA309" i="3"/>
  <c r="Z309" i="3"/>
  <c r="T309" i="3" l="1"/>
  <c r="L308" i="3"/>
  <c r="AG309" i="3" l="1"/>
  <c r="AH309" i="3"/>
  <c r="U308" i="3"/>
  <c r="E309" i="3" s="1"/>
  <c r="H309" i="3" s="1"/>
  <c r="Y307" i="3"/>
  <c r="D309" i="3" l="1"/>
  <c r="G309" i="3" s="1"/>
  <c r="K309" i="3"/>
  <c r="AE309" i="3" s="1"/>
  <c r="F309" i="3" l="1"/>
  <c r="V309" i="3"/>
  <c r="A310" i="3"/>
  <c r="B310" i="3" s="1"/>
  <c r="I309" i="3"/>
  <c r="J309" i="3"/>
  <c r="M309" i="3"/>
  <c r="N309" i="3" s="1"/>
  <c r="W309" i="3" l="1"/>
  <c r="L309" i="3"/>
  <c r="AC310" i="3"/>
  <c r="AD310" i="3"/>
  <c r="Z310" i="3"/>
  <c r="AA310" i="3"/>
  <c r="P310" i="3"/>
  <c r="Q310" i="3" s="1"/>
  <c r="R310" i="3" s="1"/>
  <c r="S310" i="3" s="1"/>
  <c r="T310" i="3" l="1"/>
  <c r="AH310" i="3" s="1"/>
  <c r="U309" i="3"/>
  <c r="Y308" i="3"/>
  <c r="AG310" i="3" l="1"/>
  <c r="E310" i="3"/>
  <c r="H310" i="3" s="1"/>
  <c r="D310" i="3"/>
  <c r="K310" i="3" l="1"/>
  <c r="AE310" i="3" s="1"/>
  <c r="F310" i="3"/>
  <c r="G310" i="3"/>
  <c r="I310" i="3" l="1"/>
  <c r="J310" i="3"/>
  <c r="M310" i="3"/>
  <c r="N310" i="3" s="1"/>
  <c r="V310" i="3"/>
  <c r="A311" i="3"/>
  <c r="B311" i="3" s="1"/>
  <c r="W310" i="3" l="1"/>
  <c r="L310" i="3"/>
  <c r="AA311" i="3"/>
  <c r="Z311" i="3"/>
  <c r="P311" i="3"/>
  <c r="Q311" i="3" s="1"/>
  <c r="R311" i="3" s="1"/>
  <c r="S311" i="3" s="1"/>
  <c r="AC311" i="3"/>
  <c r="AD311" i="3"/>
  <c r="T311" i="3" l="1"/>
  <c r="AH311" i="3" s="1"/>
  <c r="U310" i="3"/>
  <c r="Y309" i="3"/>
  <c r="D311" i="3" l="1"/>
  <c r="G311" i="3" s="1"/>
  <c r="E311" i="3"/>
  <c r="H311" i="3" s="1"/>
  <c r="AG311" i="3"/>
  <c r="I311" i="3" l="1"/>
  <c r="J311" i="3"/>
  <c r="M311" i="3"/>
  <c r="N311" i="3" s="1"/>
  <c r="K311" i="3"/>
  <c r="AE311" i="3" s="1"/>
  <c r="F311" i="3"/>
  <c r="V311" i="3" l="1"/>
  <c r="W311" i="3" s="1"/>
  <c r="A312" i="3"/>
  <c r="B312" i="3" s="1"/>
  <c r="L311" i="3"/>
  <c r="U311" i="3" l="1"/>
  <c r="Y310" i="3"/>
  <c r="AA312" i="3"/>
  <c r="Z312" i="3"/>
  <c r="AD312" i="3"/>
  <c r="P312" i="3"/>
  <c r="Q312" i="3" s="1"/>
  <c r="R312" i="3" s="1"/>
  <c r="S312" i="3" s="1"/>
  <c r="AC312" i="3"/>
  <c r="T312" i="3" l="1"/>
  <c r="AG312" i="3" s="1"/>
  <c r="E312" i="3" l="1"/>
  <c r="H312" i="3" s="1"/>
  <c r="K312" i="3" s="1"/>
  <c r="AE312" i="3" s="1"/>
  <c r="D312" i="3"/>
  <c r="AH312" i="3"/>
  <c r="V312" i="3" l="1"/>
  <c r="A313" i="3"/>
  <c r="B313" i="3" s="1"/>
  <c r="F312" i="3"/>
  <c r="G312" i="3"/>
  <c r="I312" i="3" l="1"/>
  <c r="W312" i="3" s="1"/>
  <c r="J312" i="3"/>
  <c r="M312" i="3"/>
  <c r="N312" i="3" s="1"/>
  <c r="Z313" i="3"/>
  <c r="AC313" i="3"/>
  <c r="P313" i="3"/>
  <c r="Q313" i="3" s="1"/>
  <c r="R313" i="3" s="1"/>
  <c r="S313" i="3" s="1"/>
  <c r="AD313" i="3"/>
  <c r="AA313" i="3"/>
  <c r="T313" i="3" l="1"/>
  <c r="L312" i="3"/>
  <c r="AG313" i="3" l="1"/>
  <c r="AH313" i="3"/>
  <c r="U312" i="3"/>
  <c r="D313" i="3" s="1"/>
  <c r="Y311" i="3"/>
  <c r="E313" i="3" l="1"/>
  <c r="H313" i="3" s="1"/>
  <c r="K313" i="3" s="1"/>
  <c r="AE313" i="3" s="1"/>
  <c r="G313" i="3"/>
  <c r="F313" i="3" l="1"/>
  <c r="I313" i="3"/>
  <c r="J313" i="3"/>
  <c r="M313" i="3"/>
  <c r="N313" i="3" s="1"/>
  <c r="V313" i="3"/>
  <c r="A314" i="3"/>
  <c r="B314" i="3" s="1"/>
  <c r="Z314" i="3" l="1"/>
  <c r="AC314" i="3"/>
  <c r="AA314" i="3"/>
  <c r="P314" i="3"/>
  <c r="Q314" i="3" s="1"/>
  <c r="R314" i="3" s="1"/>
  <c r="S314" i="3" s="1"/>
  <c r="L313" i="3"/>
  <c r="W313" i="3"/>
  <c r="U313" i="3" l="1"/>
  <c r="Y312" i="3"/>
  <c r="T314" i="3"/>
  <c r="D314" i="3" l="1"/>
  <c r="G314" i="3" s="1"/>
  <c r="AG314" i="3"/>
  <c r="AH314" i="3"/>
  <c r="E314" i="3"/>
  <c r="H314" i="3" s="1"/>
  <c r="F314" i="3" l="1"/>
  <c r="I314" i="3"/>
  <c r="J314" i="3"/>
  <c r="AD314" i="3" s="1"/>
  <c r="M314" i="3"/>
  <c r="N314" i="3" s="1"/>
  <c r="K314" i="3"/>
  <c r="AE314" i="3" s="1"/>
  <c r="V314" i="3" l="1"/>
  <c r="W314" i="3" s="1"/>
  <c r="A315" i="3"/>
  <c r="B315" i="3" s="1"/>
  <c r="L314" i="3"/>
  <c r="U314" i="3" l="1"/>
  <c r="Y313" i="3"/>
  <c r="Z315" i="3"/>
  <c r="P315" i="3"/>
  <c r="Q315" i="3" s="1"/>
  <c r="R315" i="3" s="1"/>
  <c r="S315" i="3" s="1"/>
  <c r="AD315" i="3"/>
  <c r="AA315" i="3"/>
  <c r="AC315" i="3"/>
  <c r="T315" i="3" l="1"/>
  <c r="D315" i="3" s="1"/>
  <c r="AH315" i="3" l="1"/>
  <c r="AG315" i="3"/>
  <c r="E315" i="3"/>
  <c r="H315" i="3" s="1"/>
  <c r="K315" i="3" s="1"/>
  <c r="AE315" i="3" s="1"/>
  <c r="G315" i="3"/>
  <c r="F315" i="3" l="1"/>
  <c r="I315" i="3"/>
  <c r="J315" i="3"/>
  <c r="M315" i="3"/>
  <c r="N315" i="3" s="1"/>
  <c r="V315" i="3"/>
  <c r="A316" i="3"/>
  <c r="B316" i="3" s="1"/>
  <c r="W315" i="3" l="1"/>
  <c r="L315" i="3"/>
  <c r="Z316" i="3"/>
  <c r="AC316" i="3"/>
  <c r="P316" i="3"/>
  <c r="Q316" i="3" s="1"/>
  <c r="R316" i="3" s="1"/>
  <c r="S316" i="3" s="1"/>
  <c r="AD316" i="3"/>
  <c r="AA316" i="3"/>
  <c r="U315" i="3" l="1"/>
  <c r="Y314" i="3"/>
  <c r="T316" i="3"/>
  <c r="AG316" i="3" s="1"/>
  <c r="D316" i="3" l="1"/>
  <c r="AH316" i="3"/>
  <c r="E316" i="3"/>
  <c r="H316" i="3" s="1"/>
  <c r="F316" i="3" l="1"/>
  <c r="G316" i="3"/>
  <c r="K316" i="3"/>
  <c r="AE316" i="3" s="1"/>
  <c r="V316" i="3" l="1"/>
  <c r="A317" i="3"/>
  <c r="B317" i="3" s="1"/>
  <c r="I316" i="3"/>
  <c r="J316" i="3"/>
  <c r="M316" i="3"/>
  <c r="N316" i="3" s="1"/>
  <c r="W316" i="3" l="1"/>
  <c r="L316" i="3"/>
  <c r="Z317" i="3"/>
  <c r="AA317" i="3"/>
  <c r="P317" i="3"/>
  <c r="Q317" i="3" s="1"/>
  <c r="R317" i="3" s="1"/>
  <c r="S317" i="3" s="1"/>
  <c r="AC317" i="3"/>
  <c r="T317" i="3" l="1"/>
  <c r="AG317" i="3" s="1"/>
  <c r="U316" i="3"/>
  <c r="Y315" i="3"/>
  <c r="E317" i="3" l="1"/>
  <c r="H317" i="3" s="1"/>
  <c r="K317" i="3" s="1"/>
  <c r="AE317" i="3" s="1"/>
  <c r="D317" i="3"/>
  <c r="AH317" i="3"/>
  <c r="V317" i="3" l="1"/>
  <c r="A318" i="3"/>
  <c r="B318" i="3" s="1"/>
  <c r="F317" i="3"/>
  <c r="G317" i="3"/>
  <c r="I317" i="3" l="1"/>
  <c r="W317" i="3" s="1"/>
  <c r="J317" i="3"/>
  <c r="AD317" i="3" s="1"/>
  <c r="M317" i="3"/>
  <c r="N317" i="3" s="1"/>
  <c r="AA318" i="3"/>
  <c r="P318" i="3"/>
  <c r="Q318" i="3" s="1"/>
  <c r="R318" i="3" s="1"/>
  <c r="S318" i="3" s="1"/>
  <c r="Z318" i="3"/>
  <c r="AC318" i="3"/>
  <c r="T318" i="3" l="1"/>
  <c r="L317" i="3"/>
  <c r="AH318" i="3" l="1"/>
  <c r="AG318" i="3"/>
  <c r="U317" i="3"/>
  <c r="E318" i="3" s="1"/>
  <c r="H318" i="3" s="1"/>
  <c r="Y316" i="3"/>
  <c r="K318" i="3" l="1"/>
  <c r="AE318" i="3" s="1"/>
  <c r="D318" i="3"/>
  <c r="V318" i="3" l="1"/>
  <c r="A319" i="3"/>
  <c r="B319" i="3" s="1"/>
  <c r="F318" i="3"/>
  <c r="G318" i="3"/>
  <c r="I318" i="3" l="1"/>
  <c r="W318" i="3" s="1"/>
  <c r="J318" i="3"/>
  <c r="AD318" i="3" s="1"/>
  <c r="M318" i="3"/>
  <c r="N318" i="3" s="1"/>
  <c r="Z319" i="3"/>
  <c r="AC319" i="3"/>
  <c r="P319" i="3"/>
  <c r="Q319" i="3" s="1"/>
  <c r="R319" i="3" s="1"/>
  <c r="S319" i="3" s="1"/>
  <c r="AD319" i="3"/>
  <c r="AA319" i="3"/>
  <c r="T319" i="3" l="1"/>
  <c r="L318" i="3"/>
  <c r="U318" i="3" l="1"/>
  <c r="E319" i="3" s="1"/>
  <c r="H319" i="3" s="1"/>
  <c r="AH319" i="3"/>
  <c r="AG319" i="3"/>
  <c r="Y317" i="3"/>
  <c r="D319" i="3" l="1"/>
  <c r="G319" i="3" s="1"/>
  <c r="K319" i="3"/>
  <c r="AE319" i="3" s="1"/>
  <c r="F319" i="3" l="1"/>
  <c r="V319" i="3"/>
  <c r="A320" i="3"/>
  <c r="B320" i="3" s="1"/>
  <c r="I319" i="3"/>
  <c r="J319" i="3"/>
  <c r="M319" i="3"/>
  <c r="N319" i="3" s="1"/>
  <c r="L319" i="3" l="1"/>
  <c r="W319" i="3"/>
  <c r="AA320" i="3"/>
  <c r="AC320" i="3"/>
  <c r="P320" i="3"/>
  <c r="Q320" i="3" s="1"/>
  <c r="R320" i="3" s="1"/>
  <c r="S320" i="3" s="1"/>
  <c r="Z320" i="3"/>
  <c r="AD320" i="3"/>
  <c r="U319" i="3" l="1"/>
  <c r="Y318" i="3"/>
  <c r="T320" i="3"/>
  <c r="AH320" i="3" s="1"/>
  <c r="D320" i="3" l="1"/>
  <c r="AG320" i="3"/>
  <c r="E320" i="3"/>
  <c r="H320" i="3" s="1"/>
  <c r="F320" i="3" l="1"/>
  <c r="G320" i="3"/>
  <c r="K320" i="3"/>
  <c r="AE320" i="3" s="1"/>
  <c r="I320" i="3" l="1"/>
  <c r="J320" i="3"/>
  <c r="M320" i="3"/>
  <c r="N320" i="3" s="1"/>
  <c r="V320" i="3"/>
  <c r="A321" i="3"/>
  <c r="B321" i="3" s="1"/>
  <c r="W320" i="3" l="1"/>
  <c r="L320" i="3"/>
  <c r="AC321" i="3"/>
  <c r="AA321" i="3"/>
  <c r="Z321" i="3"/>
  <c r="P321" i="3"/>
  <c r="Q321" i="3" s="1"/>
  <c r="R321" i="3" s="1"/>
  <c r="S321" i="3" s="1"/>
  <c r="AD321" i="3"/>
  <c r="U320" i="3" l="1"/>
  <c r="Y319" i="3"/>
  <c r="T321" i="3"/>
  <c r="D321" i="3" l="1"/>
  <c r="G321" i="3" s="1"/>
  <c r="AH321" i="3"/>
  <c r="E321" i="3"/>
  <c r="H321" i="3" s="1"/>
  <c r="AG321" i="3"/>
  <c r="F321" i="3" l="1"/>
  <c r="I321" i="3"/>
  <c r="J321" i="3"/>
  <c r="M321" i="3"/>
  <c r="N321" i="3" s="1"/>
  <c r="K321" i="3"/>
  <c r="AE321" i="3" s="1"/>
  <c r="V321" i="3" l="1"/>
  <c r="W321" i="3" s="1"/>
  <c r="A322" i="3"/>
  <c r="B322" i="3" s="1"/>
  <c r="L321" i="3"/>
  <c r="U321" i="3" l="1"/>
  <c r="Y320" i="3"/>
  <c r="P322" i="3"/>
  <c r="Q322" i="3" s="1"/>
  <c r="R322" i="3" s="1"/>
  <c r="S322" i="3" s="1"/>
  <c r="Z322" i="3"/>
  <c r="AC322" i="3"/>
  <c r="AD322" i="3"/>
  <c r="AA322" i="3"/>
  <c r="T322" i="3" l="1"/>
  <c r="AH322" i="3" s="1"/>
  <c r="E322" i="3" l="1"/>
  <c r="H322" i="3" s="1"/>
  <c r="K322" i="3" s="1"/>
  <c r="AE322" i="3" s="1"/>
  <c r="AG322" i="3"/>
  <c r="D322" i="3"/>
  <c r="V322" i="3" l="1"/>
  <c r="A323" i="3"/>
  <c r="B323" i="3" s="1"/>
  <c r="F322" i="3"/>
  <c r="G322" i="3"/>
  <c r="I322" i="3" l="1"/>
  <c r="W322" i="3" s="1"/>
  <c r="J322" i="3"/>
  <c r="M322" i="3"/>
  <c r="N322" i="3" s="1"/>
  <c r="P323" i="3"/>
  <c r="Q323" i="3" s="1"/>
  <c r="R323" i="3" s="1"/>
  <c r="S323" i="3" s="1"/>
  <c r="AA323" i="3"/>
  <c r="Z323" i="3"/>
  <c r="AD323" i="3"/>
  <c r="AC323" i="3"/>
  <c r="T323" i="3" l="1"/>
  <c r="L322" i="3"/>
  <c r="AH323" i="3" l="1"/>
  <c r="U322" i="3"/>
  <c r="D323" i="3" s="1"/>
  <c r="AG323" i="3"/>
  <c r="Y321" i="3"/>
  <c r="G323" i="3" l="1"/>
  <c r="E323" i="3"/>
  <c r="H323" i="3" s="1"/>
  <c r="F323" i="3" l="1"/>
  <c r="K323" i="3"/>
  <c r="AE323" i="3" s="1"/>
  <c r="I323" i="3"/>
  <c r="J323" i="3"/>
  <c r="M323" i="3"/>
  <c r="N323" i="3" s="1"/>
  <c r="L323" i="3" l="1"/>
  <c r="V323" i="3"/>
  <c r="W323" i="3" s="1"/>
  <c r="A324" i="3"/>
  <c r="B324" i="3" s="1"/>
  <c r="U323" i="3" l="1"/>
  <c r="Y322" i="3"/>
  <c r="Z324" i="3"/>
  <c r="P324" i="3"/>
  <c r="Q324" i="3" s="1"/>
  <c r="R324" i="3" s="1"/>
  <c r="S324" i="3" s="1"/>
  <c r="AA324" i="3"/>
  <c r="AC324" i="3"/>
  <c r="T324" i="3" l="1"/>
  <c r="AG324" i="3" s="1"/>
  <c r="E324" i="3" l="1"/>
  <c r="H324" i="3" s="1"/>
  <c r="K324" i="3" s="1"/>
  <c r="AE324" i="3" s="1"/>
  <c r="AH324" i="3"/>
  <c r="D324" i="3"/>
  <c r="V324" i="3" l="1"/>
  <c r="A325" i="3"/>
  <c r="B325" i="3" s="1"/>
  <c r="F324" i="3"/>
  <c r="G324" i="3"/>
  <c r="I324" i="3" l="1"/>
  <c r="W324" i="3" s="1"/>
  <c r="J324" i="3"/>
  <c r="AD324" i="3" s="1"/>
  <c r="M324" i="3"/>
  <c r="N324" i="3" s="1"/>
  <c r="P325" i="3"/>
  <c r="Q325" i="3" s="1"/>
  <c r="R325" i="3" s="1"/>
  <c r="S325" i="3" s="1"/>
  <c r="AC325" i="3"/>
  <c r="Z325" i="3"/>
  <c r="AA325" i="3"/>
  <c r="T325" i="3" l="1"/>
  <c r="L324" i="3"/>
  <c r="AG325" i="3" l="1"/>
  <c r="U324" i="3"/>
  <c r="D325" i="3" s="1"/>
  <c r="AH325" i="3"/>
  <c r="Y323" i="3"/>
  <c r="E325" i="3" l="1"/>
  <c r="H325" i="3" s="1"/>
  <c r="K325" i="3" s="1"/>
  <c r="AE325" i="3" s="1"/>
  <c r="G325" i="3"/>
  <c r="F325" i="3" l="1"/>
  <c r="V325" i="3"/>
  <c r="A326" i="3"/>
  <c r="B326" i="3" s="1"/>
  <c r="I325" i="3"/>
  <c r="J325" i="3"/>
  <c r="AD325" i="3" s="1"/>
  <c r="M325" i="3"/>
  <c r="N325" i="3" s="1"/>
  <c r="L325" i="3" l="1"/>
  <c r="W325" i="3"/>
  <c r="P326" i="3"/>
  <c r="Q326" i="3" s="1"/>
  <c r="R326" i="3" s="1"/>
  <c r="S326" i="3" s="1"/>
  <c r="AA326" i="3"/>
  <c r="AC326" i="3"/>
  <c r="Z326" i="3"/>
  <c r="U325" i="3" l="1"/>
  <c r="Y324" i="3"/>
  <c r="T326" i="3"/>
  <c r="AH326" i="3" s="1"/>
  <c r="E326" i="3" l="1"/>
  <c r="H326" i="3" s="1"/>
  <c r="K326" i="3" s="1"/>
  <c r="AE326" i="3" s="1"/>
  <c r="AG326" i="3"/>
  <c r="D326" i="3"/>
  <c r="G326" i="3" s="1"/>
  <c r="F326" i="3" l="1"/>
  <c r="I326" i="3"/>
  <c r="J326" i="3"/>
  <c r="AD326" i="3" s="1"/>
  <c r="M326" i="3"/>
  <c r="N326" i="3" s="1"/>
  <c r="V326" i="3"/>
  <c r="A327" i="3"/>
  <c r="B327" i="3" s="1"/>
  <c r="W326" i="3" l="1"/>
  <c r="L326" i="3"/>
  <c r="Z327" i="3"/>
  <c r="AA327" i="3"/>
  <c r="P327" i="3"/>
  <c r="Q327" i="3" s="1"/>
  <c r="R327" i="3" s="1"/>
  <c r="S327" i="3" s="1"/>
  <c r="AC327" i="3"/>
  <c r="U326" i="3" l="1"/>
  <c r="Y325" i="3"/>
  <c r="T327" i="3"/>
  <c r="AH327" i="3" s="1"/>
  <c r="E327" i="3" l="1"/>
  <c r="H327" i="3" s="1"/>
  <c r="K327" i="3" s="1"/>
  <c r="AE327" i="3" s="1"/>
  <c r="D327" i="3"/>
  <c r="AG327" i="3"/>
  <c r="F327" i="3" l="1"/>
  <c r="G327" i="3"/>
  <c r="M327" i="3" s="1"/>
  <c r="N327" i="3" s="1"/>
  <c r="V327" i="3"/>
  <c r="A328" i="3"/>
  <c r="B328" i="3" s="1"/>
  <c r="I327" i="3" l="1"/>
  <c r="W327" i="3" s="1"/>
  <c r="J327" i="3"/>
  <c r="Z328" i="3"/>
  <c r="P328" i="3"/>
  <c r="Q328" i="3" s="1"/>
  <c r="R328" i="3" s="1"/>
  <c r="S328" i="3" s="1"/>
  <c r="AA328" i="3"/>
  <c r="AC328" i="3"/>
  <c r="L327" i="3" l="1"/>
  <c r="U327" i="3" s="1"/>
  <c r="AD327" i="3"/>
  <c r="T328" i="3"/>
  <c r="AG328" i="3" l="1"/>
  <c r="Y326" i="3"/>
  <c r="AH328" i="3"/>
  <c r="E328" i="3"/>
  <c r="H328" i="3" s="1"/>
  <c r="K328" i="3" s="1"/>
  <c r="AE328" i="3" s="1"/>
  <c r="D328" i="3"/>
  <c r="V328" i="3" l="1"/>
  <c r="A329" i="3"/>
  <c r="B329" i="3" s="1"/>
  <c r="F328" i="3"/>
  <c r="G328" i="3"/>
  <c r="I328" i="3" l="1"/>
  <c r="W328" i="3" s="1"/>
  <c r="J328" i="3"/>
  <c r="AD328" i="3" s="1"/>
  <c r="M328" i="3"/>
  <c r="N328" i="3" s="1"/>
  <c r="P329" i="3"/>
  <c r="Q329" i="3" s="1"/>
  <c r="R329" i="3" s="1"/>
  <c r="S329" i="3" s="1"/>
  <c r="Z329" i="3"/>
  <c r="AC329" i="3"/>
  <c r="AA329" i="3"/>
  <c r="T329" i="3" l="1"/>
  <c r="L328" i="3"/>
  <c r="AH329" i="3" l="1"/>
  <c r="U328" i="3"/>
  <c r="D329" i="3" s="1"/>
  <c r="AG329" i="3"/>
  <c r="Y327" i="3"/>
  <c r="E329" i="3" l="1"/>
  <c r="H329" i="3" s="1"/>
  <c r="K329" i="3" s="1"/>
  <c r="AE329" i="3" s="1"/>
  <c r="G329" i="3"/>
  <c r="F329" i="3" l="1"/>
  <c r="I329" i="3"/>
  <c r="J329" i="3"/>
  <c r="AD329" i="3" s="1"/>
  <c r="M329" i="3"/>
  <c r="N329" i="3" s="1"/>
  <c r="V329" i="3"/>
  <c r="A330" i="3"/>
  <c r="B330" i="3" s="1"/>
  <c r="W329" i="3" l="1"/>
  <c r="L329" i="3"/>
  <c r="AA330" i="3"/>
  <c r="AC330" i="3"/>
  <c r="P330" i="3"/>
  <c r="Q330" i="3" s="1"/>
  <c r="R330" i="3" s="1"/>
  <c r="S330" i="3" s="1"/>
  <c r="Z330" i="3"/>
  <c r="U329" i="3" l="1"/>
  <c r="Y328" i="3"/>
  <c r="T330" i="3"/>
  <c r="AH330" i="3" s="1"/>
  <c r="AG330" i="3" l="1"/>
  <c r="E330" i="3"/>
  <c r="H330" i="3" s="1"/>
  <c r="D330" i="3"/>
  <c r="K330" i="3" l="1"/>
  <c r="AE330" i="3" s="1"/>
  <c r="F330" i="3"/>
  <c r="G330" i="3"/>
  <c r="I330" i="3" l="1"/>
  <c r="J330" i="3"/>
  <c r="AD330" i="3" s="1"/>
  <c r="M330" i="3"/>
  <c r="N330" i="3" s="1"/>
  <c r="V330" i="3"/>
  <c r="A331" i="3"/>
  <c r="B331" i="3" s="1"/>
  <c r="W330" i="3" l="1"/>
  <c r="L330" i="3"/>
  <c r="P331" i="3"/>
  <c r="Q331" i="3" s="1"/>
  <c r="R331" i="3" s="1"/>
  <c r="S331" i="3" s="1"/>
  <c r="AA331" i="3"/>
  <c r="AC331" i="3"/>
  <c r="Z331" i="3"/>
  <c r="U330" i="3" l="1"/>
  <c r="Y329" i="3"/>
  <c r="T331" i="3"/>
  <c r="D331" i="3" l="1"/>
  <c r="G331" i="3" s="1"/>
  <c r="AH331" i="3"/>
  <c r="AG331" i="3"/>
  <c r="E331" i="3"/>
  <c r="H331" i="3" s="1"/>
  <c r="F331" i="3" l="1"/>
  <c r="I331" i="3"/>
  <c r="J331" i="3"/>
  <c r="AD331" i="3" s="1"/>
  <c r="M331" i="3"/>
  <c r="N331" i="3" s="1"/>
  <c r="K331" i="3"/>
  <c r="AE331" i="3" s="1"/>
  <c r="V331" i="3" l="1"/>
  <c r="W331" i="3" s="1"/>
  <c r="A332" i="3"/>
  <c r="B332" i="3" s="1"/>
  <c r="L331" i="3"/>
  <c r="U331" i="3" l="1"/>
  <c r="Y330" i="3"/>
  <c r="AA332" i="3"/>
  <c r="Z332" i="3"/>
  <c r="AC332" i="3"/>
  <c r="P332" i="3"/>
  <c r="Q332" i="3" s="1"/>
  <c r="R332" i="3" s="1"/>
  <c r="S332" i="3" s="1"/>
  <c r="T332" i="3" l="1"/>
  <c r="AG332" i="3" s="1"/>
  <c r="E332" i="3" l="1"/>
  <c r="H332" i="3" s="1"/>
  <c r="K332" i="3" s="1"/>
  <c r="AE332" i="3" s="1"/>
  <c r="D332" i="3"/>
  <c r="AH332" i="3"/>
  <c r="V332" i="3" l="1"/>
  <c r="A333" i="3"/>
  <c r="B333" i="3" s="1"/>
  <c r="F332" i="3"/>
  <c r="G332" i="3"/>
  <c r="I332" i="3" l="1"/>
  <c r="W332" i="3" s="1"/>
  <c r="J332" i="3"/>
  <c r="AD332" i="3" s="1"/>
  <c r="M332" i="3"/>
  <c r="N332" i="3" s="1"/>
  <c r="AA333" i="3"/>
  <c r="P333" i="3"/>
  <c r="Q333" i="3" s="1"/>
  <c r="R333" i="3" s="1"/>
  <c r="S333" i="3" s="1"/>
  <c r="Z333" i="3"/>
  <c r="AC333" i="3"/>
  <c r="T333" i="3" l="1"/>
  <c r="L332" i="3"/>
  <c r="AH333" i="3" l="1"/>
  <c r="AG333" i="3"/>
  <c r="U332" i="3"/>
  <c r="D333" i="3" s="1"/>
  <c r="Y331" i="3"/>
  <c r="E333" i="3" l="1"/>
  <c r="H333" i="3" s="1"/>
  <c r="K333" i="3" s="1"/>
  <c r="AE333" i="3" s="1"/>
  <c r="G333" i="3"/>
  <c r="F333" i="3" l="1"/>
  <c r="I333" i="3"/>
  <c r="J333" i="3"/>
  <c r="AD333" i="3" s="1"/>
  <c r="M333" i="3"/>
  <c r="N333" i="3" s="1"/>
  <c r="V333" i="3"/>
  <c r="A334" i="3"/>
  <c r="B334" i="3" s="1"/>
  <c r="W333" i="3" l="1"/>
  <c r="L333" i="3"/>
  <c r="AA334" i="3"/>
  <c r="P334" i="3"/>
  <c r="Q334" i="3" s="1"/>
  <c r="R334" i="3" s="1"/>
  <c r="S334" i="3" s="1"/>
  <c r="Z334" i="3"/>
  <c r="AC334" i="3"/>
  <c r="T334" i="3" l="1"/>
  <c r="AH334" i="3" s="1"/>
  <c r="U333" i="3"/>
  <c r="Y332" i="3"/>
  <c r="D334" i="3" l="1"/>
  <c r="G334" i="3" s="1"/>
  <c r="E334" i="3"/>
  <c r="H334" i="3" s="1"/>
  <c r="AG334" i="3"/>
  <c r="F334" i="3" l="1"/>
  <c r="I334" i="3"/>
  <c r="J334" i="3"/>
  <c r="AD334" i="3" s="1"/>
  <c r="M334" i="3"/>
  <c r="N334" i="3" s="1"/>
  <c r="K334" i="3"/>
  <c r="AE334" i="3" s="1"/>
  <c r="L334" i="3" l="1"/>
  <c r="V334" i="3"/>
  <c r="W334" i="3" s="1"/>
  <c r="A335" i="3"/>
  <c r="B335" i="3" s="1"/>
  <c r="U334" i="3" l="1"/>
  <c r="Y333" i="3"/>
  <c r="AC335" i="3"/>
  <c r="P335" i="3"/>
  <c r="Q335" i="3" s="1"/>
  <c r="R335" i="3" s="1"/>
  <c r="S335" i="3" s="1"/>
  <c r="AA335" i="3"/>
  <c r="Z335" i="3"/>
  <c r="T335" i="3" l="1"/>
  <c r="AG335" i="3" s="1"/>
  <c r="AH335" i="3" l="1"/>
  <c r="D335" i="3"/>
  <c r="E335" i="3"/>
  <c r="H335" i="3" s="1"/>
  <c r="F335" i="3" l="1"/>
  <c r="G335" i="3"/>
  <c r="K335" i="3"/>
  <c r="AE335" i="3" s="1"/>
  <c r="I335" i="3" l="1"/>
  <c r="J335" i="3"/>
  <c r="AD335" i="3" s="1"/>
  <c r="M335" i="3"/>
  <c r="N335" i="3" s="1"/>
  <c r="V335" i="3"/>
  <c r="A336" i="3"/>
  <c r="B336" i="3" s="1"/>
  <c r="W335" i="3" l="1"/>
  <c r="L335" i="3"/>
  <c r="AA336" i="3"/>
  <c r="P336" i="3"/>
  <c r="Q336" i="3" s="1"/>
  <c r="R336" i="3" s="1"/>
  <c r="S336" i="3" s="1"/>
  <c r="AC336" i="3"/>
  <c r="Z336" i="3"/>
  <c r="T336" i="3" l="1"/>
  <c r="AG336" i="3" s="1"/>
  <c r="U335" i="3"/>
  <c r="Y334" i="3"/>
  <c r="E336" i="3" l="1"/>
  <c r="H336" i="3" s="1"/>
  <c r="D336" i="3"/>
  <c r="AH336" i="3"/>
  <c r="K336" i="3" l="1"/>
  <c r="AE336" i="3" s="1"/>
  <c r="F336" i="3"/>
  <c r="G336" i="3"/>
  <c r="I336" i="3" l="1"/>
  <c r="J336" i="3"/>
  <c r="AD336" i="3" s="1"/>
  <c r="M336" i="3"/>
  <c r="N336" i="3" s="1"/>
  <c r="V336" i="3"/>
  <c r="A337" i="3"/>
  <c r="B337" i="3" s="1"/>
  <c r="W336" i="3" l="1"/>
  <c r="P337" i="3"/>
  <c r="Q337" i="3" s="1"/>
  <c r="R337" i="3" s="1"/>
  <c r="S337" i="3" s="1"/>
  <c r="AC337" i="3"/>
  <c r="AA337" i="3"/>
  <c r="Z337" i="3"/>
  <c r="L336" i="3"/>
  <c r="T337" i="3" l="1"/>
  <c r="U336" i="3"/>
  <c r="Y335" i="3"/>
  <c r="E337" i="3" l="1"/>
  <c r="H337" i="3" s="1"/>
  <c r="K337" i="3" s="1"/>
  <c r="AE337" i="3" s="1"/>
  <c r="AH337" i="3"/>
  <c r="AG337" i="3"/>
  <c r="D337" i="3"/>
  <c r="V337" i="3" l="1"/>
  <c r="A338" i="3"/>
  <c r="B338" i="3" s="1"/>
  <c r="F337" i="3"/>
  <c r="G337" i="3"/>
  <c r="I337" i="3" l="1"/>
  <c r="W337" i="3" s="1"/>
  <c r="J337" i="3"/>
  <c r="AD337" i="3" s="1"/>
  <c r="M337" i="3"/>
  <c r="N337" i="3" s="1"/>
  <c r="P338" i="3"/>
  <c r="Q338" i="3" s="1"/>
  <c r="R338" i="3" s="1"/>
  <c r="S338" i="3" s="1"/>
  <c r="Z338" i="3"/>
  <c r="AC338" i="3"/>
  <c r="AA338" i="3"/>
  <c r="T338" i="3" l="1"/>
  <c r="L337" i="3"/>
  <c r="AH338" i="3" l="1"/>
  <c r="U337" i="3"/>
  <c r="E338" i="3" s="1"/>
  <c r="H338" i="3" s="1"/>
  <c r="AG338" i="3"/>
  <c r="Y336" i="3"/>
  <c r="D338" i="3" l="1"/>
  <c r="F338" i="3" s="1"/>
  <c r="K338" i="3"/>
  <c r="AE338" i="3" s="1"/>
  <c r="G338" i="3" l="1"/>
  <c r="M338" i="3" s="1"/>
  <c r="N338" i="3" s="1"/>
  <c r="V338" i="3"/>
  <c r="A339" i="3"/>
  <c r="B339" i="3" s="1"/>
  <c r="I338" i="3" l="1"/>
  <c r="W338" i="3" s="1"/>
  <c r="J338" i="3"/>
  <c r="Z339" i="3"/>
  <c r="P339" i="3"/>
  <c r="Q339" i="3" s="1"/>
  <c r="R339" i="3" s="1"/>
  <c r="S339" i="3" s="1"/>
  <c r="AA339" i="3"/>
  <c r="AC339" i="3"/>
  <c r="L338" i="3" l="1"/>
  <c r="U338" i="3" s="1"/>
  <c r="AD338" i="3"/>
  <c r="T339" i="3"/>
  <c r="Y337" i="3" l="1"/>
  <c r="AG339" i="3"/>
  <c r="AH339" i="3"/>
  <c r="E339" i="3"/>
  <c r="H339" i="3" s="1"/>
  <c r="D339" i="3"/>
  <c r="K339" i="3" l="1"/>
  <c r="AE339" i="3" s="1"/>
  <c r="F339" i="3"/>
  <c r="G339" i="3"/>
  <c r="V339" i="3" l="1"/>
  <c r="A340" i="3"/>
  <c r="B340" i="3" s="1"/>
  <c r="I339" i="3"/>
  <c r="J339" i="3"/>
  <c r="AD339" i="3" s="1"/>
  <c r="M339" i="3"/>
  <c r="N339" i="3" s="1"/>
  <c r="W339" i="3" l="1"/>
  <c r="L339" i="3"/>
  <c r="Z340" i="3"/>
  <c r="P340" i="3"/>
  <c r="Q340" i="3" s="1"/>
  <c r="R340" i="3" s="1"/>
  <c r="S340" i="3" s="1"/>
  <c r="AC340" i="3"/>
  <c r="AA340" i="3"/>
  <c r="T340" i="3" l="1"/>
  <c r="U339" i="3"/>
  <c r="Y338" i="3"/>
  <c r="D340" i="3" l="1"/>
  <c r="G340" i="3" s="1"/>
  <c r="E340" i="3"/>
  <c r="H340" i="3" s="1"/>
  <c r="K340" i="3" s="1"/>
  <c r="AE340" i="3" s="1"/>
  <c r="AH340" i="3"/>
  <c r="AG340" i="3"/>
  <c r="F340" i="3" l="1"/>
  <c r="V340" i="3"/>
  <c r="A341" i="3"/>
  <c r="B341" i="3" s="1"/>
  <c r="I340" i="3"/>
  <c r="J340" i="3"/>
  <c r="AD340" i="3" s="1"/>
  <c r="M340" i="3"/>
  <c r="N340" i="3" s="1"/>
  <c r="W340" i="3" l="1"/>
  <c r="L340" i="3"/>
  <c r="Z341" i="3"/>
  <c r="P341" i="3"/>
  <c r="Q341" i="3" s="1"/>
  <c r="R341" i="3" s="1"/>
  <c r="S341" i="3" s="1"/>
  <c r="AA341" i="3"/>
  <c r="AC341" i="3"/>
  <c r="U340" i="3" l="1"/>
  <c r="Y339" i="3"/>
  <c r="T341" i="3"/>
  <c r="AG341" i="3" s="1"/>
  <c r="D341" i="3" l="1"/>
  <c r="AH341" i="3"/>
  <c r="E341" i="3"/>
  <c r="H341" i="3" s="1"/>
  <c r="F341" i="3" l="1"/>
  <c r="G341" i="3"/>
  <c r="K341" i="3"/>
  <c r="AE341" i="3" s="1"/>
  <c r="I341" i="3" l="1"/>
  <c r="J341" i="3"/>
  <c r="AD341" i="3" s="1"/>
  <c r="M341" i="3"/>
  <c r="N341" i="3" s="1"/>
  <c r="V341" i="3"/>
  <c r="A342" i="3"/>
  <c r="B342" i="3" s="1"/>
  <c r="L341" i="3" l="1"/>
  <c r="W341" i="3"/>
  <c r="Z342" i="3"/>
  <c r="P342" i="3"/>
  <c r="Q342" i="3" s="1"/>
  <c r="R342" i="3" s="1"/>
  <c r="S342" i="3" s="1"/>
  <c r="AA342" i="3"/>
  <c r="AC342" i="3"/>
  <c r="U341" i="3" l="1"/>
  <c r="Y340" i="3"/>
  <c r="T342" i="3"/>
  <c r="D342" i="3" l="1"/>
  <c r="G342" i="3" s="1"/>
  <c r="AH342" i="3"/>
  <c r="E342" i="3"/>
  <c r="H342" i="3" s="1"/>
  <c r="AG342" i="3"/>
  <c r="F342" i="3" l="1"/>
  <c r="I342" i="3"/>
  <c r="J342" i="3"/>
  <c r="AD342" i="3" s="1"/>
  <c r="M342" i="3"/>
  <c r="N342" i="3" s="1"/>
  <c r="K342" i="3"/>
  <c r="AE342" i="3" s="1"/>
  <c r="V342" i="3" l="1"/>
  <c r="W342" i="3" s="1"/>
  <c r="A343" i="3"/>
  <c r="B343" i="3" s="1"/>
  <c r="L342" i="3"/>
  <c r="U342" i="3" l="1"/>
  <c r="Y341" i="3"/>
  <c r="P343" i="3"/>
  <c r="Q343" i="3" s="1"/>
  <c r="R343" i="3" s="1"/>
  <c r="S343" i="3" s="1"/>
  <c r="AA343" i="3"/>
  <c r="Z343" i="3"/>
  <c r="AC343" i="3"/>
  <c r="T343" i="3" l="1"/>
  <c r="D343" i="3" s="1"/>
  <c r="E343" i="3" l="1"/>
  <c r="H343" i="3" s="1"/>
  <c r="K343" i="3" s="1"/>
  <c r="AE343" i="3" s="1"/>
  <c r="G343" i="3"/>
  <c r="AG343" i="3"/>
  <c r="AH343" i="3"/>
  <c r="F343" i="3" l="1"/>
  <c r="I343" i="3"/>
  <c r="J343" i="3"/>
  <c r="AD343" i="3" s="1"/>
  <c r="M343" i="3"/>
  <c r="N343" i="3" s="1"/>
  <c r="V343" i="3"/>
  <c r="A344" i="3"/>
  <c r="B344" i="3" s="1"/>
  <c r="W343" i="3" l="1"/>
  <c r="L343" i="3"/>
  <c r="AA344" i="3"/>
  <c r="Z344" i="3"/>
  <c r="P344" i="3"/>
  <c r="Q344" i="3" s="1"/>
  <c r="R344" i="3" s="1"/>
  <c r="S344" i="3" s="1"/>
  <c r="AC344" i="3"/>
  <c r="U343" i="3" l="1"/>
  <c r="Y342" i="3"/>
  <c r="T344" i="3"/>
  <c r="AH344" i="3" s="1"/>
  <c r="AG344" i="3" l="1"/>
  <c r="E344" i="3"/>
  <c r="H344" i="3" s="1"/>
  <c r="D344" i="3"/>
  <c r="F344" i="3" l="1"/>
  <c r="G344" i="3"/>
  <c r="K344" i="3"/>
  <c r="AE344" i="3" s="1"/>
  <c r="I344" i="3" l="1"/>
  <c r="J344" i="3"/>
  <c r="AD344" i="3" s="1"/>
  <c r="M344" i="3"/>
  <c r="N344" i="3" s="1"/>
  <c r="V344" i="3"/>
  <c r="A345" i="3"/>
  <c r="B345" i="3" s="1"/>
  <c r="W344" i="3" l="1"/>
  <c r="P345" i="3"/>
  <c r="Q345" i="3" s="1"/>
  <c r="R345" i="3" s="1"/>
  <c r="S345" i="3" s="1"/>
  <c r="Z345" i="3"/>
  <c r="AC345" i="3"/>
  <c r="AA345" i="3"/>
  <c r="L344" i="3"/>
  <c r="T345" i="3" l="1"/>
  <c r="U344" i="3"/>
  <c r="Y343" i="3"/>
  <c r="E345" i="3" l="1"/>
  <c r="H345" i="3" s="1"/>
  <c r="K345" i="3" s="1"/>
  <c r="AE345" i="3" s="1"/>
  <c r="AH345" i="3"/>
  <c r="D345" i="3"/>
  <c r="AG345" i="3"/>
  <c r="F345" i="3" l="1"/>
  <c r="G345" i="3"/>
  <c r="V345" i="3"/>
  <c r="A346" i="3"/>
  <c r="B346" i="3" s="1"/>
  <c r="AC346" i="3" l="1"/>
  <c r="P346" i="3"/>
  <c r="Q346" i="3" s="1"/>
  <c r="R346" i="3" s="1"/>
  <c r="S346" i="3" s="1"/>
  <c r="AA346" i="3"/>
  <c r="Z346" i="3"/>
  <c r="I345" i="3"/>
  <c r="W345" i="3" s="1"/>
  <c r="J345" i="3"/>
  <c r="AD345" i="3" s="1"/>
  <c r="M345" i="3"/>
  <c r="N345" i="3" s="1"/>
  <c r="L345" i="3" l="1"/>
  <c r="T346" i="3"/>
  <c r="AH346" i="3" l="1"/>
  <c r="AG346" i="3"/>
  <c r="U345" i="3"/>
  <c r="D346" i="3" s="1"/>
  <c r="Y344" i="3"/>
  <c r="G346" i="3" l="1"/>
  <c r="E346" i="3"/>
  <c r="H346" i="3" s="1"/>
  <c r="F346" i="3" l="1"/>
  <c r="I346" i="3"/>
  <c r="J346" i="3"/>
  <c r="AD346" i="3" s="1"/>
  <c r="M346" i="3"/>
  <c r="N346" i="3" s="1"/>
  <c r="K346" i="3"/>
  <c r="AE346" i="3" s="1"/>
  <c r="V346" i="3" l="1"/>
  <c r="W346" i="3" s="1"/>
  <c r="A347" i="3"/>
  <c r="B347" i="3" s="1"/>
  <c r="L346" i="3"/>
  <c r="U346" i="3" l="1"/>
  <c r="Y345" i="3"/>
  <c r="AC347" i="3"/>
  <c r="Z347" i="3"/>
  <c r="AA347" i="3"/>
  <c r="P347" i="3"/>
  <c r="Q347" i="3" s="1"/>
  <c r="R347" i="3" s="1"/>
  <c r="S347" i="3" s="1"/>
  <c r="T347" i="3" l="1"/>
  <c r="E347" i="3" s="1"/>
  <c r="H347" i="3" s="1"/>
  <c r="K347" i="3" l="1"/>
  <c r="AE347" i="3" s="1"/>
  <c r="AH347" i="3"/>
  <c r="AG347" i="3"/>
  <c r="D347" i="3"/>
  <c r="F347" i="3" l="1"/>
  <c r="G347" i="3"/>
  <c r="V347" i="3"/>
  <c r="A348" i="3"/>
  <c r="B348" i="3" s="1"/>
  <c r="I347" i="3" l="1"/>
  <c r="W347" i="3" s="1"/>
  <c r="J347" i="3"/>
  <c r="AD347" i="3" s="1"/>
  <c r="M347" i="3"/>
  <c r="N347" i="3" s="1"/>
  <c r="AC348" i="3"/>
  <c r="AA348" i="3"/>
  <c r="P348" i="3"/>
  <c r="Q348" i="3" s="1"/>
  <c r="R348" i="3" s="1"/>
  <c r="S348" i="3" s="1"/>
  <c r="Z348" i="3"/>
  <c r="L347" i="3" l="1"/>
  <c r="T348" i="3"/>
  <c r="U347" i="3" l="1"/>
  <c r="D348" i="3" s="1"/>
  <c r="AH348" i="3"/>
  <c r="AG348" i="3"/>
  <c r="Y346" i="3"/>
  <c r="E348" i="3" l="1"/>
  <c r="H348" i="3" s="1"/>
  <c r="K348" i="3" s="1"/>
  <c r="AE348" i="3" s="1"/>
  <c r="G348" i="3"/>
  <c r="F348" i="3" l="1"/>
  <c r="I348" i="3"/>
  <c r="J348" i="3"/>
  <c r="AD348" i="3" s="1"/>
  <c r="M348" i="3"/>
  <c r="N348" i="3" s="1"/>
  <c r="V348" i="3"/>
  <c r="A349" i="3"/>
  <c r="B349" i="3" s="1"/>
  <c r="W348" i="3" l="1"/>
  <c r="L348" i="3"/>
  <c r="AC349" i="3"/>
  <c r="P349" i="3"/>
  <c r="Q349" i="3" s="1"/>
  <c r="R349" i="3" s="1"/>
  <c r="S349" i="3" s="1"/>
  <c r="AA349" i="3"/>
  <c r="Z349" i="3"/>
  <c r="U348" i="3" l="1"/>
  <c r="Y347" i="3"/>
  <c r="T349" i="3"/>
  <c r="AG349" i="3" s="1"/>
  <c r="E349" i="3" l="1"/>
  <c r="H349" i="3" s="1"/>
  <c r="K349" i="3" s="1"/>
  <c r="AE349" i="3" s="1"/>
  <c r="D349" i="3"/>
  <c r="AH349" i="3"/>
  <c r="V349" i="3" l="1"/>
  <c r="A350" i="3"/>
  <c r="B350" i="3" s="1"/>
  <c r="F349" i="3"/>
  <c r="G349" i="3"/>
  <c r="I349" i="3" l="1"/>
  <c r="W349" i="3" s="1"/>
  <c r="J349" i="3"/>
  <c r="AD349" i="3" s="1"/>
  <c r="M349" i="3"/>
  <c r="N349" i="3" s="1"/>
  <c r="P350" i="3"/>
  <c r="Q350" i="3" s="1"/>
  <c r="R350" i="3" s="1"/>
  <c r="S350" i="3" s="1"/>
  <c r="Z350" i="3"/>
  <c r="AC350" i="3"/>
  <c r="AA350" i="3"/>
  <c r="T350" i="3" l="1"/>
  <c r="L349" i="3"/>
  <c r="U349" i="3" l="1"/>
  <c r="D350" i="3" s="1"/>
  <c r="AG350" i="3"/>
  <c r="AH350" i="3"/>
  <c r="Y348" i="3"/>
  <c r="E350" i="3" l="1"/>
  <c r="H350" i="3" s="1"/>
  <c r="K350" i="3" s="1"/>
  <c r="AE350" i="3" s="1"/>
  <c r="G350" i="3"/>
  <c r="F350" i="3" l="1"/>
  <c r="V350" i="3"/>
  <c r="A351" i="3"/>
  <c r="B351" i="3" s="1"/>
  <c r="I350" i="3"/>
  <c r="J350" i="3"/>
  <c r="AD350" i="3" s="1"/>
  <c r="M350" i="3"/>
  <c r="N350" i="3" s="1"/>
  <c r="W350" i="3" l="1"/>
  <c r="L350" i="3"/>
  <c r="AA351" i="3"/>
  <c r="P351" i="3"/>
  <c r="Q351" i="3" s="1"/>
  <c r="R351" i="3" s="1"/>
  <c r="S351" i="3" s="1"/>
  <c r="Z351" i="3"/>
  <c r="AC351" i="3"/>
  <c r="U350" i="3" l="1"/>
  <c r="Y349" i="3"/>
  <c r="T351" i="3"/>
  <c r="D351" i="3" l="1"/>
  <c r="G351" i="3" s="1"/>
  <c r="AH351" i="3"/>
  <c r="E351" i="3"/>
  <c r="H351" i="3" s="1"/>
  <c r="K351" i="3" s="1"/>
  <c r="AE351" i="3" s="1"/>
  <c r="AG351" i="3"/>
  <c r="F351" i="3" l="1"/>
  <c r="V351" i="3"/>
  <c r="A352" i="3"/>
  <c r="B352" i="3" s="1"/>
  <c r="I351" i="3"/>
  <c r="J351" i="3"/>
  <c r="AD351" i="3" s="1"/>
  <c r="M351" i="3"/>
  <c r="N351" i="3" s="1"/>
  <c r="L351" i="3" l="1"/>
  <c r="W351" i="3"/>
  <c r="AC352" i="3"/>
  <c r="P352" i="3"/>
  <c r="Q352" i="3" s="1"/>
  <c r="R352" i="3" s="1"/>
  <c r="S352" i="3" s="1"/>
  <c r="AA352" i="3"/>
  <c r="Z352" i="3"/>
  <c r="U351" i="3" l="1"/>
  <c r="Y350" i="3"/>
  <c r="T352" i="3"/>
  <c r="E352" i="3" l="1"/>
  <c r="H352" i="3" s="1"/>
  <c r="K352" i="3" s="1"/>
  <c r="AE352" i="3" s="1"/>
  <c r="AH352" i="3"/>
  <c r="D352" i="3"/>
  <c r="AG352" i="3"/>
  <c r="F352" i="3" l="1"/>
  <c r="G352" i="3"/>
  <c r="V352" i="3"/>
  <c r="A353" i="3"/>
  <c r="B353" i="3" s="1"/>
  <c r="AC353" i="3" l="1"/>
  <c r="AA353" i="3"/>
  <c r="P353" i="3"/>
  <c r="Q353" i="3" s="1"/>
  <c r="R353" i="3" s="1"/>
  <c r="S353" i="3" s="1"/>
  <c r="Z353" i="3"/>
  <c r="I352" i="3"/>
  <c r="W352" i="3" s="1"/>
  <c r="J352" i="3"/>
  <c r="AD352" i="3" s="1"/>
  <c r="M352" i="3"/>
  <c r="N352" i="3" s="1"/>
  <c r="T353" i="3" l="1"/>
  <c r="L352" i="3"/>
  <c r="U352" i="3" l="1"/>
  <c r="D353" i="3" s="1"/>
  <c r="AH353" i="3"/>
  <c r="AG353" i="3"/>
  <c r="Y351" i="3"/>
  <c r="E353" i="3" l="1"/>
  <c r="H353" i="3" s="1"/>
  <c r="K353" i="3" s="1"/>
  <c r="AE353" i="3" s="1"/>
  <c r="G353" i="3"/>
  <c r="F353" i="3" l="1"/>
  <c r="I353" i="3"/>
  <c r="J353" i="3"/>
  <c r="AD353" i="3" s="1"/>
  <c r="M353" i="3"/>
  <c r="N353" i="3" s="1"/>
  <c r="V353" i="3"/>
  <c r="A354" i="3"/>
  <c r="B354" i="3" s="1"/>
  <c r="W353" i="3" l="1"/>
  <c r="L353" i="3"/>
  <c r="P354" i="3"/>
  <c r="Q354" i="3" s="1"/>
  <c r="R354" i="3" s="1"/>
  <c r="S354" i="3" s="1"/>
  <c r="AC354" i="3"/>
  <c r="Z354" i="3"/>
  <c r="AA354" i="3"/>
  <c r="U353" i="3" l="1"/>
  <c r="Y352" i="3"/>
  <c r="T354" i="3"/>
  <c r="AG354" i="3" s="1"/>
  <c r="D354" i="3" l="1"/>
  <c r="AH354" i="3"/>
  <c r="E354" i="3"/>
  <c r="H354" i="3" s="1"/>
  <c r="F354" i="3" l="1"/>
  <c r="G354" i="3"/>
  <c r="K354" i="3"/>
  <c r="AE354" i="3" s="1"/>
  <c r="V354" i="3" l="1"/>
  <c r="A355" i="3"/>
  <c r="B355" i="3" s="1"/>
  <c r="I354" i="3"/>
  <c r="J354" i="3"/>
  <c r="AD354" i="3" s="1"/>
  <c r="M354" i="3"/>
  <c r="N354" i="3" s="1"/>
  <c r="W354" i="3" l="1"/>
  <c r="L354" i="3"/>
  <c r="AA355" i="3"/>
  <c r="AC355" i="3"/>
  <c r="Z355" i="3"/>
  <c r="P355" i="3"/>
  <c r="Q355" i="3" s="1"/>
  <c r="R355" i="3" s="1"/>
  <c r="S355" i="3" s="1"/>
  <c r="T355" i="3" l="1"/>
  <c r="U354" i="3"/>
  <c r="Y353" i="3"/>
  <c r="D355" i="3" l="1"/>
  <c r="G355" i="3" s="1"/>
  <c r="AG355" i="3"/>
  <c r="E355" i="3"/>
  <c r="H355" i="3" s="1"/>
  <c r="K355" i="3" s="1"/>
  <c r="AE355" i="3" s="1"/>
  <c r="AH355" i="3"/>
  <c r="F355" i="3" l="1"/>
  <c r="V355" i="3"/>
  <c r="A356" i="3"/>
  <c r="B356" i="3" s="1"/>
  <c r="I355" i="3"/>
  <c r="J355" i="3"/>
  <c r="AD355" i="3" s="1"/>
  <c r="M355" i="3"/>
  <c r="N355" i="3" s="1"/>
  <c r="W355" i="3" l="1"/>
  <c r="L355" i="3"/>
  <c r="P356" i="3"/>
  <c r="Q356" i="3" s="1"/>
  <c r="R356" i="3" s="1"/>
  <c r="S356" i="3" s="1"/>
  <c r="AA356" i="3"/>
  <c r="Z356" i="3"/>
  <c r="AC356" i="3"/>
  <c r="U355" i="3" l="1"/>
  <c r="Y354" i="3"/>
  <c r="T356" i="3"/>
  <c r="AG356" i="3" s="1"/>
  <c r="AH356" i="3" l="1"/>
  <c r="D356" i="3"/>
  <c r="E356" i="3"/>
  <c r="H356" i="3" s="1"/>
  <c r="K356" i="3" s="1"/>
  <c r="AE356" i="3" s="1"/>
  <c r="F356" i="3" l="1"/>
  <c r="G356" i="3"/>
  <c r="M356" i="3" s="1"/>
  <c r="N356" i="3" s="1"/>
  <c r="V356" i="3"/>
  <c r="A357" i="3"/>
  <c r="B357" i="3" s="1"/>
  <c r="I356" i="3" l="1"/>
  <c r="W356" i="3" s="1"/>
  <c r="J356" i="3"/>
  <c r="Z357" i="3"/>
  <c r="P357" i="3"/>
  <c r="Q357" i="3" s="1"/>
  <c r="R357" i="3" s="1"/>
  <c r="S357" i="3" s="1"/>
  <c r="AC357" i="3"/>
  <c r="AA357" i="3"/>
  <c r="L356" i="3" l="1"/>
  <c r="U356" i="3" s="1"/>
  <c r="AD356" i="3"/>
  <c r="T357" i="3"/>
  <c r="Y355" i="3" l="1"/>
  <c r="AG357" i="3"/>
  <c r="AH357" i="3"/>
  <c r="E357" i="3"/>
  <c r="H357" i="3" s="1"/>
  <c r="D357" i="3"/>
  <c r="F357" i="3" l="1"/>
  <c r="G357" i="3"/>
  <c r="K357" i="3"/>
  <c r="AE357" i="3" s="1"/>
  <c r="V357" i="3" l="1"/>
  <c r="A358" i="3"/>
  <c r="B358" i="3" s="1"/>
  <c r="I357" i="3"/>
  <c r="J357" i="3"/>
  <c r="AD357" i="3" s="1"/>
  <c r="M357" i="3"/>
  <c r="N357" i="3" s="1"/>
  <c r="W357" i="3" l="1"/>
  <c r="L357" i="3"/>
  <c r="P358" i="3"/>
  <c r="Q358" i="3" s="1"/>
  <c r="R358" i="3" s="1"/>
  <c r="S358" i="3" s="1"/>
  <c r="Z358" i="3"/>
  <c r="AA358" i="3"/>
  <c r="AC358" i="3"/>
  <c r="T358" i="3" l="1"/>
  <c r="AH358" i="3" s="1"/>
  <c r="U357" i="3"/>
  <c r="Y356" i="3"/>
  <c r="D358" i="3" l="1"/>
  <c r="G358" i="3" s="1"/>
  <c r="E358" i="3"/>
  <c r="H358" i="3" s="1"/>
  <c r="AG358" i="3"/>
  <c r="I358" i="3" l="1"/>
  <c r="J358" i="3"/>
  <c r="AD358" i="3" s="1"/>
  <c r="M358" i="3"/>
  <c r="N358" i="3" s="1"/>
  <c r="F358" i="3"/>
  <c r="K358" i="3"/>
  <c r="AE358" i="3" s="1"/>
  <c r="V358" i="3" l="1"/>
  <c r="W358" i="3" s="1"/>
  <c r="A359" i="3"/>
  <c r="B359" i="3" s="1"/>
  <c r="L358" i="3"/>
  <c r="U358" i="3" l="1"/>
  <c r="Y357" i="3"/>
  <c r="P359" i="3"/>
  <c r="Q359" i="3" s="1"/>
  <c r="R359" i="3" s="1"/>
  <c r="S359" i="3" s="1"/>
  <c r="AC359" i="3"/>
  <c r="AA359" i="3"/>
  <c r="Z359" i="3"/>
  <c r="T359" i="3" l="1"/>
  <c r="AG359" i="3" s="1"/>
  <c r="AH359" i="3" l="1"/>
  <c r="E359" i="3"/>
  <c r="H359" i="3" s="1"/>
  <c r="D359" i="3"/>
  <c r="K359" i="3" l="1"/>
  <c r="AE359" i="3" s="1"/>
  <c r="F359" i="3"/>
  <c r="G359" i="3"/>
  <c r="I359" i="3" l="1"/>
  <c r="J359" i="3"/>
  <c r="AD359" i="3" s="1"/>
  <c r="M359" i="3"/>
  <c r="N359" i="3" s="1"/>
  <c r="V359" i="3"/>
  <c r="A360" i="3"/>
  <c r="B360" i="3" s="1"/>
  <c r="W359" i="3" l="1"/>
  <c r="L359" i="3"/>
  <c r="AC360" i="3"/>
  <c r="AA360" i="3"/>
  <c r="P360" i="3"/>
  <c r="Q360" i="3" s="1"/>
  <c r="R360" i="3" s="1"/>
  <c r="S360" i="3" s="1"/>
  <c r="Z360" i="3"/>
  <c r="T360" i="3" l="1"/>
  <c r="AH360" i="3" s="1"/>
  <c r="U359" i="3"/>
  <c r="Y358" i="3"/>
  <c r="E360" i="3" l="1"/>
  <c r="H360" i="3" s="1"/>
  <c r="K360" i="3" s="1"/>
  <c r="AE360" i="3" s="1"/>
  <c r="AG360" i="3"/>
  <c r="D360" i="3"/>
  <c r="F360" i="3" l="1"/>
  <c r="G360" i="3"/>
  <c r="V360" i="3"/>
  <c r="A361" i="3"/>
  <c r="B361" i="3" s="1"/>
  <c r="Z361" i="3" l="1"/>
  <c r="P361" i="3"/>
  <c r="Q361" i="3" s="1"/>
  <c r="R361" i="3" s="1"/>
  <c r="S361" i="3" s="1"/>
  <c r="AC361" i="3"/>
  <c r="AA361" i="3"/>
  <c r="I360" i="3"/>
  <c r="W360" i="3" s="1"/>
  <c r="J360" i="3"/>
  <c r="AD360" i="3" s="1"/>
  <c r="M360" i="3"/>
  <c r="N360" i="3" s="1"/>
  <c r="T361" i="3" l="1"/>
  <c r="L360" i="3"/>
  <c r="AG361" i="3" l="1"/>
  <c r="AH361" i="3"/>
  <c r="U360" i="3"/>
  <c r="E361" i="3" s="1"/>
  <c r="H361" i="3" s="1"/>
  <c r="Y359" i="3"/>
  <c r="D361" i="3" l="1"/>
  <c r="G361" i="3" s="1"/>
  <c r="K361" i="3"/>
  <c r="AE361" i="3" s="1"/>
  <c r="F361" i="3" l="1"/>
  <c r="I361" i="3"/>
  <c r="J361" i="3"/>
  <c r="AD361" i="3" s="1"/>
  <c r="M361" i="3"/>
  <c r="N361" i="3" s="1"/>
  <c r="V361" i="3"/>
  <c r="A362" i="3"/>
  <c r="B362" i="3" s="1"/>
  <c r="W361" i="3" l="1"/>
  <c r="L361" i="3"/>
  <c r="AC362" i="3"/>
  <c r="Z362" i="3"/>
  <c r="P362" i="3"/>
  <c r="Q362" i="3" s="1"/>
  <c r="R362" i="3" s="1"/>
  <c r="S362" i="3" s="1"/>
  <c r="AA362" i="3"/>
  <c r="U361" i="3" l="1"/>
  <c r="Y360" i="3"/>
  <c r="T362" i="3"/>
  <c r="AH362" i="3" s="1"/>
  <c r="D362" i="3" l="1"/>
  <c r="G362" i="3" s="1"/>
  <c r="E362" i="3"/>
  <c r="H362" i="3" s="1"/>
  <c r="K362" i="3" s="1"/>
  <c r="AE362" i="3" s="1"/>
  <c r="AG362" i="3"/>
  <c r="F362" i="3" l="1"/>
  <c r="I362" i="3"/>
  <c r="J362" i="3"/>
  <c r="AD362" i="3" s="1"/>
  <c r="M362" i="3"/>
  <c r="N362" i="3" s="1"/>
  <c r="V362" i="3"/>
  <c r="A363" i="3"/>
  <c r="B363" i="3" s="1"/>
  <c r="W362" i="3" l="1"/>
  <c r="L362" i="3"/>
  <c r="P363" i="3"/>
  <c r="Q363" i="3" s="1"/>
  <c r="R363" i="3" s="1"/>
  <c r="S363" i="3" s="1"/>
  <c r="AA363" i="3"/>
  <c r="Z363" i="3"/>
  <c r="AC363" i="3"/>
  <c r="T363" i="3" l="1"/>
  <c r="U362" i="3"/>
  <c r="Y361" i="3"/>
  <c r="E363" i="3" l="1"/>
  <c r="H363" i="3" s="1"/>
  <c r="K363" i="3" s="1"/>
  <c r="AE363" i="3" s="1"/>
  <c r="AH363" i="3"/>
  <c r="D363" i="3"/>
  <c r="AG363" i="3"/>
  <c r="F363" i="3" l="1"/>
  <c r="G363" i="3"/>
  <c r="M363" i="3" s="1"/>
  <c r="N363" i="3" s="1"/>
  <c r="V363" i="3"/>
  <c r="A364" i="3"/>
  <c r="B364" i="3" s="1"/>
  <c r="I363" i="3" l="1"/>
  <c r="W363" i="3" s="1"/>
  <c r="J363" i="3"/>
  <c r="P364" i="3"/>
  <c r="Q364" i="3" s="1"/>
  <c r="R364" i="3" s="1"/>
  <c r="S364" i="3" s="1"/>
  <c r="Z364" i="3"/>
  <c r="AC364" i="3"/>
  <c r="AA364" i="3"/>
  <c r="L363" i="3" l="1"/>
  <c r="U363" i="3" s="1"/>
  <c r="AD363" i="3"/>
  <c r="T364" i="3"/>
  <c r="Y362" i="3" l="1"/>
  <c r="D364" i="3"/>
  <c r="G364" i="3" s="1"/>
  <c r="E364" i="3"/>
  <c r="H364" i="3" s="1"/>
  <c r="K364" i="3" s="1"/>
  <c r="AE364" i="3" s="1"/>
  <c r="AG364" i="3"/>
  <c r="AH364" i="3"/>
  <c r="F364" i="3" l="1"/>
  <c r="V364" i="3"/>
  <c r="A365" i="3"/>
  <c r="B365" i="3" s="1"/>
  <c r="I364" i="3"/>
  <c r="J364" i="3"/>
  <c r="AD364" i="3" s="1"/>
  <c r="M364" i="3"/>
  <c r="N364" i="3" s="1"/>
  <c r="W364" i="3" l="1"/>
  <c r="L364" i="3"/>
  <c r="AC365" i="3"/>
  <c r="P365" i="3"/>
  <c r="Q365" i="3" s="1"/>
  <c r="R365" i="3" s="1"/>
  <c r="S365" i="3" s="1"/>
  <c r="AA365" i="3"/>
  <c r="AD365" i="3"/>
  <c r="Z365" i="3"/>
  <c r="U364" i="3" l="1"/>
  <c r="Y363" i="3"/>
  <c r="T365" i="3"/>
  <c r="AH365" i="3" s="1"/>
  <c r="D365" i="3" l="1"/>
  <c r="G365" i="3" s="1"/>
  <c r="AG365" i="3"/>
  <c r="E365" i="3"/>
  <c r="H365" i="3" s="1"/>
  <c r="K365" i="3" s="1"/>
  <c r="AE365" i="3" s="1"/>
  <c r="F365" i="3" l="1"/>
  <c r="I365" i="3"/>
  <c r="J365" i="3"/>
  <c r="M365" i="3"/>
  <c r="N365" i="3" s="1"/>
  <c r="V365" i="3"/>
  <c r="A366" i="3"/>
  <c r="B366" i="3" s="1"/>
  <c r="W365" i="3" l="1"/>
  <c r="L365" i="3"/>
  <c r="AC366" i="3"/>
  <c r="AD366" i="3"/>
  <c r="P366" i="3"/>
  <c r="Q366" i="3" s="1"/>
  <c r="R366" i="3" s="1"/>
  <c r="S366" i="3" s="1"/>
  <c r="AA366" i="3"/>
  <c r="Z366" i="3"/>
  <c r="U365" i="3" l="1"/>
  <c r="Y364" i="3"/>
  <c r="T366" i="3"/>
  <c r="E366" i="3" l="1"/>
  <c r="H366" i="3" s="1"/>
  <c r="K366" i="3" s="1"/>
  <c r="AE366" i="3" s="1"/>
  <c r="AH366" i="3"/>
  <c r="D366" i="3"/>
  <c r="G366" i="3" s="1"/>
  <c r="AG366" i="3"/>
  <c r="F366" i="3" l="1"/>
  <c r="V366" i="3"/>
  <c r="A367" i="3"/>
  <c r="B367" i="3" s="1"/>
  <c r="I366" i="3"/>
  <c r="J366" i="3"/>
  <c r="M366" i="3"/>
  <c r="N366" i="3" s="1"/>
  <c r="W366" i="3" l="1"/>
  <c r="L366" i="3"/>
  <c r="Z367" i="3"/>
  <c r="P367" i="3"/>
  <c r="Q367" i="3" s="1"/>
  <c r="R367" i="3" s="1"/>
  <c r="S367" i="3" s="1"/>
  <c r="AC367" i="3"/>
  <c r="AA367" i="3"/>
  <c r="T367" i="3" l="1"/>
  <c r="AG367" i="3" s="1"/>
  <c r="U366" i="3"/>
  <c r="Y365" i="3"/>
  <c r="D367" i="3" l="1"/>
  <c r="AH367" i="3"/>
  <c r="E367" i="3"/>
  <c r="H367" i="3" s="1"/>
  <c r="F367" i="3" l="1"/>
  <c r="G367" i="3"/>
  <c r="K367" i="3"/>
  <c r="AE367" i="3" s="1"/>
  <c r="I367" i="3" l="1"/>
  <c r="J367" i="3"/>
  <c r="AD367" i="3" s="1"/>
  <c r="M367" i="3"/>
  <c r="N367" i="3" s="1"/>
  <c r="V367" i="3"/>
  <c r="A368" i="3"/>
  <c r="B368" i="3" s="1"/>
  <c r="L367" i="3" l="1"/>
  <c r="W367" i="3"/>
  <c r="Z368" i="3"/>
  <c r="P368" i="3"/>
  <c r="Q368" i="3" s="1"/>
  <c r="R368" i="3" s="1"/>
  <c r="S368" i="3" s="1"/>
  <c r="AC368" i="3"/>
  <c r="AA368" i="3"/>
  <c r="T368" i="3" l="1"/>
  <c r="AH368" i="3" s="1"/>
  <c r="U367" i="3"/>
  <c r="Y366" i="3"/>
  <c r="E368" i="3" l="1"/>
  <c r="H368" i="3" s="1"/>
  <c r="K368" i="3" s="1"/>
  <c r="AE368" i="3" s="1"/>
  <c r="D368" i="3"/>
  <c r="AG368" i="3"/>
  <c r="V368" i="3" l="1"/>
  <c r="A369" i="3"/>
  <c r="B369" i="3" s="1"/>
  <c r="F368" i="3"/>
  <c r="G368" i="3"/>
  <c r="I368" i="3" l="1"/>
  <c r="W368" i="3" s="1"/>
  <c r="J368" i="3"/>
  <c r="AD368" i="3" s="1"/>
  <c r="M368" i="3"/>
  <c r="N368" i="3" s="1"/>
  <c r="AD369" i="3"/>
  <c r="Z369" i="3"/>
  <c r="AC369" i="3"/>
  <c r="P369" i="3"/>
  <c r="Q369" i="3" s="1"/>
  <c r="R369" i="3" s="1"/>
  <c r="S369" i="3" s="1"/>
  <c r="AA369" i="3"/>
  <c r="T369" i="3" l="1"/>
  <c r="L368" i="3"/>
  <c r="AH369" i="3" l="1"/>
  <c r="AG369" i="3"/>
  <c r="U368" i="3"/>
  <c r="E369" i="3" s="1"/>
  <c r="H369" i="3" s="1"/>
  <c r="Y367" i="3"/>
  <c r="D369" i="3" l="1"/>
  <c r="F369" i="3" s="1"/>
  <c r="K369" i="3"/>
  <c r="AE369" i="3" s="1"/>
  <c r="G369" i="3" l="1"/>
  <c r="M369" i="3" s="1"/>
  <c r="N369" i="3" s="1"/>
  <c r="V369" i="3"/>
  <c r="A370" i="3"/>
  <c r="B370" i="3" s="1"/>
  <c r="J369" i="3" l="1"/>
  <c r="L369" i="3" s="1"/>
  <c r="I369" i="3"/>
  <c r="W369" i="3" s="1"/>
  <c r="AD370" i="3"/>
  <c r="AA370" i="3"/>
  <c r="P370" i="3"/>
  <c r="Q370" i="3" s="1"/>
  <c r="R370" i="3" s="1"/>
  <c r="S370" i="3" s="1"/>
  <c r="AC370" i="3"/>
  <c r="Z370" i="3"/>
  <c r="U369" i="3" l="1"/>
  <c r="Y368" i="3"/>
  <c r="T370" i="3"/>
  <c r="AG370" i="3" s="1"/>
  <c r="E370" i="3" l="1"/>
  <c r="H370" i="3" s="1"/>
  <c r="K370" i="3" s="1"/>
  <c r="AE370" i="3" s="1"/>
  <c r="AH370" i="3"/>
  <c r="D370" i="3"/>
  <c r="F370" i="3" l="1"/>
  <c r="G370" i="3"/>
  <c r="M370" i="3" s="1"/>
  <c r="N370" i="3" s="1"/>
  <c r="V370" i="3"/>
  <c r="A371" i="3"/>
  <c r="B371" i="3" s="1"/>
  <c r="I370" i="3" l="1"/>
  <c r="W370" i="3" s="1"/>
  <c r="J370" i="3"/>
  <c r="L370" i="3" s="1"/>
  <c r="AD371" i="3"/>
  <c r="AC371" i="3"/>
  <c r="P371" i="3"/>
  <c r="Q371" i="3" s="1"/>
  <c r="R371" i="3" s="1"/>
  <c r="S371" i="3" s="1"/>
  <c r="AA371" i="3"/>
  <c r="Z371" i="3"/>
  <c r="T371" i="3" l="1"/>
  <c r="AG371" i="3" s="1"/>
  <c r="U370" i="3"/>
  <c r="Y369" i="3"/>
  <c r="E371" i="3" l="1"/>
  <c r="H371" i="3" s="1"/>
  <c r="K371" i="3" s="1"/>
  <c r="AE371" i="3" s="1"/>
  <c r="D371" i="3"/>
  <c r="AH371" i="3"/>
  <c r="V371" i="3" l="1"/>
  <c r="A372" i="3"/>
  <c r="B372" i="3" s="1"/>
  <c r="F371" i="3"/>
  <c r="G371" i="3"/>
  <c r="I371" i="3" l="1"/>
  <c r="W371" i="3" s="1"/>
  <c r="J371" i="3"/>
  <c r="M371" i="3"/>
  <c r="N371" i="3" s="1"/>
  <c r="P372" i="3"/>
  <c r="Q372" i="3" s="1"/>
  <c r="R372" i="3" s="1"/>
  <c r="S372" i="3" s="1"/>
  <c r="AA372" i="3"/>
  <c r="AC372" i="3"/>
  <c r="Z372" i="3"/>
  <c r="AD372" i="3"/>
  <c r="L371" i="3" l="1"/>
  <c r="T372" i="3"/>
  <c r="U371" i="3" l="1"/>
  <c r="E372" i="3" s="1"/>
  <c r="H372" i="3" s="1"/>
  <c r="AG372" i="3"/>
  <c r="AH372" i="3"/>
  <c r="Y370" i="3"/>
  <c r="D372" i="3" l="1"/>
  <c r="F372" i="3" s="1"/>
  <c r="K372" i="3"/>
  <c r="AE372" i="3" s="1"/>
  <c r="G372" i="3" l="1"/>
  <c r="M372" i="3" s="1"/>
  <c r="N372" i="3" s="1"/>
  <c r="V372" i="3"/>
  <c r="A373" i="3"/>
  <c r="B373" i="3" s="1"/>
  <c r="J372" i="3" l="1"/>
  <c r="L372" i="3" s="1"/>
  <c r="I372" i="3"/>
  <c r="W372" i="3" s="1"/>
  <c r="AD373" i="3"/>
  <c r="Z373" i="3"/>
  <c r="AC373" i="3"/>
  <c r="P373" i="3"/>
  <c r="Q373" i="3" s="1"/>
  <c r="R373" i="3" s="1"/>
  <c r="S373" i="3" s="1"/>
  <c r="AA373" i="3"/>
  <c r="U372" i="3" l="1"/>
  <c r="Y371" i="3"/>
  <c r="T373" i="3"/>
  <c r="AH373" i="3" s="1"/>
  <c r="D373" i="3" l="1"/>
  <c r="G373" i="3" s="1"/>
  <c r="E373" i="3"/>
  <c r="H373" i="3" s="1"/>
  <c r="AG373" i="3"/>
  <c r="F373" i="3" l="1"/>
  <c r="I373" i="3"/>
  <c r="J373" i="3"/>
  <c r="M373" i="3"/>
  <c r="N373" i="3" s="1"/>
  <c r="K373" i="3"/>
  <c r="AE373" i="3" s="1"/>
  <c r="V373" i="3" l="1"/>
  <c r="W373" i="3" s="1"/>
  <c r="A374" i="3"/>
  <c r="B374" i="3" s="1"/>
  <c r="L373" i="3"/>
  <c r="U373" i="3" l="1"/>
  <c r="Y372" i="3"/>
  <c r="AA374" i="3"/>
  <c r="AC374" i="3"/>
  <c r="Z374" i="3"/>
  <c r="P374" i="3"/>
  <c r="Q374" i="3" s="1"/>
  <c r="R374" i="3" s="1"/>
  <c r="S374" i="3" s="1"/>
  <c r="T374" i="3" l="1"/>
  <c r="AH374" i="3" s="1"/>
  <c r="AG374" i="3" l="1"/>
  <c r="E374" i="3"/>
  <c r="H374" i="3" s="1"/>
  <c r="K374" i="3" s="1"/>
  <c r="AE374" i="3" s="1"/>
  <c r="D374" i="3"/>
  <c r="F374" i="3" l="1"/>
  <c r="G374" i="3"/>
  <c r="I374" i="3" s="1"/>
  <c r="V374" i="3"/>
  <c r="A375" i="3"/>
  <c r="B375" i="3" s="1"/>
  <c r="J374" i="3" l="1"/>
  <c r="M374" i="3"/>
  <c r="N374" i="3" s="1"/>
  <c r="W374" i="3"/>
  <c r="P375" i="3"/>
  <c r="Q375" i="3" s="1"/>
  <c r="R375" i="3" s="1"/>
  <c r="S375" i="3" s="1"/>
  <c r="Z375" i="3"/>
  <c r="AC375" i="3"/>
  <c r="AA375" i="3"/>
  <c r="AD375" i="3"/>
  <c r="L374" i="3" l="1"/>
  <c r="Y373" i="3" s="1"/>
  <c r="AD374" i="3"/>
  <c r="T375" i="3"/>
  <c r="U374" i="3" l="1"/>
  <c r="E375" i="3" s="1"/>
  <c r="H375" i="3" s="1"/>
  <c r="K375" i="3" s="1"/>
  <c r="AE375" i="3" s="1"/>
  <c r="AG375" i="3"/>
  <c r="AH375" i="3"/>
  <c r="D375" i="3" l="1"/>
  <c r="G375" i="3" s="1"/>
  <c r="I375" i="3" s="1"/>
  <c r="V375" i="3"/>
  <c r="A376" i="3"/>
  <c r="B376" i="3" s="1"/>
  <c r="M375" i="3" l="1"/>
  <c r="N375" i="3" s="1"/>
  <c r="F375" i="3"/>
  <c r="J375" i="3"/>
  <c r="L375" i="3" s="1"/>
  <c r="W375" i="3"/>
  <c r="AA376" i="3"/>
  <c r="P376" i="3"/>
  <c r="Q376" i="3" s="1"/>
  <c r="R376" i="3" s="1"/>
  <c r="S376" i="3" s="1"/>
  <c r="AC376" i="3"/>
  <c r="Z376" i="3"/>
  <c r="AD376" i="3"/>
  <c r="T376" i="3" l="1"/>
  <c r="U375" i="3"/>
  <c r="Y374" i="3"/>
  <c r="D376" i="3" l="1"/>
  <c r="G376" i="3" s="1"/>
  <c r="AG376" i="3"/>
  <c r="AH376" i="3"/>
  <c r="E376" i="3"/>
  <c r="H376" i="3" s="1"/>
  <c r="F376" i="3" l="1"/>
  <c r="I376" i="3"/>
  <c r="J376" i="3"/>
  <c r="M376" i="3"/>
  <c r="N376" i="3" s="1"/>
  <c r="K376" i="3"/>
  <c r="AE376" i="3" s="1"/>
  <c r="V376" i="3" l="1"/>
  <c r="W376" i="3" s="1"/>
  <c r="A377" i="3"/>
  <c r="B377" i="3" s="1"/>
  <c r="L376" i="3"/>
  <c r="AC377" i="3" l="1"/>
  <c r="AA377" i="3"/>
  <c r="P377" i="3"/>
  <c r="Q377" i="3" s="1"/>
  <c r="R377" i="3" s="1"/>
  <c r="S377" i="3" s="1"/>
  <c r="Z377" i="3"/>
  <c r="U376" i="3"/>
  <c r="Y375" i="3"/>
  <c r="T377" i="3" l="1"/>
  <c r="AH377" i="3" s="1"/>
  <c r="E377" i="3" l="1"/>
  <c r="H377" i="3" s="1"/>
  <c r="K377" i="3" s="1"/>
  <c r="AE377" i="3" s="1"/>
  <c r="D377" i="3"/>
  <c r="AG377" i="3"/>
  <c r="F377" i="3" l="1"/>
  <c r="G377" i="3"/>
  <c r="M377" i="3" s="1"/>
  <c r="N377" i="3" s="1"/>
  <c r="V377" i="3"/>
  <c r="A378" i="3"/>
  <c r="B378" i="3" s="1"/>
  <c r="I377" i="3" l="1"/>
  <c r="W377" i="3" s="1"/>
  <c r="J377" i="3"/>
  <c r="Z378" i="3"/>
  <c r="AC378" i="3"/>
  <c r="P378" i="3"/>
  <c r="Q378" i="3" s="1"/>
  <c r="R378" i="3" s="1"/>
  <c r="S378" i="3" s="1"/>
  <c r="AA378" i="3"/>
  <c r="L377" i="3" l="1"/>
  <c r="U377" i="3" s="1"/>
  <c r="AD377" i="3"/>
  <c r="T378" i="3"/>
  <c r="Y376" i="3" l="1"/>
  <c r="D378" i="3"/>
  <c r="G378" i="3" s="1"/>
  <c r="AG378" i="3"/>
  <c r="E378" i="3"/>
  <c r="H378" i="3" s="1"/>
  <c r="K378" i="3" s="1"/>
  <c r="AE378" i="3" s="1"/>
  <c r="AH378" i="3"/>
  <c r="F378" i="3" l="1"/>
  <c r="V378" i="3"/>
  <c r="A379" i="3"/>
  <c r="B379" i="3" s="1"/>
  <c r="I378" i="3"/>
  <c r="J378" i="3"/>
  <c r="AD378" i="3" s="1"/>
  <c r="M378" i="3"/>
  <c r="N378" i="3" s="1"/>
  <c r="W378" i="3" l="1"/>
  <c r="L378" i="3"/>
  <c r="Z379" i="3"/>
  <c r="AA379" i="3"/>
  <c r="AD379" i="3"/>
  <c r="P379" i="3"/>
  <c r="Q379" i="3" s="1"/>
  <c r="R379" i="3" s="1"/>
  <c r="S379" i="3" s="1"/>
  <c r="AC379" i="3"/>
  <c r="U378" i="3" l="1"/>
  <c r="Y377" i="3"/>
  <c r="T379" i="3"/>
  <c r="AH379" i="3" s="1"/>
  <c r="E379" i="3" l="1"/>
  <c r="H379" i="3" s="1"/>
  <c r="K379" i="3" s="1"/>
  <c r="AE379" i="3" s="1"/>
  <c r="D379" i="3"/>
  <c r="G379" i="3" s="1"/>
  <c r="AG379" i="3"/>
  <c r="F379" i="3" l="1"/>
  <c r="I379" i="3"/>
  <c r="J379" i="3"/>
  <c r="M379" i="3"/>
  <c r="N379" i="3" s="1"/>
  <c r="V379" i="3"/>
  <c r="A380" i="3"/>
  <c r="B380" i="3" s="1"/>
  <c r="W379" i="3" l="1"/>
  <c r="L379" i="3"/>
  <c r="Z380" i="3"/>
  <c r="P380" i="3"/>
  <c r="Q380" i="3" s="1"/>
  <c r="R380" i="3" s="1"/>
  <c r="S380" i="3" s="1"/>
  <c r="AD380" i="3"/>
  <c r="AC380" i="3"/>
  <c r="AA380" i="3"/>
  <c r="T380" i="3" l="1"/>
  <c r="AH380" i="3" s="1"/>
  <c r="U379" i="3"/>
  <c r="Y378" i="3"/>
  <c r="AG380" i="3" l="1"/>
  <c r="E380" i="3"/>
  <c r="H380" i="3" s="1"/>
  <c r="K380" i="3" s="1"/>
  <c r="AE380" i="3" s="1"/>
  <c r="D380" i="3"/>
  <c r="V380" i="3" l="1"/>
  <c r="A381" i="3"/>
  <c r="B381" i="3" s="1"/>
  <c r="F380" i="3"/>
  <c r="G380" i="3"/>
  <c r="I380" i="3" l="1"/>
  <c r="W380" i="3" s="1"/>
  <c r="J380" i="3"/>
  <c r="M380" i="3"/>
  <c r="N380" i="3" s="1"/>
  <c r="Z381" i="3"/>
  <c r="AA381" i="3"/>
  <c r="AC381" i="3"/>
  <c r="P381" i="3"/>
  <c r="Q381" i="3" s="1"/>
  <c r="R381" i="3" s="1"/>
  <c r="S381" i="3" s="1"/>
  <c r="AD381" i="3"/>
  <c r="T381" i="3" l="1"/>
  <c r="L380" i="3"/>
  <c r="U380" i="3" l="1"/>
  <c r="E381" i="3" s="1"/>
  <c r="H381" i="3" s="1"/>
  <c r="AH381" i="3"/>
  <c r="AG381" i="3"/>
  <c r="Y379" i="3"/>
  <c r="K381" i="3" l="1"/>
  <c r="AE381" i="3" s="1"/>
  <c r="D381" i="3"/>
  <c r="V381" i="3" l="1"/>
  <c r="A382" i="3"/>
  <c r="B382" i="3" s="1"/>
  <c r="F381" i="3"/>
  <c r="G381" i="3"/>
  <c r="I381" i="3" l="1"/>
  <c r="W381" i="3" s="1"/>
  <c r="J381" i="3"/>
  <c r="M381" i="3"/>
  <c r="N381" i="3" s="1"/>
  <c r="AD382" i="3"/>
  <c r="AA382" i="3"/>
  <c r="Z382" i="3"/>
  <c r="P382" i="3"/>
  <c r="Q382" i="3" s="1"/>
  <c r="R382" i="3" s="1"/>
  <c r="S382" i="3" s="1"/>
  <c r="AC382" i="3"/>
  <c r="L381" i="3" l="1"/>
  <c r="T382" i="3"/>
  <c r="U381" i="3" l="1"/>
  <c r="E382" i="3" s="1"/>
  <c r="H382" i="3" s="1"/>
  <c r="AH382" i="3"/>
  <c r="AG382" i="3"/>
  <c r="Y380" i="3"/>
  <c r="D382" i="3" l="1"/>
  <c r="G382" i="3" s="1"/>
  <c r="K382" i="3"/>
  <c r="AE382" i="3" s="1"/>
  <c r="F382" i="3" l="1"/>
  <c r="I382" i="3"/>
  <c r="J382" i="3"/>
  <c r="M382" i="3"/>
  <c r="N382" i="3" s="1"/>
  <c r="V382" i="3"/>
  <c r="A383" i="3"/>
  <c r="B383" i="3" s="1"/>
  <c r="W382" i="3" l="1"/>
  <c r="L382" i="3"/>
  <c r="AD383" i="3"/>
  <c r="AA383" i="3"/>
  <c r="P383" i="3"/>
  <c r="Q383" i="3" s="1"/>
  <c r="R383" i="3" s="1"/>
  <c r="S383" i="3" s="1"/>
  <c r="Z383" i="3"/>
  <c r="AC383" i="3"/>
  <c r="U382" i="3" l="1"/>
  <c r="Y381" i="3"/>
  <c r="T383" i="3"/>
  <c r="E383" i="3" l="1"/>
  <c r="H383" i="3" s="1"/>
  <c r="K383" i="3" s="1"/>
  <c r="AE383" i="3" s="1"/>
  <c r="D383" i="3"/>
  <c r="AH383" i="3"/>
  <c r="AG383" i="3"/>
  <c r="V383" i="3" l="1"/>
  <c r="A384" i="3"/>
  <c r="B384" i="3" s="1"/>
  <c r="F383" i="3"/>
  <c r="G383" i="3"/>
  <c r="I383" i="3" l="1"/>
  <c r="W383" i="3" s="1"/>
  <c r="J383" i="3"/>
  <c r="M383" i="3"/>
  <c r="N383" i="3" s="1"/>
  <c r="P384" i="3"/>
  <c r="Q384" i="3" s="1"/>
  <c r="R384" i="3" s="1"/>
  <c r="S384" i="3" s="1"/>
  <c r="Z384" i="3"/>
  <c r="AC384" i="3"/>
  <c r="AA384" i="3"/>
  <c r="T384" i="3" l="1"/>
  <c r="L383" i="3"/>
  <c r="AG384" i="3" l="1"/>
  <c r="AH384" i="3"/>
  <c r="U383" i="3"/>
  <c r="D384" i="3" s="1"/>
  <c r="Y382" i="3"/>
  <c r="E384" i="3" l="1"/>
  <c r="H384" i="3" s="1"/>
  <c r="K384" i="3" s="1"/>
  <c r="AE384" i="3" s="1"/>
  <c r="G384" i="3"/>
  <c r="F384" i="3" l="1"/>
  <c r="I384" i="3"/>
  <c r="J384" i="3"/>
  <c r="AD384" i="3" s="1"/>
  <c r="M384" i="3"/>
  <c r="N384" i="3" s="1"/>
  <c r="V384" i="3"/>
  <c r="A385" i="3"/>
  <c r="B385" i="3" s="1"/>
  <c r="W384" i="3" l="1"/>
  <c r="L384" i="3"/>
  <c r="P385" i="3"/>
  <c r="Q385" i="3" s="1"/>
  <c r="R385" i="3" s="1"/>
  <c r="S385" i="3" s="1"/>
  <c r="AD385" i="3"/>
  <c r="Z385" i="3"/>
  <c r="AC385" i="3"/>
  <c r="AA385" i="3"/>
  <c r="U384" i="3" l="1"/>
  <c r="Y383" i="3"/>
  <c r="T385" i="3"/>
  <c r="AG385" i="3" s="1"/>
  <c r="D385" i="3" l="1"/>
  <c r="G385" i="3" s="1"/>
  <c r="E385" i="3"/>
  <c r="H385" i="3" s="1"/>
  <c r="K385" i="3" s="1"/>
  <c r="AE385" i="3" s="1"/>
  <c r="AH385" i="3"/>
  <c r="F385" i="3" l="1"/>
  <c r="V385" i="3"/>
  <c r="A386" i="3"/>
  <c r="B386" i="3" s="1"/>
  <c r="I385" i="3"/>
  <c r="J385" i="3"/>
  <c r="M385" i="3"/>
  <c r="N385" i="3" s="1"/>
  <c r="L385" i="3" l="1"/>
  <c r="W385" i="3"/>
  <c r="AC386" i="3"/>
  <c r="P386" i="3"/>
  <c r="Q386" i="3" s="1"/>
  <c r="R386" i="3" s="1"/>
  <c r="S386" i="3" s="1"/>
  <c r="AA386" i="3"/>
  <c r="AD386" i="3"/>
  <c r="Z386" i="3"/>
  <c r="T386" i="3" l="1"/>
  <c r="AH386" i="3" s="1"/>
  <c r="U385" i="3"/>
  <c r="Y384" i="3"/>
  <c r="D386" i="3" l="1"/>
  <c r="E386" i="3"/>
  <c r="H386" i="3" s="1"/>
  <c r="AG386" i="3"/>
  <c r="F386" i="3" l="1"/>
  <c r="G386" i="3"/>
  <c r="K386" i="3"/>
  <c r="AE386" i="3" s="1"/>
  <c r="I386" i="3" l="1"/>
  <c r="J386" i="3"/>
  <c r="M386" i="3"/>
  <c r="N386" i="3" s="1"/>
  <c r="V386" i="3"/>
  <c r="A387" i="3"/>
  <c r="B387" i="3" s="1"/>
  <c r="W386" i="3" l="1"/>
  <c r="L386" i="3"/>
  <c r="AA387" i="3"/>
  <c r="P387" i="3"/>
  <c r="Q387" i="3" s="1"/>
  <c r="R387" i="3" s="1"/>
  <c r="S387" i="3" s="1"/>
  <c r="AC387" i="3"/>
  <c r="Z387" i="3"/>
  <c r="U386" i="3" l="1"/>
  <c r="Y385" i="3"/>
  <c r="T387" i="3"/>
  <c r="AG387" i="3" s="1"/>
  <c r="AH387" i="3" l="1"/>
  <c r="D387" i="3"/>
  <c r="G387" i="3" s="1"/>
  <c r="E387" i="3"/>
  <c r="H387" i="3" s="1"/>
  <c r="F387" i="3" l="1"/>
  <c r="I387" i="3"/>
  <c r="J387" i="3"/>
  <c r="AD387" i="3" s="1"/>
  <c r="M387" i="3"/>
  <c r="N387" i="3" s="1"/>
  <c r="K387" i="3"/>
  <c r="AE387" i="3" s="1"/>
  <c r="V387" i="3" l="1"/>
  <c r="W387" i="3" s="1"/>
  <c r="A388" i="3"/>
  <c r="B388" i="3" s="1"/>
  <c r="L387" i="3"/>
  <c r="U387" i="3" l="1"/>
  <c r="Y386" i="3"/>
  <c r="AA388" i="3"/>
  <c r="Z388" i="3"/>
  <c r="P388" i="3"/>
  <c r="Q388" i="3" s="1"/>
  <c r="R388" i="3" s="1"/>
  <c r="S388" i="3" s="1"/>
  <c r="AC388" i="3"/>
  <c r="T388" i="3" l="1"/>
  <c r="E388" i="3" s="1"/>
  <c r="H388" i="3" s="1"/>
  <c r="K388" i="3" l="1"/>
  <c r="AE388" i="3" s="1"/>
  <c r="D388" i="3"/>
  <c r="AG388" i="3"/>
  <c r="AH388" i="3"/>
  <c r="V388" i="3" l="1"/>
  <c r="A389" i="3"/>
  <c r="B389" i="3" s="1"/>
  <c r="F388" i="3"/>
  <c r="G388" i="3"/>
  <c r="I388" i="3" l="1"/>
  <c r="W388" i="3" s="1"/>
  <c r="J388" i="3"/>
  <c r="AD388" i="3" s="1"/>
  <c r="M388" i="3"/>
  <c r="N388" i="3" s="1"/>
  <c r="P389" i="3"/>
  <c r="Q389" i="3" s="1"/>
  <c r="R389" i="3" s="1"/>
  <c r="S389" i="3" s="1"/>
  <c r="AA389" i="3"/>
  <c r="AD389" i="3"/>
  <c r="AC389" i="3"/>
  <c r="Z389" i="3"/>
  <c r="T389" i="3" l="1"/>
  <c r="L388" i="3"/>
  <c r="U388" i="3" l="1"/>
  <c r="E389" i="3" s="1"/>
  <c r="H389" i="3" s="1"/>
  <c r="AH389" i="3"/>
  <c r="AG389" i="3"/>
  <c r="Y387" i="3"/>
  <c r="D389" i="3" l="1"/>
  <c r="G389" i="3" s="1"/>
  <c r="K389" i="3"/>
  <c r="AE389" i="3" s="1"/>
  <c r="F389" i="3" l="1"/>
  <c r="V389" i="3"/>
  <c r="A390" i="3"/>
  <c r="B390" i="3" s="1"/>
  <c r="I389" i="3"/>
  <c r="J389" i="3"/>
  <c r="M389" i="3"/>
  <c r="N389" i="3" s="1"/>
  <c r="W389" i="3" l="1"/>
  <c r="L389" i="3"/>
  <c r="P390" i="3"/>
  <c r="Q390" i="3" s="1"/>
  <c r="R390" i="3" s="1"/>
  <c r="S390" i="3" s="1"/>
  <c r="AC390" i="3"/>
  <c r="AA390" i="3"/>
  <c r="Z390" i="3"/>
  <c r="AD390" i="3"/>
  <c r="U389" i="3" l="1"/>
  <c r="Y388" i="3"/>
  <c r="T390" i="3"/>
  <c r="AG390" i="3" s="1"/>
  <c r="D390" i="3" l="1"/>
  <c r="AH390" i="3"/>
  <c r="E390" i="3"/>
  <c r="H390" i="3" s="1"/>
  <c r="F390" i="3" l="1"/>
  <c r="G390" i="3"/>
  <c r="K390" i="3"/>
  <c r="AE390" i="3" s="1"/>
  <c r="I390" i="3" l="1"/>
  <c r="J390" i="3"/>
  <c r="M390" i="3"/>
  <c r="N390" i="3" s="1"/>
  <c r="V390" i="3"/>
  <c r="A391" i="3"/>
  <c r="B391" i="3" s="1"/>
  <c r="W390" i="3" l="1"/>
  <c r="L390" i="3"/>
  <c r="AC391" i="3"/>
  <c r="AA391" i="3"/>
  <c r="AD391" i="3"/>
  <c r="Z391" i="3"/>
  <c r="P391" i="3"/>
  <c r="Q391" i="3" s="1"/>
  <c r="R391" i="3" s="1"/>
  <c r="S391" i="3" s="1"/>
  <c r="U390" i="3" l="1"/>
  <c r="Y389" i="3"/>
  <c r="T391" i="3"/>
  <c r="E391" i="3" l="1"/>
  <c r="H391" i="3" s="1"/>
  <c r="K391" i="3" s="1"/>
  <c r="AE391" i="3" s="1"/>
  <c r="AG391" i="3"/>
  <c r="AH391" i="3"/>
  <c r="D391" i="3"/>
  <c r="V391" i="3" l="1"/>
  <c r="A392" i="3"/>
  <c r="B392" i="3" s="1"/>
  <c r="F391" i="3"/>
  <c r="G391" i="3"/>
  <c r="I391" i="3" l="1"/>
  <c r="W391" i="3" s="1"/>
  <c r="J391" i="3"/>
  <c r="M391" i="3"/>
  <c r="N391" i="3" s="1"/>
  <c r="AD392" i="3"/>
  <c r="Z392" i="3"/>
  <c r="P392" i="3"/>
  <c r="Q392" i="3" s="1"/>
  <c r="R392" i="3" s="1"/>
  <c r="S392" i="3" s="1"/>
  <c r="AA392" i="3"/>
  <c r="AC392" i="3"/>
  <c r="T392" i="3" l="1"/>
  <c r="L391" i="3"/>
  <c r="U391" i="3" l="1"/>
  <c r="D392" i="3" s="1"/>
  <c r="AH392" i="3"/>
  <c r="AG392" i="3"/>
  <c r="Y390" i="3"/>
  <c r="G392" i="3" l="1"/>
  <c r="E392" i="3"/>
  <c r="H392" i="3" s="1"/>
  <c r="F392" i="3" l="1"/>
  <c r="I392" i="3"/>
  <c r="J392" i="3"/>
  <c r="M392" i="3"/>
  <c r="N392" i="3" s="1"/>
  <c r="K392" i="3"/>
  <c r="AE392" i="3" s="1"/>
  <c r="V392" i="3" l="1"/>
  <c r="W392" i="3" s="1"/>
  <c r="A393" i="3"/>
  <c r="B393" i="3" s="1"/>
  <c r="L392" i="3"/>
  <c r="U392" i="3" l="1"/>
  <c r="Y391" i="3"/>
  <c r="AD393" i="3"/>
  <c r="Z393" i="3"/>
  <c r="AA393" i="3"/>
  <c r="P393" i="3"/>
  <c r="Q393" i="3" s="1"/>
  <c r="R393" i="3" s="1"/>
  <c r="S393" i="3" s="1"/>
  <c r="AC393" i="3"/>
  <c r="T393" i="3" l="1"/>
  <c r="AG393" i="3" s="1"/>
  <c r="E393" i="3" l="1"/>
  <c r="H393" i="3" s="1"/>
  <c r="K393" i="3" s="1"/>
  <c r="AE393" i="3" s="1"/>
  <c r="D393" i="3"/>
  <c r="AH393" i="3"/>
  <c r="V393" i="3" l="1"/>
  <c r="A394" i="3"/>
  <c r="B394" i="3" s="1"/>
  <c r="F393" i="3"/>
  <c r="G393" i="3"/>
  <c r="I393" i="3" l="1"/>
  <c r="W393" i="3" s="1"/>
  <c r="J393" i="3"/>
  <c r="M393" i="3"/>
  <c r="N393" i="3" s="1"/>
  <c r="P394" i="3"/>
  <c r="Q394" i="3" s="1"/>
  <c r="R394" i="3" s="1"/>
  <c r="S394" i="3" s="1"/>
  <c r="AC394" i="3"/>
  <c r="Z394" i="3"/>
  <c r="AA394" i="3"/>
  <c r="T394" i="3" l="1"/>
  <c r="L393" i="3"/>
  <c r="AH394" i="3" l="1"/>
  <c r="AG394" i="3"/>
  <c r="U393" i="3"/>
  <c r="D394" i="3" s="1"/>
  <c r="Y392" i="3"/>
  <c r="G394" i="3" l="1"/>
  <c r="E394" i="3"/>
  <c r="H394" i="3" s="1"/>
  <c r="F394" i="3" l="1"/>
  <c r="I394" i="3"/>
  <c r="J394" i="3"/>
  <c r="AD394" i="3" s="1"/>
  <c r="M394" i="3"/>
  <c r="N394" i="3" s="1"/>
  <c r="K394" i="3"/>
  <c r="AE394" i="3" s="1"/>
  <c r="L394" i="3" l="1"/>
  <c r="V394" i="3"/>
  <c r="W394" i="3" s="1"/>
  <c r="A395" i="3"/>
  <c r="B395" i="3" s="1"/>
  <c r="U394" i="3" l="1"/>
  <c r="Y393" i="3"/>
  <c r="AD395" i="3"/>
  <c r="AA395" i="3"/>
  <c r="P395" i="3"/>
  <c r="Q395" i="3" s="1"/>
  <c r="R395" i="3" s="1"/>
  <c r="S395" i="3" s="1"/>
  <c r="Z395" i="3"/>
  <c r="AC395" i="3"/>
  <c r="T395" i="3" l="1"/>
  <c r="AG395" i="3" s="1"/>
  <c r="AH395" i="3" l="1"/>
  <c r="E395" i="3"/>
  <c r="H395" i="3" s="1"/>
  <c r="K395" i="3" s="1"/>
  <c r="AE395" i="3" s="1"/>
  <c r="D395" i="3"/>
  <c r="G395" i="3" s="1"/>
  <c r="F395" i="3" l="1"/>
  <c r="V395" i="3"/>
  <c r="A396" i="3"/>
  <c r="B396" i="3" s="1"/>
  <c r="I395" i="3"/>
  <c r="J395" i="3"/>
  <c r="M395" i="3"/>
  <c r="N395" i="3" s="1"/>
  <c r="W395" i="3" l="1"/>
  <c r="L395" i="3"/>
  <c r="AA396" i="3"/>
  <c r="Z396" i="3"/>
  <c r="P396" i="3"/>
  <c r="Q396" i="3" s="1"/>
  <c r="R396" i="3" s="1"/>
  <c r="S396" i="3" s="1"/>
  <c r="AD396" i="3"/>
  <c r="AC396" i="3"/>
  <c r="U395" i="3" l="1"/>
  <c r="Y394" i="3"/>
  <c r="T396" i="3"/>
  <c r="E396" i="3" l="1"/>
  <c r="H396" i="3" s="1"/>
  <c r="K396" i="3" s="1"/>
  <c r="AE396" i="3" s="1"/>
  <c r="AG396" i="3"/>
  <c r="AH396" i="3"/>
  <c r="D396" i="3"/>
  <c r="F396" i="3" l="1"/>
  <c r="G396" i="3"/>
  <c r="V396" i="3"/>
  <c r="A397" i="3"/>
  <c r="B397" i="3" s="1"/>
  <c r="P397" i="3" l="1"/>
  <c r="Q397" i="3" s="1"/>
  <c r="R397" i="3" s="1"/>
  <c r="S397" i="3" s="1"/>
  <c r="AC397" i="3"/>
  <c r="AA397" i="3"/>
  <c r="Z397" i="3"/>
  <c r="I396" i="3"/>
  <c r="W396" i="3" s="1"/>
  <c r="J396" i="3"/>
  <c r="M396" i="3"/>
  <c r="N396" i="3" s="1"/>
  <c r="T397" i="3" l="1"/>
  <c r="L396" i="3"/>
  <c r="U396" i="3" l="1"/>
  <c r="E397" i="3" s="1"/>
  <c r="H397" i="3" s="1"/>
  <c r="AG397" i="3"/>
  <c r="AH397" i="3"/>
  <c r="Y395" i="3"/>
  <c r="D397" i="3" l="1"/>
  <c r="F397" i="3" s="1"/>
  <c r="K397" i="3"/>
  <c r="AE397" i="3" s="1"/>
  <c r="G397" i="3" l="1"/>
  <c r="M397" i="3" s="1"/>
  <c r="N397" i="3" s="1"/>
  <c r="V397" i="3"/>
  <c r="A398" i="3"/>
  <c r="B398" i="3" s="1"/>
  <c r="I397" i="3" l="1"/>
  <c r="W397" i="3" s="1"/>
  <c r="J397" i="3"/>
  <c r="AC398" i="3"/>
  <c r="AA398" i="3"/>
  <c r="P398" i="3"/>
  <c r="Q398" i="3" s="1"/>
  <c r="R398" i="3" s="1"/>
  <c r="S398" i="3" s="1"/>
  <c r="Z398" i="3"/>
  <c r="L397" i="3" l="1"/>
  <c r="U397" i="3" s="1"/>
  <c r="AD397" i="3"/>
  <c r="T398" i="3"/>
  <c r="Y396" i="3" l="1"/>
  <c r="E398" i="3"/>
  <c r="H398" i="3" s="1"/>
  <c r="K398" i="3" s="1"/>
  <c r="AE398" i="3" s="1"/>
  <c r="D398" i="3"/>
  <c r="G398" i="3" s="1"/>
  <c r="AH398" i="3"/>
  <c r="AG398" i="3"/>
  <c r="F398" i="3" l="1"/>
  <c r="V398" i="3"/>
  <c r="A399" i="3"/>
  <c r="B399" i="3" s="1"/>
  <c r="I398" i="3"/>
  <c r="J398" i="3"/>
  <c r="AD398" i="3" s="1"/>
  <c r="M398" i="3"/>
  <c r="N398" i="3" s="1"/>
  <c r="L398" i="3" l="1"/>
  <c r="W398" i="3"/>
  <c r="Z399" i="3"/>
  <c r="P399" i="3"/>
  <c r="Q399" i="3" s="1"/>
  <c r="R399" i="3" s="1"/>
  <c r="S399" i="3" s="1"/>
  <c r="AD399" i="3"/>
  <c r="AA399" i="3"/>
  <c r="AC399" i="3"/>
  <c r="U398" i="3" l="1"/>
  <c r="Y397" i="3"/>
  <c r="T399" i="3"/>
  <c r="AH399" i="3" s="1"/>
  <c r="D399" i="3" l="1"/>
  <c r="G399" i="3" s="1"/>
  <c r="AG399" i="3"/>
  <c r="E399" i="3"/>
  <c r="H399" i="3" s="1"/>
  <c r="F399" i="3" l="1"/>
  <c r="I399" i="3"/>
  <c r="J399" i="3"/>
  <c r="M399" i="3"/>
  <c r="N399" i="3" s="1"/>
  <c r="K399" i="3"/>
  <c r="AE399" i="3" s="1"/>
  <c r="V399" i="3" l="1"/>
  <c r="W399" i="3" s="1"/>
  <c r="A400" i="3"/>
  <c r="B400" i="3" s="1"/>
  <c r="L399" i="3"/>
  <c r="U399" i="3" l="1"/>
  <c r="Y398" i="3"/>
  <c r="AD400" i="3"/>
  <c r="AC400" i="3"/>
  <c r="Z400" i="3"/>
  <c r="P400" i="3"/>
  <c r="Q400" i="3" s="1"/>
  <c r="R400" i="3" s="1"/>
  <c r="S400" i="3" s="1"/>
  <c r="AA400" i="3"/>
  <c r="T400" i="3" l="1"/>
  <c r="AH400" i="3" s="1"/>
  <c r="AG400" i="3" l="1"/>
  <c r="D400" i="3"/>
  <c r="G400" i="3" s="1"/>
  <c r="E400" i="3"/>
  <c r="H400" i="3" s="1"/>
  <c r="K400" i="3" s="1"/>
  <c r="AE400" i="3" s="1"/>
  <c r="F400" i="3" l="1"/>
  <c r="V400" i="3"/>
  <c r="A401" i="3"/>
  <c r="B401" i="3" s="1"/>
  <c r="I400" i="3"/>
  <c r="J400" i="3"/>
  <c r="M400" i="3"/>
  <c r="N400" i="3" s="1"/>
  <c r="W400" i="3" l="1"/>
  <c r="L400" i="3"/>
  <c r="AA401" i="3"/>
  <c r="Z401" i="3"/>
  <c r="AC401" i="3"/>
  <c r="AD401" i="3"/>
  <c r="P401" i="3"/>
  <c r="Q401" i="3" s="1"/>
  <c r="R401" i="3" s="1"/>
  <c r="S401" i="3" s="1"/>
  <c r="U400" i="3" l="1"/>
  <c r="Y399" i="3"/>
  <c r="T401" i="3"/>
  <c r="AG401" i="3" s="1"/>
  <c r="D401" i="3" l="1"/>
  <c r="E401" i="3"/>
  <c r="H401" i="3" s="1"/>
  <c r="K401" i="3" s="1"/>
  <c r="AE401" i="3" s="1"/>
  <c r="AH401" i="3"/>
  <c r="F401" i="3" l="1"/>
  <c r="G401" i="3"/>
  <c r="J401" i="3" s="1"/>
  <c r="V401" i="3"/>
  <c r="A402" i="3"/>
  <c r="B402" i="3" s="1"/>
  <c r="M401" i="3" l="1"/>
  <c r="N401" i="3" s="1"/>
  <c r="I401" i="3"/>
  <c r="W401" i="3" s="1"/>
  <c r="L401" i="3"/>
  <c r="AA402" i="3"/>
  <c r="AC402" i="3"/>
  <c r="Z402" i="3"/>
  <c r="AD402" i="3"/>
  <c r="P402" i="3"/>
  <c r="Q402" i="3" s="1"/>
  <c r="R402" i="3" s="1"/>
  <c r="S402" i="3" s="1"/>
  <c r="U401" i="3" l="1"/>
  <c r="Y400" i="3"/>
  <c r="T402" i="3"/>
  <c r="AG402" i="3" s="1"/>
  <c r="AH402" i="3" l="1"/>
  <c r="E402" i="3"/>
  <c r="H402" i="3" s="1"/>
  <c r="K402" i="3" s="1"/>
  <c r="AE402" i="3" s="1"/>
  <c r="D402" i="3"/>
  <c r="G402" i="3" s="1"/>
  <c r="F402" i="3" l="1"/>
  <c r="I402" i="3"/>
  <c r="J402" i="3"/>
  <c r="M402" i="3"/>
  <c r="N402" i="3" s="1"/>
  <c r="V402" i="3"/>
  <c r="A403" i="3"/>
  <c r="B403" i="3" s="1"/>
  <c r="W402" i="3" l="1"/>
  <c r="L402" i="3"/>
  <c r="AC403" i="3"/>
  <c r="AA403" i="3"/>
  <c r="P403" i="3"/>
  <c r="Q403" i="3" s="1"/>
  <c r="R403" i="3" s="1"/>
  <c r="S403" i="3" s="1"/>
  <c r="Z403" i="3"/>
  <c r="AD403" i="3"/>
  <c r="T403" i="3" l="1"/>
  <c r="AH403" i="3" s="1"/>
  <c r="U402" i="3"/>
  <c r="Y401" i="3"/>
  <c r="AG403" i="3" l="1"/>
  <c r="D403" i="3"/>
  <c r="E403" i="3"/>
  <c r="H403" i="3" s="1"/>
  <c r="F403" i="3" l="1"/>
  <c r="G403" i="3"/>
  <c r="K403" i="3"/>
  <c r="AE403" i="3" s="1"/>
  <c r="V403" i="3" l="1"/>
  <c r="A404" i="3"/>
  <c r="B404" i="3" s="1"/>
  <c r="I403" i="3"/>
  <c r="J403" i="3"/>
  <c r="M403" i="3"/>
  <c r="N403" i="3" s="1"/>
  <c r="W403" i="3" l="1"/>
  <c r="L403" i="3"/>
  <c r="P404" i="3"/>
  <c r="Q404" i="3" s="1"/>
  <c r="R404" i="3" s="1"/>
  <c r="S404" i="3" s="1"/>
  <c r="AA404" i="3"/>
  <c r="Z404" i="3"/>
  <c r="AC404" i="3"/>
  <c r="U403" i="3" l="1"/>
  <c r="Y402" i="3"/>
  <c r="T404" i="3"/>
  <c r="AG404" i="3" s="1"/>
  <c r="E404" i="3" l="1"/>
  <c r="H404" i="3" s="1"/>
  <c r="K404" i="3" s="1"/>
  <c r="AE404" i="3" s="1"/>
  <c r="AH404" i="3"/>
  <c r="D404" i="3"/>
  <c r="G404" i="3" s="1"/>
  <c r="F404" i="3" l="1"/>
  <c r="I404" i="3"/>
  <c r="J404" i="3"/>
  <c r="AD404" i="3" s="1"/>
  <c r="M404" i="3"/>
  <c r="N404" i="3" s="1"/>
  <c r="V404" i="3"/>
  <c r="A405" i="3"/>
  <c r="B405" i="3" s="1"/>
  <c r="W404" i="3" l="1"/>
  <c r="L404" i="3"/>
  <c r="P405" i="3"/>
  <c r="Q405" i="3" s="1"/>
  <c r="R405" i="3" s="1"/>
  <c r="S405" i="3" s="1"/>
  <c r="AC405" i="3"/>
  <c r="Z405" i="3"/>
  <c r="AA405" i="3"/>
  <c r="U404" i="3" l="1"/>
  <c r="Y403" i="3"/>
  <c r="T405" i="3"/>
  <c r="E405" i="3" l="1"/>
  <c r="H405" i="3" s="1"/>
  <c r="K405" i="3" s="1"/>
  <c r="AE405" i="3" s="1"/>
  <c r="AH405" i="3"/>
  <c r="D405" i="3"/>
  <c r="AG405" i="3"/>
  <c r="F405" i="3" l="1"/>
  <c r="G405" i="3"/>
  <c r="V405" i="3"/>
  <c r="A406" i="3"/>
  <c r="B406" i="3" s="1"/>
  <c r="AA406" i="3" l="1"/>
  <c r="AC406" i="3"/>
  <c r="Z406" i="3"/>
  <c r="P406" i="3"/>
  <c r="Q406" i="3" s="1"/>
  <c r="R406" i="3" s="1"/>
  <c r="S406" i="3" s="1"/>
  <c r="I405" i="3"/>
  <c r="W405" i="3" s="1"/>
  <c r="J405" i="3"/>
  <c r="AD405" i="3" s="1"/>
  <c r="M405" i="3"/>
  <c r="N405" i="3" s="1"/>
  <c r="T406" i="3" l="1"/>
  <c r="L405" i="3"/>
  <c r="U405" i="3" l="1"/>
  <c r="E406" i="3" s="1"/>
  <c r="H406" i="3" s="1"/>
  <c r="AH406" i="3"/>
  <c r="AG406" i="3"/>
  <c r="Y404" i="3"/>
  <c r="K406" i="3" l="1"/>
  <c r="AE406" i="3" s="1"/>
  <c r="D406" i="3"/>
  <c r="V406" i="3" l="1"/>
  <c r="A407" i="3"/>
  <c r="B407" i="3" s="1"/>
  <c r="F406" i="3"/>
  <c r="G406" i="3"/>
  <c r="I406" i="3" l="1"/>
  <c r="W406" i="3" s="1"/>
  <c r="J406" i="3"/>
  <c r="AD406" i="3" s="1"/>
  <c r="M406" i="3"/>
  <c r="N406" i="3" s="1"/>
  <c r="AC407" i="3"/>
  <c r="Z407" i="3"/>
  <c r="P407" i="3"/>
  <c r="Q407" i="3" s="1"/>
  <c r="R407" i="3" s="1"/>
  <c r="S407" i="3" s="1"/>
  <c r="AA407" i="3"/>
  <c r="L406" i="3" l="1"/>
  <c r="T407" i="3"/>
  <c r="U406" i="3" l="1"/>
  <c r="D407" i="3" s="1"/>
  <c r="AG407" i="3"/>
  <c r="AH407" i="3"/>
  <c r="Y405" i="3"/>
  <c r="G407" i="3" l="1"/>
  <c r="E407" i="3"/>
  <c r="H407" i="3" s="1"/>
  <c r="F407" i="3" l="1"/>
  <c r="I407" i="3"/>
  <c r="J407" i="3"/>
  <c r="AD407" i="3" s="1"/>
  <c r="M407" i="3"/>
  <c r="N407" i="3" s="1"/>
  <c r="K407" i="3"/>
  <c r="AE407" i="3" s="1"/>
  <c r="V407" i="3" l="1"/>
  <c r="W407" i="3" s="1"/>
  <c r="A408" i="3"/>
  <c r="B408" i="3" s="1"/>
  <c r="L407" i="3"/>
  <c r="U407" i="3" l="1"/>
  <c r="Y406" i="3"/>
  <c r="Z408" i="3"/>
  <c r="AC408" i="3"/>
  <c r="P408" i="3"/>
  <c r="Q408" i="3" s="1"/>
  <c r="R408" i="3" s="1"/>
  <c r="S408" i="3" s="1"/>
  <c r="AA408" i="3"/>
  <c r="T408" i="3" l="1"/>
  <c r="AH408" i="3" s="1"/>
  <c r="E408" i="3" l="1"/>
  <c r="H408" i="3" s="1"/>
  <c r="K408" i="3" s="1"/>
  <c r="AE408" i="3" s="1"/>
  <c r="D408" i="3"/>
  <c r="G408" i="3" s="1"/>
  <c r="AG408" i="3"/>
  <c r="F408" i="3" l="1"/>
  <c r="I408" i="3"/>
  <c r="J408" i="3"/>
  <c r="AD408" i="3" s="1"/>
  <c r="M408" i="3"/>
  <c r="N408" i="3" s="1"/>
  <c r="V408" i="3"/>
  <c r="A409" i="3"/>
  <c r="B409" i="3" s="1"/>
  <c r="W408" i="3" l="1"/>
  <c r="L408" i="3"/>
  <c r="AA409" i="3"/>
  <c r="AC409" i="3"/>
  <c r="P409" i="3"/>
  <c r="Q409" i="3" s="1"/>
  <c r="R409" i="3" s="1"/>
  <c r="S409" i="3" s="1"/>
  <c r="Z409" i="3"/>
  <c r="U408" i="3" l="1"/>
  <c r="Y407" i="3"/>
  <c r="T409" i="3"/>
  <c r="E409" i="3" l="1"/>
  <c r="H409" i="3" s="1"/>
  <c r="K409" i="3" s="1"/>
  <c r="AE409" i="3" s="1"/>
  <c r="AH409" i="3"/>
  <c r="D409" i="3"/>
  <c r="AG409" i="3"/>
  <c r="F409" i="3" l="1"/>
  <c r="G409" i="3"/>
  <c r="V409" i="3"/>
  <c r="A410" i="3"/>
  <c r="B410" i="3" s="1"/>
  <c r="P410" i="3" l="1"/>
  <c r="Q410" i="3" s="1"/>
  <c r="R410" i="3" s="1"/>
  <c r="S410" i="3" s="1"/>
  <c r="AA410" i="3"/>
  <c r="AC410" i="3"/>
  <c r="Z410" i="3"/>
  <c r="I409" i="3"/>
  <c r="W409" i="3" s="1"/>
  <c r="J409" i="3"/>
  <c r="AD409" i="3" s="1"/>
  <c r="M409" i="3"/>
  <c r="N409" i="3" s="1"/>
  <c r="T410" i="3" l="1"/>
  <c r="L409" i="3"/>
  <c r="AG410" i="3" l="1"/>
  <c r="U409" i="3"/>
  <c r="D410" i="3" s="1"/>
  <c r="AH410" i="3"/>
  <c r="Y408" i="3"/>
  <c r="E410" i="3" l="1"/>
  <c r="H410" i="3" s="1"/>
  <c r="K410" i="3" s="1"/>
  <c r="AE410" i="3" s="1"/>
  <c r="G410" i="3"/>
  <c r="F410" i="3" l="1"/>
  <c r="I410" i="3"/>
  <c r="J410" i="3"/>
  <c r="AD410" i="3" s="1"/>
  <c r="M410" i="3"/>
  <c r="N410" i="3" s="1"/>
  <c r="V410" i="3"/>
  <c r="A411" i="3"/>
  <c r="B411" i="3" s="1"/>
  <c r="W410" i="3" l="1"/>
  <c r="L410" i="3"/>
  <c r="AC411" i="3"/>
  <c r="P411" i="3"/>
  <c r="Q411" i="3" s="1"/>
  <c r="R411" i="3" s="1"/>
  <c r="S411" i="3" s="1"/>
  <c r="AA411" i="3"/>
  <c r="Z411" i="3"/>
  <c r="U410" i="3" l="1"/>
  <c r="Y409" i="3"/>
  <c r="T411" i="3"/>
  <c r="AG411" i="3" s="1"/>
  <c r="E411" i="3" l="1"/>
  <c r="H411" i="3" s="1"/>
  <c r="K411" i="3" s="1"/>
  <c r="AE411" i="3" s="1"/>
  <c r="AH411" i="3"/>
  <c r="D411" i="3"/>
  <c r="F411" i="3" l="1"/>
  <c r="G411" i="3"/>
  <c r="V411" i="3"/>
  <c r="A412" i="3"/>
  <c r="B412" i="3" s="1"/>
  <c r="AA412" i="3" l="1"/>
  <c r="AC412" i="3"/>
  <c r="P412" i="3"/>
  <c r="Q412" i="3" s="1"/>
  <c r="R412" i="3" s="1"/>
  <c r="S412" i="3" s="1"/>
  <c r="Z412" i="3"/>
  <c r="I411" i="3"/>
  <c r="W411" i="3" s="1"/>
  <c r="J411" i="3"/>
  <c r="AD411" i="3" s="1"/>
  <c r="M411" i="3"/>
  <c r="N411" i="3" s="1"/>
  <c r="T412" i="3" l="1"/>
  <c r="L411" i="3"/>
  <c r="U411" i="3" l="1"/>
  <c r="D412" i="3" s="1"/>
  <c r="AG412" i="3"/>
  <c r="AH412" i="3"/>
  <c r="Y410" i="3"/>
  <c r="G412" i="3" l="1"/>
  <c r="E412" i="3"/>
  <c r="H412" i="3" s="1"/>
  <c r="F412" i="3" l="1"/>
  <c r="I412" i="3"/>
  <c r="J412" i="3"/>
  <c r="AD412" i="3" s="1"/>
  <c r="M412" i="3"/>
  <c r="N412" i="3" s="1"/>
  <c r="K412" i="3"/>
  <c r="AE412" i="3" s="1"/>
  <c r="V412" i="3" l="1"/>
  <c r="W412" i="3" s="1"/>
  <c r="A413" i="3"/>
  <c r="B413" i="3" s="1"/>
  <c r="L412" i="3"/>
  <c r="U412" i="3" l="1"/>
  <c r="Y411" i="3"/>
  <c r="Z413" i="3"/>
  <c r="P413" i="3"/>
  <c r="Q413" i="3" s="1"/>
  <c r="R413" i="3" s="1"/>
  <c r="S413" i="3" s="1"/>
  <c r="AA413" i="3"/>
  <c r="AC413" i="3"/>
  <c r="T413" i="3" l="1"/>
  <c r="D413" i="3" s="1"/>
  <c r="E413" i="3" l="1"/>
  <c r="H413" i="3" s="1"/>
  <c r="K413" i="3" s="1"/>
  <c r="AE413" i="3" s="1"/>
  <c r="AH413" i="3"/>
  <c r="G413" i="3"/>
  <c r="AG413" i="3"/>
  <c r="F413" i="3" l="1"/>
  <c r="I413" i="3"/>
  <c r="J413" i="3"/>
  <c r="AD413" i="3" s="1"/>
  <c r="M413" i="3"/>
  <c r="N413" i="3" s="1"/>
  <c r="V413" i="3"/>
  <c r="A414" i="3"/>
  <c r="B414" i="3" s="1"/>
  <c r="L413" i="3" l="1"/>
  <c r="P414" i="3"/>
  <c r="Q414" i="3" s="1"/>
  <c r="R414" i="3" s="1"/>
  <c r="S414" i="3" s="1"/>
  <c r="Z414" i="3"/>
  <c r="AA414" i="3"/>
  <c r="AC414" i="3"/>
  <c r="W413" i="3"/>
  <c r="U413" i="3" l="1"/>
  <c r="Y412" i="3"/>
  <c r="T414" i="3"/>
  <c r="D414" i="3" l="1"/>
  <c r="G414" i="3" s="1"/>
  <c r="E414" i="3"/>
  <c r="H414" i="3" s="1"/>
  <c r="K414" i="3" s="1"/>
  <c r="AE414" i="3" s="1"/>
  <c r="AG414" i="3"/>
  <c r="AH414" i="3"/>
  <c r="F414" i="3" l="1"/>
  <c r="I414" i="3"/>
  <c r="J414" i="3"/>
  <c r="AD414" i="3" s="1"/>
  <c r="M414" i="3"/>
  <c r="N414" i="3" s="1"/>
  <c r="V414" i="3"/>
  <c r="A415" i="3"/>
  <c r="B415" i="3" s="1"/>
  <c r="W414" i="3" l="1"/>
  <c r="L414" i="3"/>
  <c r="P415" i="3"/>
  <c r="Q415" i="3" s="1"/>
  <c r="R415" i="3" s="1"/>
  <c r="S415" i="3" s="1"/>
  <c r="AA415" i="3"/>
  <c r="Z415" i="3"/>
  <c r="AC415" i="3"/>
  <c r="U414" i="3" l="1"/>
  <c r="Y413" i="3"/>
  <c r="T415" i="3"/>
  <c r="D415" i="3" l="1"/>
  <c r="G415" i="3" s="1"/>
  <c r="AG415" i="3"/>
  <c r="AH415" i="3"/>
  <c r="E415" i="3"/>
  <c r="H415" i="3" s="1"/>
  <c r="F415" i="3" l="1"/>
  <c r="K415" i="3"/>
  <c r="AE415" i="3" s="1"/>
  <c r="I415" i="3"/>
  <c r="J415" i="3"/>
  <c r="AD415" i="3" s="1"/>
  <c r="M415" i="3"/>
  <c r="N415" i="3" s="1"/>
  <c r="L415" i="3" l="1"/>
  <c r="V415" i="3"/>
  <c r="W415" i="3" s="1"/>
  <c r="A416" i="3"/>
  <c r="B416" i="3" s="1"/>
  <c r="Z416" i="3" l="1"/>
  <c r="AA416" i="3"/>
  <c r="P416" i="3"/>
  <c r="Q416" i="3" s="1"/>
  <c r="R416" i="3" s="1"/>
  <c r="S416" i="3" s="1"/>
  <c r="AC416" i="3"/>
  <c r="U415" i="3"/>
  <c r="Y414" i="3"/>
  <c r="T416" i="3" l="1"/>
  <c r="AG416" i="3" s="1"/>
  <c r="D416" i="3" l="1"/>
  <c r="G416" i="3" s="1"/>
  <c r="E416" i="3"/>
  <c r="H416" i="3" s="1"/>
  <c r="K416" i="3" s="1"/>
  <c r="AE416" i="3" s="1"/>
  <c r="AH416" i="3"/>
  <c r="F416" i="3" l="1"/>
  <c r="V416" i="3"/>
  <c r="A417" i="3"/>
  <c r="B417" i="3" s="1"/>
  <c r="I416" i="3"/>
  <c r="J416" i="3"/>
  <c r="AD416" i="3" s="1"/>
  <c r="M416" i="3"/>
  <c r="N416" i="3" s="1"/>
  <c r="W416" i="3" l="1"/>
  <c r="L416" i="3"/>
  <c r="Z417" i="3"/>
  <c r="AC417" i="3"/>
  <c r="AA417" i="3"/>
  <c r="P417" i="3"/>
  <c r="Q417" i="3" s="1"/>
  <c r="R417" i="3" s="1"/>
  <c r="S417" i="3" s="1"/>
  <c r="U416" i="3" l="1"/>
  <c r="Y415" i="3"/>
  <c r="T417" i="3"/>
  <c r="D417" i="3" l="1"/>
  <c r="G417" i="3" s="1"/>
  <c r="AH417" i="3"/>
  <c r="E417" i="3"/>
  <c r="H417" i="3" s="1"/>
  <c r="K417" i="3" s="1"/>
  <c r="AE417" i="3" s="1"/>
  <c r="AG417" i="3"/>
  <c r="F417" i="3" l="1"/>
  <c r="V417" i="3"/>
  <c r="A418" i="3"/>
  <c r="B418" i="3" s="1"/>
  <c r="I417" i="3"/>
  <c r="J417" i="3"/>
  <c r="AD417" i="3" s="1"/>
  <c r="M417" i="3"/>
  <c r="N417" i="3" s="1"/>
  <c r="W417" i="3" l="1"/>
  <c r="L417" i="3"/>
  <c r="Z418" i="3"/>
  <c r="AA418" i="3"/>
  <c r="AC418" i="3"/>
  <c r="P418" i="3"/>
  <c r="Q418" i="3" s="1"/>
  <c r="R418" i="3" s="1"/>
  <c r="S418" i="3" s="1"/>
  <c r="T418" i="3" l="1"/>
  <c r="U417" i="3"/>
  <c r="Y416" i="3"/>
  <c r="D418" i="3" l="1"/>
  <c r="G418" i="3" s="1"/>
  <c r="E418" i="3"/>
  <c r="H418" i="3" s="1"/>
  <c r="AG418" i="3"/>
  <c r="AH418" i="3"/>
  <c r="F418" i="3" l="1"/>
  <c r="I418" i="3"/>
  <c r="J418" i="3"/>
  <c r="AD418" i="3" s="1"/>
  <c r="M418" i="3"/>
  <c r="N418" i="3" s="1"/>
  <c r="K418" i="3"/>
  <c r="AE418" i="3" s="1"/>
  <c r="V418" i="3" l="1"/>
  <c r="W418" i="3" s="1"/>
  <c r="A419" i="3"/>
  <c r="B419" i="3" s="1"/>
  <c r="L418" i="3"/>
  <c r="U418" i="3" l="1"/>
  <c r="Y417" i="3"/>
  <c r="AA419" i="3"/>
  <c r="P419" i="3"/>
  <c r="Q419" i="3" s="1"/>
  <c r="R419" i="3" s="1"/>
  <c r="S419" i="3" s="1"/>
  <c r="Z419" i="3"/>
  <c r="AC419" i="3"/>
  <c r="T419" i="3" l="1"/>
  <c r="AG419" i="3" s="1"/>
  <c r="AH419" i="3" l="1"/>
  <c r="E419" i="3"/>
  <c r="H419" i="3" s="1"/>
  <c r="K419" i="3" s="1"/>
  <c r="AE419" i="3" s="1"/>
  <c r="D419" i="3"/>
  <c r="F419" i="3" l="1"/>
  <c r="G419" i="3"/>
  <c r="J419" i="3" s="1"/>
  <c r="AD419" i="3" s="1"/>
  <c r="V419" i="3"/>
  <c r="A420" i="3"/>
  <c r="B420" i="3" s="1"/>
  <c r="I419" i="3" l="1"/>
  <c r="W419" i="3" s="1"/>
  <c r="M419" i="3"/>
  <c r="N419" i="3" s="1"/>
  <c r="L419" i="3"/>
  <c r="AC420" i="3"/>
  <c r="AA420" i="3"/>
  <c r="Z420" i="3"/>
  <c r="P420" i="3"/>
  <c r="Q420" i="3" s="1"/>
  <c r="R420" i="3" s="1"/>
  <c r="S420" i="3" s="1"/>
  <c r="T420" i="3" l="1"/>
  <c r="AH420" i="3" s="1"/>
  <c r="U419" i="3"/>
  <c r="Y418" i="3"/>
  <c r="E420" i="3" l="1"/>
  <c r="H420" i="3" s="1"/>
  <c r="K420" i="3" s="1"/>
  <c r="AE420" i="3" s="1"/>
  <c r="D420" i="3"/>
  <c r="AG420" i="3"/>
  <c r="V420" i="3" l="1"/>
  <c r="A421" i="3"/>
  <c r="B421" i="3" s="1"/>
  <c r="F420" i="3"/>
  <c r="G420" i="3"/>
  <c r="I420" i="3" l="1"/>
  <c r="W420" i="3" s="1"/>
  <c r="J420" i="3"/>
  <c r="AD420" i="3" s="1"/>
  <c r="M420" i="3"/>
  <c r="N420" i="3" s="1"/>
  <c r="Z421" i="3"/>
  <c r="P421" i="3"/>
  <c r="Q421" i="3" s="1"/>
  <c r="R421" i="3" s="1"/>
  <c r="S421" i="3" s="1"/>
  <c r="AC421" i="3"/>
  <c r="AA421" i="3"/>
  <c r="T421" i="3" l="1"/>
  <c r="L420" i="3"/>
  <c r="U420" i="3" l="1"/>
  <c r="D421" i="3" s="1"/>
  <c r="AH421" i="3"/>
  <c r="AG421" i="3"/>
  <c r="Y419" i="3"/>
  <c r="E421" i="3" l="1"/>
  <c r="H421" i="3" s="1"/>
  <c r="K421" i="3" s="1"/>
  <c r="AE421" i="3" s="1"/>
  <c r="G421" i="3"/>
  <c r="F421" i="3" l="1"/>
  <c r="V421" i="3"/>
  <c r="A422" i="3"/>
  <c r="B422" i="3" s="1"/>
  <c r="I421" i="3"/>
  <c r="J421" i="3"/>
  <c r="AD421" i="3" s="1"/>
  <c r="M421" i="3"/>
  <c r="N421" i="3" s="1"/>
  <c r="W421" i="3" l="1"/>
  <c r="L421" i="3"/>
  <c r="Z422" i="3"/>
  <c r="P422" i="3"/>
  <c r="Q422" i="3" s="1"/>
  <c r="R422" i="3" s="1"/>
  <c r="S422" i="3" s="1"/>
  <c r="AC422" i="3"/>
  <c r="AA422" i="3"/>
  <c r="U421" i="3" l="1"/>
  <c r="Y420" i="3"/>
  <c r="T422" i="3"/>
  <c r="D422" i="3" l="1"/>
  <c r="G422" i="3" s="1"/>
  <c r="AG422" i="3"/>
  <c r="E422" i="3"/>
  <c r="H422" i="3" s="1"/>
  <c r="K422" i="3" s="1"/>
  <c r="AE422" i="3" s="1"/>
  <c r="AH422" i="3"/>
  <c r="F422" i="3" l="1"/>
  <c r="V422" i="3"/>
  <c r="A423" i="3"/>
  <c r="B423" i="3" s="1"/>
  <c r="I422" i="3"/>
  <c r="J422" i="3"/>
  <c r="AD422" i="3" s="1"/>
  <c r="M422" i="3"/>
  <c r="N422" i="3" s="1"/>
  <c r="L422" i="3" l="1"/>
  <c r="W422" i="3"/>
  <c r="P423" i="3"/>
  <c r="Q423" i="3" s="1"/>
  <c r="R423" i="3" s="1"/>
  <c r="S423" i="3" s="1"/>
  <c r="Z423" i="3"/>
  <c r="AC423" i="3"/>
  <c r="AA423" i="3"/>
  <c r="U422" i="3" l="1"/>
  <c r="Y421" i="3"/>
  <c r="T423" i="3"/>
  <c r="D423" i="3" l="1"/>
  <c r="G423" i="3" s="1"/>
  <c r="AH423" i="3"/>
  <c r="E423" i="3"/>
  <c r="H423" i="3" s="1"/>
  <c r="K423" i="3" s="1"/>
  <c r="AE423" i="3" s="1"/>
  <c r="AG423" i="3"/>
  <c r="F423" i="3" l="1"/>
  <c r="V423" i="3"/>
  <c r="A424" i="3"/>
  <c r="B424" i="3" s="1"/>
  <c r="I423" i="3"/>
  <c r="J423" i="3"/>
  <c r="AD423" i="3" s="1"/>
  <c r="M423" i="3"/>
  <c r="N423" i="3" s="1"/>
  <c r="W423" i="3" l="1"/>
  <c r="L423" i="3"/>
  <c r="AA424" i="3"/>
  <c r="P424" i="3"/>
  <c r="Q424" i="3" s="1"/>
  <c r="R424" i="3" s="1"/>
  <c r="S424" i="3" s="1"/>
  <c r="Z424" i="3"/>
  <c r="AC424" i="3"/>
  <c r="T424" i="3" l="1"/>
  <c r="U423" i="3"/>
  <c r="Y422" i="3"/>
  <c r="D424" i="3" l="1"/>
  <c r="G424" i="3" s="1"/>
  <c r="E424" i="3"/>
  <c r="H424" i="3" s="1"/>
  <c r="K424" i="3" s="1"/>
  <c r="AE424" i="3" s="1"/>
  <c r="AG424" i="3"/>
  <c r="AH424" i="3"/>
  <c r="F424" i="3" l="1"/>
  <c r="V424" i="3"/>
  <c r="A425" i="3"/>
  <c r="B425" i="3" s="1"/>
  <c r="I424" i="3"/>
  <c r="J424" i="3"/>
  <c r="AD424" i="3" s="1"/>
  <c r="M424" i="3"/>
  <c r="N424" i="3" s="1"/>
  <c r="W424" i="3" l="1"/>
  <c r="L424" i="3"/>
  <c r="Z425" i="3"/>
  <c r="AA425" i="3"/>
  <c r="P425" i="3"/>
  <c r="Q425" i="3" s="1"/>
  <c r="R425" i="3" s="1"/>
  <c r="S425" i="3" s="1"/>
  <c r="AC425" i="3"/>
  <c r="AD425" i="3"/>
  <c r="U424" i="3" l="1"/>
  <c r="Y423" i="3"/>
  <c r="T425" i="3"/>
  <c r="E425" i="3" l="1"/>
  <c r="H425" i="3" s="1"/>
  <c r="K425" i="3" s="1"/>
  <c r="AE425" i="3" s="1"/>
  <c r="D425" i="3"/>
  <c r="G425" i="3" s="1"/>
  <c r="AH425" i="3"/>
  <c r="AG425" i="3"/>
  <c r="F425" i="3" l="1"/>
  <c r="I425" i="3"/>
  <c r="J425" i="3"/>
  <c r="M425" i="3"/>
  <c r="N425" i="3" s="1"/>
  <c r="V425" i="3"/>
  <c r="A426" i="3"/>
  <c r="B426" i="3" s="1"/>
  <c r="L425" i="3" l="1"/>
  <c r="W425" i="3"/>
  <c r="P426" i="3"/>
  <c r="Q426" i="3" s="1"/>
  <c r="R426" i="3" s="1"/>
  <c r="S426" i="3" s="1"/>
  <c r="AA426" i="3"/>
  <c r="AD426" i="3"/>
  <c r="Z426" i="3"/>
  <c r="AC426" i="3"/>
  <c r="U425" i="3" l="1"/>
  <c r="Y424" i="3"/>
  <c r="T426" i="3"/>
  <c r="AH426" i="3" s="1"/>
  <c r="E426" i="3" l="1"/>
  <c r="H426" i="3" s="1"/>
  <c r="D426" i="3"/>
  <c r="AG426" i="3"/>
  <c r="K426" i="3" l="1"/>
  <c r="AE426" i="3" s="1"/>
  <c r="F426" i="3"/>
  <c r="G426" i="3"/>
  <c r="V426" i="3" l="1"/>
  <c r="A427" i="3"/>
  <c r="B427" i="3" s="1"/>
  <c r="I426" i="3"/>
  <c r="J426" i="3"/>
  <c r="M426" i="3"/>
  <c r="N426" i="3" s="1"/>
  <c r="W426" i="3" l="1"/>
  <c r="L426" i="3"/>
  <c r="P427" i="3"/>
  <c r="Q427" i="3" s="1"/>
  <c r="R427" i="3" s="1"/>
  <c r="S427" i="3" s="1"/>
  <c r="AC427" i="3"/>
  <c r="Z427" i="3"/>
  <c r="AA427" i="3"/>
  <c r="U426" i="3" l="1"/>
  <c r="Y425" i="3"/>
  <c r="T427" i="3"/>
  <c r="AG427" i="3" s="1"/>
  <c r="D427" i="3" l="1"/>
  <c r="G427" i="3" s="1"/>
  <c r="E427" i="3"/>
  <c r="H427" i="3" s="1"/>
  <c r="K427" i="3" s="1"/>
  <c r="AE427" i="3" s="1"/>
  <c r="AH427" i="3"/>
  <c r="F427" i="3" l="1"/>
  <c r="I427" i="3"/>
  <c r="J427" i="3"/>
  <c r="AD427" i="3" s="1"/>
  <c r="M427" i="3"/>
  <c r="N427" i="3" s="1"/>
  <c r="V427" i="3"/>
  <c r="A428" i="3"/>
  <c r="B428" i="3" s="1"/>
  <c r="W427" i="3" l="1"/>
  <c r="L427" i="3"/>
  <c r="P428" i="3"/>
  <c r="Q428" i="3" s="1"/>
  <c r="R428" i="3" s="1"/>
  <c r="S428" i="3" s="1"/>
  <c r="AC428" i="3"/>
  <c r="Z428" i="3"/>
  <c r="AA428" i="3"/>
  <c r="U427" i="3" l="1"/>
  <c r="Y426" i="3"/>
  <c r="T428" i="3"/>
  <c r="AG428" i="3" s="1"/>
  <c r="E428" i="3" l="1"/>
  <c r="H428" i="3" s="1"/>
  <c r="AH428" i="3"/>
  <c r="D428" i="3"/>
  <c r="K428" i="3" l="1"/>
  <c r="AE428" i="3" s="1"/>
  <c r="F428" i="3"/>
  <c r="G428" i="3"/>
  <c r="I428" i="3" l="1"/>
  <c r="J428" i="3"/>
  <c r="AD428" i="3" s="1"/>
  <c r="M428" i="3"/>
  <c r="N428" i="3" s="1"/>
  <c r="V428" i="3"/>
  <c r="A429" i="3"/>
  <c r="B429" i="3" s="1"/>
  <c r="W428" i="3" l="1"/>
  <c r="AD429" i="3"/>
  <c r="Z429" i="3"/>
  <c r="AC429" i="3"/>
  <c r="P429" i="3"/>
  <c r="Q429" i="3" s="1"/>
  <c r="R429" i="3" s="1"/>
  <c r="S429" i="3" s="1"/>
  <c r="AA429" i="3"/>
  <c r="L428" i="3"/>
  <c r="U428" i="3" l="1"/>
  <c r="Y427" i="3"/>
  <c r="T429" i="3"/>
  <c r="D429" i="3" l="1"/>
  <c r="G429" i="3" s="1"/>
  <c r="E429" i="3"/>
  <c r="H429" i="3" s="1"/>
  <c r="K429" i="3" s="1"/>
  <c r="AE429" i="3" s="1"/>
  <c r="AG429" i="3"/>
  <c r="AH429" i="3"/>
  <c r="F429" i="3" l="1"/>
  <c r="I429" i="3"/>
  <c r="J429" i="3"/>
  <c r="M429" i="3"/>
  <c r="N429" i="3" s="1"/>
  <c r="V429" i="3"/>
  <c r="A430" i="3"/>
  <c r="B430" i="3" s="1"/>
  <c r="L429" i="3" l="1"/>
  <c r="W429" i="3"/>
  <c r="AA430" i="3"/>
  <c r="Z430" i="3"/>
  <c r="P430" i="3"/>
  <c r="Q430" i="3" s="1"/>
  <c r="R430" i="3" s="1"/>
  <c r="S430" i="3" s="1"/>
  <c r="AC430" i="3"/>
  <c r="AD430" i="3"/>
  <c r="U429" i="3" l="1"/>
  <c r="Y428" i="3"/>
  <c r="T430" i="3"/>
  <c r="D430" i="3" l="1"/>
  <c r="G430" i="3" s="1"/>
  <c r="AH430" i="3"/>
  <c r="E430" i="3"/>
  <c r="H430" i="3" s="1"/>
  <c r="AG430" i="3"/>
  <c r="F430" i="3" l="1"/>
  <c r="I430" i="3"/>
  <c r="J430" i="3"/>
  <c r="M430" i="3"/>
  <c r="N430" i="3" s="1"/>
  <c r="K430" i="3"/>
  <c r="AE430" i="3" s="1"/>
  <c r="V430" i="3" l="1"/>
  <c r="W430" i="3" s="1"/>
  <c r="A431" i="3"/>
  <c r="B431" i="3" s="1"/>
  <c r="L430" i="3"/>
  <c r="U430" i="3" l="1"/>
  <c r="Y429" i="3"/>
  <c r="AC431" i="3"/>
  <c r="Z431" i="3"/>
  <c r="P431" i="3"/>
  <c r="Q431" i="3" s="1"/>
  <c r="R431" i="3" s="1"/>
  <c r="S431" i="3" s="1"/>
  <c r="AA431" i="3"/>
  <c r="AD431" i="3"/>
  <c r="T431" i="3" l="1"/>
  <c r="AH431" i="3" s="1"/>
  <c r="E431" i="3" l="1"/>
  <c r="H431" i="3" s="1"/>
  <c r="AG431" i="3"/>
  <c r="D431" i="3"/>
  <c r="K431" i="3" l="1"/>
  <c r="AE431" i="3" s="1"/>
  <c r="F431" i="3"/>
  <c r="G431" i="3"/>
  <c r="V431" i="3" l="1"/>
  <c r="A432" i="3"/>
  <c r="B432" i="3" s="1"/>
  <c r="I431" i="3"/>
  <c r="J431" i="3"/>
  <c r="M431" i="3"/>
  <c r="N431" i="3" s="1"/>
  <c r="W431" i="3" l="1"/>
  <c r="L431" i="3"/>
  <c r="AA432" i="3"/>
  <c r="P432" i="3"/>
  <c r="Q432" i="3" s="1"/>
  <c r="R432" i="3" s="1"/>
  <c r="S432" i="3" s="1"/>
  <c r="AC432" i="3"/>
  <c r="Z432" i="3"/>
  <c r="AD432" i="3"/>
  <c r="T432" i="3" l="1"/>
  <c r="AH432" i="3" s="1"/>
  <c r="U431" i="3"/>
  <c r="Y430" i="3"/>
  <c r="AG432" i="3" l="1"/>
  <c r="E432" i="3"/>
  <c r="H432" i="3" s="1"/>
  <c r="D432" i="3"/>
  <c r="K432" i="3" l="1"/>
  <c r="AE432" i="3" s="1"/>
  <c r="F432" i="3"/>
  <c r="G432" i="3"/>
  <c r="I432" i="3" l="1"/>
  <c r="J432" i="3"/>
  <c r="M432" i="3"/>
  <c r="N432" i="3" s="1"/>
  <c r="V432" i="3"/>
  <c r="A433" i="3"/>
  <c r="B433" i="3" s="1"/>
  <c r="W432" i="3" l="1"/>
  <c r="L432" i="3"/>
  <c r="P433" i="3"/>
  <c r="Q433" i="3" s="1"/>
  <c r="R433" i="3" s="1"/>
  <c r="S433" i="3" s="1"/>
  <c r="AC433" i="3"/>
  <c r="Z433" i="3"/>
  <c r="AA433" i="3"/>
  <c r="AD433" i="3"/>
  <c r="U432" i="3" l="1"/>
  <c r="Y431" i="3"/>
  <c r="T433" i="3"/>
  <c r="E433" i="3" l="1"/>
  <c r="H433" i="3" s="1"/>
  <c r="K433" i="3" s="1"/>
  <c r="AE433" i="3" s="1"/>
  <c r="D433" i="3"/>
  <c r="AG433" i="3"/>
  <c r="AH433" i="3"/>
  <c r="F433" i="3" l="1"/>
  <c r="G433" i="3"/>
  <c r="M433" i="3" s="1"/>
  <c r="N433" i="3" s="1"/>
  <c r="V433" i="3"/>
  <c r="A434" i="3"/>
  <c r="B434" i="3" s="1"/>
  <c r="I433" i="3" l="1"/>
  <c r="W433" i="3" s="1"/>
  <c r="J433" i="3"/>
  <c r="L433" i="3" s="1"/>
  <c r="P434" i="3"/>
  <c r="Q434" i="3" s="1"/>
  <c r="R434" i="3" s="1"/>
  <c r="S434" i="3" s="1"/>
  <c r="Z434" i="3"/>
  <c r="AA434" i="3"/>
  <c r="AC434" i="3"/>
  <c r="U433" i="3" l="1"/>
  <c r="Y432" i="3"/>
  <c r="T434" i="3"/>
  <c r="AH434" i="3" s="1"/>
  <c r="E434" i="3" l="1"/>
  <c r="H434" i="3" s="1"/>
  <c r="K434" i="3" s="1"/>
  <c r="AE434" i="3" s="1"/>
  <c r="AG434" i="3"/>
  <c r="D434" i="3"/>
  <c r="F434" i="3" l="1"/>
  <c r="G434" i="3"/>
  <c r="M434" i="3" s="1"/>
  <c r="N434" i="3" s="1"/>
  <c r="V434" i="3"/>
  <c r="A435" i="3"/>
  <c r="B435" i="3" s="1"/>
  <c r="I434" i="3" l="1"/>
  <c r="W434" i="3" s="1"/>
  <c r="J434" i="3"/>
  <c r="P435" i="3"/>
  <c r="Q435" i="3" s="1"/>
  <c r="R435" i="3" s="1"/>
  <c r="S435" i="3" s="1"/>
  <c r="AA435" i="3"/>
  <c r="AD435" i="3"/>
  <c r="AC435" i="3"/>
  <c r="Z435" i="3"/>
  <c r="L434" i="3" l="1"/>
  <c r="Y433" i="3" s="1"/>
  <c r="AD434" i="3"/>
  <c r="T435" i="3"/>
  <c r="U434" i="3" l="1"/>
  <c r="E435" i="3" s="1"/>
  <c r="H435" i="3" s="1"/>
  <c r="AG435" i="3"/>
  <c r="AH435" i="3"/>
  <c r="D435" i="3" l="1"/>
  <c r="G435" i="3" s="1"/>
  <c r="I435" i="3" s="1"/>
  <c r="K435" i="3"/>
  <c r="AE435" i="3" s="1"/>
  <c r="J435" i="3" l="1"/>
  <c r="L435" i="3" s="1"/>
  <c r="M435" i="3"/>
  <c r="N435" i="3" s="1"/>
  <c r="F435" i="3"/>
  <c r="V435" i="3"/>
  <c r="W435" i="3" s="1"/>
  <c r="A436" i="3"/>
  <c r="B436" i="3" s="1"/>
  <c r="AC436" i="3" l="1"/>
  <c r="Z436" i="3"/>
  <c r="P436" i="3"/>
  <c r="Q436" i="3" s="1"/>
  <c r="R436" i="3" s="1"/>
  <c r="S436" i="3" s="1"/>
  <c r="AA436" i="3"/>
  <c r="AD436" i="3"/>
  <c r="U435" i="3"/>
  <c r="Y434" i="3"/>
  <c r="T436" i="3" l="1"/>
  <c r="E436" i="3" l="1"/>
  <c r="H436" i="3" s="1"/>
  <c r="D436" i="3"/>
  <c r="AH436" i="3"/>
  <c r="AG436" i="3"/>
  <c r="F436" i="3" l="1"/>
  <c r="G436" i="3"/>
  <c r="K436" i="3"/>
  <c r="AE436" i="3" s="1"/>
  <c r="I436" i="3" l="1"/>
  <c r="J436" i="3"/>
  <c r="M436" i="3"/>
  <c r="N436" i="3" s="1"/>
  <c r="V436" i="3"/>
  <c r="A437" i="3"/>
  <c r="B437" i="3" s="1"/>
  <c r="W436" i="3" l="1"/>
  <c r="L436" i="3"/>
  <c r="AC437" i="3"/>
  <c r="AA437" i="3"/>
  <c r="P437" i="3"/>
  <c r="Q437" i="3" s="1"/>
  <c r="R437" i="3" s="1"/>
  <c r="S437" i="3" s="1"/>
  <c r="Z437" i="3"/>
  <c r="U436" i="3" l="1"/>
  <c r="Y435" i="3"/>
  <c r="T437" i="3"/>
  <c r="AH437" i="3" s="1"/>
  <c r="D437" i="3" l="1"/>
  <c r="G437" i="3" s="1"/>
  <c r="E437" i="3"/>
  <c r="H437" i="3" s="1"/>
  <c r="K437" i="3" s="1"/>
  <c r="AE437" i="3" s="1"/>
  <c r="AG437" i="3"/>
  <c r="F437" i="3" l="1"/>
  <c r="I437" i="3"/>
  <c r="J437" i="3"/>
  <c r="AD437" i="3" s="1"/>
  <c r="M437" i="3"/>
  <c r="N437" i="3" s="1"/>
  <c r="V437" i="3"/>
  <c r="A438" i="3"/>
  <c r="B438" i="3" s="1"/>
  <c r="W437" i="3" l="1"/>
  <c r="L437" i="3"/>
  <c r="Z438" i="3"/>
  <c r="P438" i="3"/>
  <c r="Q438" i="3" s="1"/>
  <c r="R438" i="3" s="1"/>
  <c r="S438" i="3" s="1"/>
  <c r="AC438" i="3"/>
  <c r="AA438" i="3"/>
  <c r="U437" i="3" l="1"/>
  <c r="Y436" i="3"/>
  <c r="T438" i="3"/>
  <c r="E438" i="3" l="1"/>
  <c r="H438" i="3" s="1"/>
  <c r="K438" i="3" s="1"/>
  <c r="AE438" i="3" s="1"/>
  <c r="D438" i="3"/>
  <c r="AH438" i="3"/>
  <c r="AG438" i="3"/>
  <c r="V438" i="3" l="1"/>
  <c r="A439" i="3"/>
  <c r="B439" i="3" s="1"/>
  <c r="F438" i="3"/>
  <c r="G438" i="3"/>
  <c r="I438" i="3" l="1"/>
  <c r="W438" i="3" s="1"/>
  <c r="J438" i="3"/>
  <c r="AD438" i="3" s="1"/>
  <c r="M438" i="3"/>
  <c r="N438" i="3" s="1"/>
  <c r="Z439" i="3"/>
  <c r="P439" i="3"/>
  <c r="Q439" i="3" s="1"/>
  <c r="R439" i="3" s="1"/>
  <c r="S439" i="3" s="1"/>
  <c r="AD439" i="3"/>
  <c r="AC439" i="3"/>
  <c r="AA439" i="3"/>
  <c r="T439" i="3" l="1"/>
  <c r="L438" i="3"/>
  <c r="AG439" i="3" l="1"/>
  <c r="AH439" i="3"/>
  <c r="U438" i="3"/>
  <c r="E439" i="3" s="1"/>
  <c r="H439" i="3" s="1"/>
  <c r="Y437" i="3"/>
  <c r="D439" i="3" l="1"/>
  <c r="G439" i="3" s="1"/>
  <c r="K439" i="3"/>
  <c r="AE439" i="3" s="1"/>
  <c r="F439" i="3" l="1"/>
  <c r="V439" i="3"/>
  <c r="A440" i="3"/>
  <c r="B440" i="3" s="1"/>
  <c r="I439" i="3"/>
  <c r="J439" i="3"/>
  <c r="M439" i="3"/>
  <c r="N439" i="3" s="1"/>
  <c r="W439" i="3" l="1"/>
  <c r="L439" i="3"/>
  <c r="Z440" i="3"/>
  <c r="AC440" i="3"/>
  <c r="P440" i="3"/>
  <c r="Q440" i="3" s="1"/>
  <c r="R440" i="3" s="1"/>
  <c r="S440" i="3" s="1"/>
  <c r="AA440" i="3"/>
  <c r="AD440" i="3"/>
  <c r="T440" i="3" l="1"/>
  <c r="AH440" i="3" s="1"/>
  <c r="U439" i="3"/>
  <c r="Y438" i="3"/>
  <c r="AG440" i="3" l="1"/>
  <c r="D440" i="3"/>
  <c r="E440" i="3"/>
  <c r="H440" i="3" s="1"/>
  <c r="K440" i="3" l="1"/>
  <c r="AE440" i="3" s="1"/>
  <c r="F440" i="3"/>
  <c r="G440" i="3"/>
  <c r="I440" i="3" l="1"/>
  <c r="J440" i="3"/>
  <c r="M440" i="3"/>
  <c r="N440" i="3" s="1"/>
  <c r="V440" i="3"/>
  <c r="A441" i="3"/>
  <c r="B441" i="3" s="1"/>
  <c r="W440" i="3" l="1"/>
  <c r="L440" i="3"/>
  <c r="P441" i="3"/>
  <c r="Q441" i="3" s="1"/>
  <c r="R441" i="3" s="1"/>
  <c r="S441" i="3" s="1"/>
  <c r="AD441" i="3"/>
  <c r="AC441" i="3"/>
  <c r="Z441" i="3"/>
  <c r="AA441" i="3"/>
  <c r="T441" i="3" l="1"/>
  <c r="AH441" i="3" s="1"/>
  <c r="U440" i="3"/>
  <c r="Y439" i="3"/>
  <c r="E441" i="3" l="1"/>
  <c r="H441" i="3" s="1"/>
  <c r="K441" i="3" s="1"/>
  <c r="AE441" i="3" s="1"/>
  <c r="AG441" i="3"/>
  <c r="D441" i="3"/>
  <c r="V441" i="3" l="1"/>
  <c r="A442" i="3"/>
  <c r="B442" i="3" s="1"/>
  <c r="F441" i="3"/>
  <c r="G441" i="3"/>
  <c r="I441" i="3" l="1"/>
  <c r="W441" i="3" s="1"/>
  <c r="J441" i="3"/>
  <c r="M441" i="3"/>
  <c r="N441" i="3" s="1"/>
  <c r="AC442" i="3"/>
  <c r="AD442" i="3"/>
  <c r="AA442" i="3"/>
  <c r="P442" i="3"/>
  <c r="Q442" i="3" s="1"/>
  <c r="R442" i="3" s="1"/>
  <c r="S442" i="3" s="1"/>
  <c r="Z442" i="3"/>
  <c r="T442" i="3" l="1"/>
  <c r="L441" i="3"/>
  <c r="U441" i="3" l="1"/>
  <c r="D442" i="3" s="1"/>
  <c r="AH442" i="3"/>
  <c r="AG442" i="3"/>
  <c r="Y440" i="3"/>
  <c r="G442" i="3" l="1"/>
  <c r="E442" i="3"/>
  <c r="H442" i="3" s="1"/>
  <c r="I442" i="3" l="1"/>
  <c r="J442" i="3"/>
  <c r="M442" i="3"/>
  <c r="N442" i="3" s="1"/>
  <c r="F442" i="3"/>
  <c r="K442" i="3"/>
  <c r="AE442" i="3" s="1"/>
  <c r="V442" i="3" l="1"/>
  <c r="W442" i="3" s="1"/>
  <c r="A443" i="3"/>
  <c r="B443" i="3" s="1"/>
  <c r="L442" i="3"/>
  <c r="U442" i="3" l="1"/>
  <c r="Y441" i="3"/>
  <c r="Z443" i="3"/>
  <c r="P443" i="3"/>
  <c r="Q443" i="3" s="1"/>
  <c r="R443" i="3" s="1"/>
  <c r="S443" i="3" s="1"/>
  <c r="AD443" i="3"/>
  <c r="AC443" i="3"/>
  <c r="AA443" i="3"/>
  <c r="T443" i="3" l="1"/>
  <c r="D443" i="3" s="1"/>
  <c r="E443" i="3" l="1"/>
  <c r="H443" i="3" s="1"/>
  <c r="K443" i="3" s="1"/>
  <c r="AE443" i="3" s="1"/>
  <c r="G443" i="3"/>
  <c r="AG443" i="3"/>
  <c r="AH443" i="3"/>
  <c r="F443" i="3" l="1"/>
  <c r="V443" i="3"/>
  <c r="A444" i="3"/>
  <c r="B444" i="3" s="1"/>
  <c r="I443" i="3"/>
  <c r="J443" i="3"/>
  <c r="M443" i="3"/>
  <c r="N443" i="3" s="1"/>
  <c r="W443" i="3" l="1"/>
  <c r="L443" i="3"/>
  <c r="Z444" i="3"/>
  <c r="P444" i="3"/>
  <c r="Q444" i="3" s="1"/>
  <c r="R444" i="3" s="1"/>
  <c r="S444" i="3" s="1"/>
  <c r="AA444" i="3"/>
  <c r="AC444" i="3"/>
  <c r="U443" i="3" l="1"/>
  <c r="Y442" i="3"/>
  <c r="T444" i="3"/>
  <c r="AG444" i="3" s="1"/>
  <c r="AH444" i="3" l="1"/>
  <c r="D444" i="3"/>
  <c r="E444" i="3"/>
  <c r="H444" i="3" s="1"/>
  <c r="F444" i="3" l="1"/>
  <c r="G444" i="3"/>
  <c r="K444" i="3"/>
  <c r="AE444" i="3" s="1"/>
  <c r="I444" i="3" l="1"/>
  <c r="J444" i="3"/>
  <c r="AD444" i="3" s="1"/>
  <c r="M444" i="3"/>
  <c r="N444" i="3" s="1"/>
  <c r="V444" i="3"/>
  <c r="A445" i="3"/>
  <c r="B445" i="3" s="1"/>
  <c r="W444" i="3" l="1"/>
  <c r="L444" i="3"/>
  <c r="AA445" i="3"/>
  <c r="P445" i="3"/>
  <c r="Q445" i="3" s="1"/>
  <c r="R445" i="3" s="1"/>
  <c r="S445" i="3" s="1"/>
  <c r="Z445" i="3"/>
  <c r="AD445" i="3"/>
  <c r="AC445" i="3"/>
  <c r="T445" i="3" l="1"/>
  <c r="U444" i="3"/>
  <c r="Y443" i="3"/>
  <c r="D445" i="3" l="1"/>
  <c r="G445" i="3" s="1"/>
  <c r="AG445" i="3"/>
  <c r="E445" i="3"/>
  <c r="H445" i="3" s="1"/>
  <c r="AH445" i="3"/>
  <c r="K445" i="3" l="1"/>
  <c r="AE445" i="3" s="1"/>
  <c r="I445" i="3"/>
  <c r="J445" i="3"/>
  <c r="M445" i="3"/>
  <c r="N445" i="3" s="1"/>
  <c r="F445" i="3"/>
  <c r="L445" i="3" l="1"/>
  <c r="V445" i="3"/>
  <c r="W445" i="3" s="1"/>
  <c r="A446" i="3"/>
  <c r="B446" i="3" s="1"/>
  <c r="AD446" i="3" l="1"/>
  <c r="AC446" i="3"/>
  <c r="P446" i="3"/>
  <c r="Q446" i="3" s="1"/>
  <c r="R446" i="3" s="1"/>
  <c r="S446" i="3" s="1"/>
  <c r="Z446" i="3"/>
  <c r="AA446" i="3"/>
  <c r="U445" i="3"/>
  <c r="Y444" i="3"/>
  <c r="T446" i="3" l="1"/>
  <c r="D446" i="3" s="1"/>
  <c r="AG446" i="3" l="1"/>
  <c r="G446" i="3"/>
  <c r="E446" i="3"/>
  <c r="H446" i="3" s="1"/>
  <c r="AH446" i="3"/>
  <c r="K446" i="3" l="1"/>
  <c r="AE446" i="3" s="1"/>
  <c r="F446" i="3"/>
  <c r="I446" i="3"/>
  <c r="J446" i="3"/>
  <c r="M446" i="3"/>
  <c r="N446" i="3" s="1"/>
  <c r="L446" i="3" l="1"/>
  <c r="V446" i="3"/>
  <c r="W446" i="3" s="1"/>
  <c r="A447" i="3"/>
  <c r="B447" i="3" s="1"/>
  <c r="Z447" i="3" l="1"/>
  <c r="P447" i="3"/>
  <c r="Q447" i="3" s="1"/>
  <c r="R447" i="3" s="1"/>
  <c r="S447" i="3" s="1"/>
  <c r="AC447" i="3"/>
  <c r="AA447" i="3"/>
  <c r="U446" i="3"/>
  <c r="Y445" i="3"/>
  <c r="T447" i="3" l="1"/>
  <c r="AG447" i="3" s="1"/>
  <c r="D447" i="3" l="1"/>
  <c r="G447" i="3" s="1"/>
  <c r="AH447" i="3"/>
  <c r="E447" i="3"/>
  <c r="H447" i="3" s="1"/>
  <c r="K447" i="3" s="1"/>
  <c r="AE447" i="3" s="1"/>
  <c r="F447" i="3" l="1"/>
  <c r="I447" i="3"/>
  <c r="J447" i="3"/>
  <c r="AD447" i="3" s="1"/>
  <c r="M447" i="3"/>
  <c r="N447" i="3" s="1"/>
  <c r="V447" i="3"/>
  <c r="A448" i="3"/>
  <c r="B448" i="3" s="1"/>
  <c r="W447" i="3" l="1"/>
  <c r="L447" i="3"/>
  <c r="Z448" i="3"/>
  <c r="AA448" i="3"/>
  <c r="P448" i="3"/>
  <c r="Q448" i="3" s="1"/>
  <c r="R448" i="3" s="1"/>
  <c r="S448" i="3" s="1"/>
  <c r="AC448" i="3"/>
  <c r="T448" i="3" l="1"/>
  <c r="AG448" i="3" s="1"/>
  <c r="U447" i="3"/>
  <c r="Y446" i="3"/>
  <c r="D448" i="3" l="1"/>
  <c r="G448" i="3" s="1"/>
  <c r="E448" i="3"/>
  <c r="H448" i="3" s="1"/>
  <c r="AH448" i="3"/>
  <c r="F448" i="3" l="1"/>
  <c r="I448" i="3"/>
  <c r="J448" i="3"/>
  <c r="AD448" i="3" s="1"/>
  <c r="M448" i="3"/>
  <c r="N448" i="3" s="1"/>
  <c r="K448" i="3"/>
  <c r="AE448" i="3" s="1"/>
  <c r="V448" i="3" l="1"/>
  <c r="W448" i="3" s="1"/>
  <c r="A449" i="3"/>
  <c r="B449" i="3" s="1"/>
  <c r="L448" i="3"/>
  <c r="U448" i="3" l="1"/>
  <c r="Y447" i="3"/>
  <c r="P449" i="3"/>
  <c r="Q449" i="3" s="1"/>
  <c r="R449" i="3" s="1"/>
  <c r="S449" i="3" s="1"/>
  <c r="AD449" i="3"/>
  <c r="AA449" i="3"/>
  <c r="Z449" i="3"/>
  <c r="AC449" i="3"/>
  <c r="T449" i="3" l="1"/>
  <c r="D449" i="3" s="1"/>
  <c r="G449" i="3" l="1"/>
  <c r="AG449" i="3"/>
  <c r="AH449" i="3"/>
  <c r="E449" i="3"/>
  <c r="H449" i="3" s="1"/>
  <c r="K449" i="3" l="1"/>
  <c r="AE449" i="3" s="1"/>
  <c r="F449" i="3"/>
  <c r="I449" i="3"/>
  <c r="J449" i="3"/>
  <c r="M449" i="3"/>
  <c r="N449" i="3" s="1"/>
  <c r="L449" i="3" l="1"/>
  <c r="V449" i="3"/>
  <c r="W449" i="3" s="1"/>
  <c r="A450" i="3"/>
  <c r="B450" i="3" s="1"/>
  <c r="P450" i="3" l="1"/>
  <c r="Q450" i="3" s="1"/>
  <c r="R450" i="3" s="1"/>
  <c r="S450" i="3" s="1"/>
  <c r="AD450" i="3"/>
  <c r="Z450" i="3"/>
  <c r="AC450" i="3"/>
  <c r="AA450" i="3"/>
  <c r="U449" i="3"/>
  <c r="Y448" i="3"/>
  <c r="T450" i="3" l="1"/>
  <c r="D450" i="3" s="1"/>
  <c r="AH450" i="3" l="1"/>
  <c r="G450" i="3"/>
  <c r="E450" i="3"/>
  <c r="H450" i="3" s="1"/>
  <c r="AG450" i="3"/>
  <c r="F450" i="3" l="1"/>
  <c r="I450" i="3"/>
  <c r="J450" i="3"/>
  <c r="M450" i="3"/>
  <c r="N450" i="3" s="1"/>
  <c r="K450" i="3"/>
  <c r="AE450" i="3" s="1"/>
  <c r="V450" i="3" l="1"/>
  <c r="W450" i="3" s="1"/>
  <c r="A451" i="3"/>
  <c r="B451" i="3" s="1"/>
  <c r="L450" i="3"/>
  <c r="U450" i="3" l="1"/>
  <c r="Y449" i="3"/>
  <c r="P451" i="3"/>
  <c r="Q451" i="3" s="1"/>
  <c r="R451" i="3" s="1"/>
  <c r="S451" i="3" s="1"/>
  <c r="Z451" i="3"/>
  <c r="AD451" i="3"/>
  <c r="AA451" i="3"/>
  <c r="AC451" i="3"/>
  <c r="T451" i="3" l="1"/>
  <c r="AG451" i="3" s="1"/>
  <c r="E451" i="3" l="1"/>
  <c r="H451" i="3" s="1"/>
  <c r="K451" i="3" s="1"/>
  <c r="AE451" i="3" s="1"/>
  <c r="AH451" i="3"/>
  <c r="D451" i="3"/>
  <c r="V451" i="3" l="1"/>
  <c r="A452" i="3"/>
  <c r="B452" i="3" s="1"/>
  <c r="F451" i="3"/>
  <c r="G451" i="3"/>
  <c r="I451" i="3" l="1"/>
  <c r="W451" i="3" s="1"/>
  <c r="J451" i="3"/>
  <c r="M451" i="3"/>
  <c r="N451" i="3" s="1"/>
  <c r="AA452" i="3"/>
  <c r="P452" i="3"/>
  <c r="Q452" i="3" s="1"/>
  <c r="R452" i="3" s="1"/>
  <c r="S452" i="3" s="1"/>
  <c r="AC452" i="3"/>
  <c r="Z452" i="3"/>
  <c r="AD452" i="3"/>
  <c r="T452" i="3" l="1"/>
  <c r="L451" i="3"/>
  <c r="U451" i="3" l="1"/>
  <c r="D452" i="3" s="1"/>
  <c r="AH452" i="3"/>
  <c r="AG452" i="3"/>
  <c r="Y450" i="3"/>
  <c r="E452" i="3" l="1"/>
  <c r="H452" i="3" s="1"/>
  <c r="K452" i="3" s="1"/>
  <c r="AE452" i="3" s="1"/>
  <c r="G452" i="3"/>
  <c r="F452" i="3" l="1"/>
  <c r="I452" i="3"/>
  <c r="J452" i="3"/>
  <c r="M452" i="3"/>
  <c r="N452" i="3" s="1"/>
  <c r="V452" i="3"/>
  <c r="A453" i="3"/>
  <c r="B453" i="3" s="1"/>
  <c r="W452" i="3" l="1"/>
  <c r="L452" i="3"/>
  <c r="AA453" i="3"/>
  <c r="P453" i="3"/>
  <c r="Q453" i="3" s="1"/>
  <c r="R453" i="3" s="1"/>
  <c r="S453" i="3" s="1"/>
  <c r="AC453" i="3"/>
  <c r="AD453" i="3"/>
  <c r="Z453" i="3"/>
  <c r="U452" i="3" l="1"/>
  <c r="Y451" i="3"/>
  <c r="T453" i="3"/>
  <c r="AH453" i="3" s="1"/>
  <c r="AG453" i="3" l="1"/>
  <c r="E453" i="3"/>
  <c r="H453" i="3" s="1"/>
  <c r="D453" i="3"/>
  <c r="K453" i="3" l="1"/>
  <c r="AE453" i="3" s="1"/>
  <c r="F453" i="3"/>
  <c r="G453" i="3"/>
  <c r="I453" i="3" l="1"/>
  <c r="J453" i="3"/>
  <c r="M453" i="3"/>
  <c r="N453" i="3" s="1"/>
  <c r="V453" i="3"/>
  <c r="A454" i="3"/>
  <c r="B454" i="3" s="1"/>
  <c r="W453" i="3" l="1"/>
  <c r="AA454" i="3"/>
  <c r="AC454" i="3"/>
  <c r="Z454" i="3"/>
  <c r="P454" i="3"/>
  <c r="Q454" i="3" s="1"/>
  <c r="R454" i="3" s="1"/>
  <c r="S454" i="3" s="1"/>
  <c r="L453" i="3"/>
  <c r="U453" i="3" l="1"/>
  <c r="Y452" i="3"/>
  <c r="T454" i="3"/>
  <c r="E454" i="3" l="1"/>
  <c r="H454" i="3" s="1"/>
  <c r="K454" i="3" s="1"/>
  <c r="AE454" i="3" s="1"/>
  <c r="AH454" i="3"/>
  <c r="AG454" i="3"/>
  <c r="D454" i="3"/>
  <c r="F454" i="3" l="1"/>
  <c r="G454" i="3"/>
  <c r="V454" i="3"/>
  <c r="A455" i="3"/>
  <c r="B455" i="3" s="1"/>
  <c r="AC455" i="3" l="1"/>
  <c r="AD455" i="3"/>
  <c r="AA455" i="3"/>
  <c r="Z455" i="3"/>
  <c r="P455" i="3"/>
  <c r="Q455" i="3" s="1"/>
  <c r="R455" i="3" s="1"/>
  <c r="S455" i="3" s="1"/>
  <c r="I454" i="3"/>
  <c r="W454" i="3" s="1"/>
  <c r="J454" i="3"/>
  <c r="AD454" i="3" s="1"/>
  <c r="M454" i="3"/>
  <c r="N454" i="3" s="1"/>
  <c r="L454" i="3" l="1"/>
  <c r="T455" i="3"/>
  <c r="AH455" i="3" l="1"/>
  <c r="U454" i="3"/>
  <c r="D455" i="3" s="1"/>
  <c r="AG455" i="3"/>
  <c r="Y453" i="3"/>
  <c r="E455" i="3" l="1"/>
  <c r="H455" i="3" s="1"/>
  <c r="K455" i="3" s="1"/>
  <c r="AE455" i="3" s="1"/>
  <c r="G455" i="3"/>
  <c r="F455" i="3" l="1"/>
  <c r="I455" i="3"/>
  <c r="J455" i="3"/>
  <c r="M455" i="3"/>
  <c r="N455" i="3" s="1"/>
  <c r="V455" i="3"/>
  <c r="A456" i="3"/>
  <c r="B456" i="3" s="1"/>
  <c r="W455" i="3" l="1"/>
  <c r="L455" i="3"/>
  <c r="AC456" i="3"/>
  <c r="P456" i="3"/>
  <c r="Q456" i="3" s="1"/>
  <c r="R456" i="3" s="1"/>
  <c r="S456" i="3" s="1"/>
  <c r="AD456" i="3"/>
  <c r="Z456" i="3"/>
  <c r="AA456" i="3"/>
  <c r="U455" i="3" l="1"/>
  <c r="Y454" i="3"/>
  <c r="T456" i="3"/>
  <c r="AG456" i="3" s="1"/>
  <c r="D456" i="3" l="1"/>
  <c r="G456" i="3" s="1"/>
  <c r="AH456" i="3"/>
  <c r="E456" i="3"/>
  <c r="H456" i="3" s="1"/>
  <c r="I456" i="3" l="1"/>
  <c r="J456" i="3"/>
  <c r="M456" i="3"/>
  <c r="N456" i="3" s="1"/>
  <c r="K456" i="3"/>
  <c r="AE456" i="3" s="1"/>
  <c r="F456" i="3"/>
  <c r="V456" i="3" l="1"/>
  <c r="W456" i="3" s="1"/>
  <c r="A457" i="3"/>
  <c r="B457" i="3" s="1"/>
  <c r="L456" i="3"/>
  <c r="Z457" i="3" l="1"/>
  <c r="AC457" i="3"/>
  <c r="P457" i="3"/>
  <c r="Q457" i="3" s="1"/>
  <c r="R457" i="3" s="1"/>
  <c r="S457" i="3" s="1"/>
  <c r="AA457" i="3"/>
  <c r="U456" i="3"/>
  <c r="Y455" i="3"/>
  <c r="T457" i="3" l="1"/>
  <c r="D457" i="3" l="1"/>
  <c r="AH457" i="3"/>
  <c r="E457" i="3"/>
  <c r="H457" i="3" s="1"/>
  <c r="AG457" i="3"/>
  <c r="F457" i="3" l="1"/>
  <c r="G457" i="3"/>
  <c r="K457" i="3"/>
  <c r="AE457" i="3" s="1"/>
  <c r="I457" i="3" l="1"/>
  <c r="J457" i="3"/>
  <c r="AD457" i="3" s="1"/>
  <c r="M457" i="3"/>
  <c r="N457" i="3" s="1"/>
  <c r="V457" i="3"/>
  <c r="A458" i="3"/>
  <c r="B458" i="3" s="1"/>
  <c r="L457" i="3" l="1"/>
  <c r="W457" i="3"/>
  <c r="P458" i="3"/>
  <c r="Q458" i="3" s="1"/>
  <c r="R458" i="3" s="1"/>
  <c r="S458" i="3" s="1"/>
  <c r="AC458" i="3"/>
  <c r="Z458" i="3"/>
  <c r="AA458" i="3"/>
  <c r="U457" i="3" l="1"/>
  <c r="Y456" i="3"/>
  <c r="T458" i="3"/>
  <c r="AH458" i="3" s="1"/>
  <c r="AG458" i="3" l="1"/>
  <c r="E458" i="3"/>
  <c r="H458" i="3" s="1"/>
  <c r="D458" i="3"/>
  <c r="K458" i="3" l="1"/>
  <c r="AE458" i="3" s="1"/>
  <c r="F458" i="3"/>
  <c r="G458" i="3"/>
  <c r="V458" i="3" l="1"/>
  <c r="A459" i="3"/>
  <c r="B459" i="3" s="1"/>
  <c r="I458" i="3"/>
  <c r="J458" i="3"/>
  <c r="AD458" i="3" s="1"/>
  <c r="M458" i="3"/>
  <c r="N458" i="3" s="1"/>
  <c r="W458" i="3" l="1"/>
  <c r="L458" i="3"/>
  <c r="Z459" i="3"/>
  <c r="P459" i="3"/>
  <c r="Q459" i="3" s="1"/>
  <c r="R459" i="3" s="1"/>
  <c r="S459" i="3" s="1"/>
  <c r="AA459" i="3"/>
  <c r="AD459" i="3"/>
  <c r="AC459" i="3"/>
  <c r="T459" i="3" l="1"/>
  <c r="AH459" i="3" s="1"/>
  <c r="U458" i="3"/>
  <c r="Y457" i="3"/>
  <c r="AG459" i="3" l="1"/>
  <c r="D459" i="3"/>
  <c r="E459" i="3"/>
  <c r="H459" i="3" s="1"/>
  <c r="K459" i="3" l="1"/>
  <c r="AE459" i="3" s="1"/>
  <c r="F459" i="3"/>
  <c r="G459" i="3"/>
  <c r="I459" i="3" l="1"/>
  <c r="J459" i="3"/>
  <c r="M459" i="3"/>
  <c r="N459" i="3" s="1"/>
  <c r="V459" i="3"/>
  <c r="A460" i="3"/>
  <c r="B460" i="3" s="1"/>
  <c r="W459" i="3" l="1"/>
  <c r="L459" i="3"/>
  <c r="P460" i="3"/>
  <c r="Q460" i="3" s="1"/>
  <c r="R460" i="3" s="1"/>
  <c r="S460" i="3" s="1"/>
  <c r="AD460" i="3"/>
  <c r="Z460" i="3"/>
  <c r="AA460" i="3"/>
  <c r="AC460" i="3"/>
  <c r="U459" i="3" l="1"/>
  <c r="Y458" i="3"/>
  <c r="T460" i="3"/>
  <c r="D460" i="3" l="1"/>
  <c r="G460" i="3" s="1"/>
  <c r="AH460" i="3"/>
  <c r="E460" i="3"/>
  <c r="H460" i="3" s="1"/>
  <c r="AG460" i="3"/>
  <c r="F460" i="3" l="1"/>
  <c r="I460" i="3"/>
  <c r="J460" i="3"/>
  <c r="M460" i="3"/>
  <c r="N460" i="3" s="1"/>
  <c r="K460" i="3"/>
  <c r="AE460" i="3" s="1"/>
  <c r="V460" i="3" l="1"/>
  <c r="W460" i="3" s="1"/>
  <c r="A461" i="3"/>
  <c r="B461" i="3" s="1"/>
  <c r="L460" i="3"/>
  <c r="U460" i="3" l="1"/>
  <c r="Y459" i="3"/>
  <c r="AC461" i="3"/>
  <c r="Z461" i="3"/>
  <c r="P461" i="3"/>
  <c r="Q461" i="3" s="1"/>
  <c r="R461" i="3" s="1"/>
  <c r="S461" i="3" s="1"/>
  <c r="AA461" i="3"/>
  <c r="AD461" i="3"/>
  <c r="T461" i="3" l="1"/>
  <c r="D461" i="3" s="1"/>
  <c r="AG461" i="3" l="1"/>
  <c r="G461" i="3"/>
  <c r="AH461" i="3"/>
  <c r="E461" i="3"/>
  <c r="H461" i="3" s="1"/>
  <c r="F461" i="3" l="1"/>
  <c r="I461" i="3"/>
  <c r="J461" i="3"/>
  <c r="M461" i="3"/>
  <c r="N461" i="3" s="1"/>
  <c r="K461" i="3"/>
  <c r="AE461" i="3" s="1"/>
  <c r="V461" i="3" l="1"/>
  <c r="W461" i="3" s="1"/>
  <c r="A462" i="3"/>
  <c r="B462" i="3" s="1"/>
  <c r="L461" i="3"/>
  <c r="U461" i="3" l="1"/>
  <c r="Y460" i="3"/>
  <c r="Z462" i="3"/>
  <c r="P462" i="3"/>
  <c r="Q462" i="3" s="1"/>
  <c r="R462" i="3" s="1"/>
  <c r="S462" i="3" s="1"/>
  <c r="AD462" i="3"/>
  <c r="AA462" i="3"/>
  <c r="AC462" i="3"/>
  <c r="T462" i="3" l="1"/>
  <c r="E462" i="3" s="1"/>
  <c r="H462" i="3" s="1"/>
  <c r="AG462" i="3" l="1"/>
  <c r="AH462" i="3"/>
  <c r="D462" i="3"/>
  <c r="G462" i="3" s="1"/>
  <c r="K462" i="3"/>
  <c r="AE462" i="3" s="1"/>
  <c r="F462" i="3" l="1"/>
  <c r="V462" i="3"/>
  <c r="A463" i="3"/>
  <c r="B463" i="3" s="1"/>
  <c r="I462" i="3"/>
  <c r="J462" i="3"/>
  <c r="M462" i="3"/>
  <c r="N462" i="3" s="1"/>
  <c r="W462" i="3" l="1"/>
  <c r="L462" i="3"/>
  <c r="P463" i="3"/>
  <c r="Q463" i="3" s="1"/>
  <c r="R463" i="3" s="1"/>
  <c r="S463" i="3" s="1"/>
  <c r="AC463" i="3"/>
  <c r="Z463" i="3"/>
  <c r="AA463" i="3"/>
  <c r="AD463" i="3"/>
  <c r="U462" i="3" l="1"/>
  <c r="Y461" i="3"/>
  <c r="T463" i="3"/>
  <c r="AH463" i="3" s="1"/>
  <c r="AG463" i="3" l="1"/>
  <c r="D463" i="3"/>
  <c r="E463" i="3"/>
  <c r="H463" i="3" s="1"/>
  <c r="F463" i="3" l="1"/>
  <c r="G463" i="3"/>
  <c r="K463" i="3"/>
  <c r="AE463" i="3" s="1"/>
  <c r="V463" i="3" l="1"/>
  <c r="A464" i="3"/>
  <c r="B464" i="3" s="1"/>
  <c r="I463" i="3"/>
  <c r="J463" i="3"/>
  <c r="M463" i="3"/>
  <c r="N463" i="3" s="1"/>
  <c r="W463" i="3" l="1"/>
  <c r="L463" i="3"/>
  <c r="Z464" i="3"/>
  <c r="AC464" i="3"/>
  <c r="P464" i="3"/>
  <c r="Q464" i="3" s="1"/>
  <c r="R464" i="3" s="1"/>
  <c r="S464" i="3" s="1"/>
  <c r="AA464" i="3"/>
  <c r="T464" i="3" l="1"/>
  <c r="AG464" i="3" s="1"/>
  <c r="U463" i="3"/>
  <c r="Y462" i="3"/>
  <c r="AH464" i="3" l="1"/>
  <c r="D464" i="3"/>
  <c r="E464" i="3"/>
  <c r="H464" i="3" s="1"/>
  <c r="K464" i="3" l="1"/>
  <c r="AE464" i="3" s="1"/>
  <c r="F464" i="3"/>
  <c r="G464" i="3"/>
  <c r="I464" i="3" l="1"/>
  <c r="J464" i="3"/>
  <c r="AD464" i="3" s="1"/>
  <c r="M464" i="3"/>
  <c r="N464" i="3" s="1"/>
  <c r="V464" i="3"/>
  <c r="A465" i="3"/>
  <c r="B465" i="3" s="1"/>
  <c r="W464" i="3" l="1"/>
  <c r="L464" i="3"/>
  <c r="Z465" i="3"/>
  <c r="P465" i="3"/>
  <c r="Q465" i="3" s="1"/>
  <c r="R465" i="3" s="1"/>
  <c r="S465" i="3" s="1"/>
  <c r="AC465" i="3"/>
  <c r="AA465" i="3"/>
  <c r="T465" i="3" l="1"/>
  <c r="AH465" i="3" s="1"/>
  <c r="U464" i="3"/>
  <c r="Y463" i="3"/>
  <c r="D465" i="3" l="1"/>
  <c r="G465" i="3" s="1"/>
  <c r="E465" i="3"/>
  <c r="H465" i="3" s="1"/>
  <c r="AG465" i="3"/>
  <c r="F465" i="3" l="1"/>
  <c r="I465" i="3"/>
  <c r="J465" i="3"/>
  <c r="AD465" i="3" s="1"/>
  <c r="M465" i="3"/>
  <c r="N465" i="3" s="1"/>
  <c r="K465" i="3"/>
  <c r="AE465" i="3" s="1"/>
  <c r="V465" i="3" l="1"/>
  <c r="W465" i="3" s="1"/>
  <c r="A466" i="3"/>
  <c r="B466" i="3" s="1"/>
  <c r="L465" i="3"/>
  <c r="U465" i="3" l="1"/>
  <c r="Y464" i="3"/>
  <c r="AA466" i="3"/>
  <c r="AC466" i="3"/>
  <c r="Z466" i="3"/>
  <c r="P466" i="3"/>
  <c r="Q466" i="3" s="1"/>
  <c r="R466" i="3" s="1"/>
  <c r="S466" i="3" s="1"/>
  <c r="T466" i="3" l="1"/>
  <c r="AH466" i="3" s="1"/>
  <c r="AG466" i="3" l="1"/>
  <c r="E466" i="3"/>
  <c r="H466" i="3" s="1"/>
  <c r="K466" i="3" s="1"/>
  <c r="AE466" i="3" s="1"/>
  <c r="D466" i="3"/>
  <c r="G466" i="3" s="1"/>
  <c r="F466" i="3" l="1"/>
  <c r="I466" i="3"/>
  <c r="J466" i="3"/>
  <c r="AD466" i="3" s="1"/>
  <c r="M466" i="3"/>
  <c r="N466" i="3" s="1"/>
  <c r="V466" i="3"/>
  <c r="A467" i="3"/>
  <c r="B467" i="3" s="1"/>
  <c r="W466" i="3" l="1"/>
  <c r="L466" i="3"/>
  <c r="P467" i="3"/>
  <c r="Q467" i="3" s="1"/>
  <c r="R467" i="3" s="1"/>
  <c r="S467" i="3" s="1"/>
  <c r="AA467" i="3"/>
  <c r="Z467" i="3"/>
  <c r="AC467" i="3"/>
  <c r="U466" i="3" l="1"/>
  <c r="Y465" i="3"/>
  <c r="T467" i="3"/>
  <c r="E467" i="3" l="1"/>
  <c r="H467" i="3" s="1"/>
  <c r="K467" i="3" s="1"/>
  <c r="AE467" i="3" s="1"/>
  <c r="AG467" i="3"/>
  <c r="D467" i="3"/>
  <c r="AH467" i="3"/>
  <c r="F467" i="3" l="1"/>
  <c r="G467" i="3"/>
  <c r="V467" i="3"/>
  <c r="A468" i="3"/>
  <c r="B468" i="3" s="1"/>
  <c r="AC468" i="3" l="1"/>
  <c r="Z468" i="3"/>
  <c r="P468" i="3"/>
  <c r="Q468" i="3" s="1"/>
  <c r="R468" i="3" s="1"/>
  <c r="S468" i="3" s="1"/>
  <c r="AA468" i="3"/>
  <c r="I467" i="3"/>
  <c r="W467" i="3" s="1"/>
  <c r="J467" i="3"/>
  <c r="AD467" i="3" s="1"/>
  <c r="M467" i="3"/>
  <c r="N467" i="3" s="1"/>
  <c r="L467" i="3" l="1"/>
  <c r="T468" i="3"/>
  <c r="U467" i="3" l="1"/>
  <c r="D468" i="3" s="1"/>
  <c r="AH468" i="3"/>
  <c r="AG468" i="3"/>
  <c r="Y466" i="3"/>
  <c r="E468" i="3" l="1"/>
  <c r="H468" i="3" s="1"/>
  <c r="K468" i="3" s="1"/>
  <c r="AE468" i="3" s="1"/>
  <c r="G468" i="3"/>
  <c r="F468" i="3" l="1"/>
  <c r="I468" i="3"/>
  <c r="J468" i="3"/>
  <c r="AD468" i="3" s="1"/>
  <c r="M468" i="3"/>
  <c r="N468" i="3" s="1"/>
  <c r="V468" i="3"/>
  <c r="A469" i="3"/>
  <c r="B469" i="3" s="1"/>
  <c r="W468" i="3" l="1"/>
  <c r="L468" i="3"/>
  <c r="AA469" i="3"/>
  <c r="P469" i="3"/>
  <c r="Q469" i="3" s="1"/>
  <c r="R469" i="3" s="1"/>
  <c r="S469" i="3" s="1"/>
  <c r="Z469" i="3"/>
  <c r="AC469" i="3"/>
  <c r="U468" i="3" l="1"/>
  <c r="Y467" i="3"/>
  <c r="T469" i="3"/>
  <c r="AG469" i="3" s="1"/>
  <c r="D469" i="3" l="1"/>
  <c r="G469" i="3" s="1"/>
  <c r="AH469" i="3"/>
  <c r="E469" i="3"/>
  <c r="H469" i="3" s="1"/>
  <c r="K469" i="3" s="1"/>
  <c r="AE469" i="3" s="1"/>
  <c r="F469" i="3" l="1"/>
  <c r="I469" i="3"/>
  <c r="J469" i="3"/>
  <c r="AD469" i="3" s="1"/>
  <c r="M469" i="3"/>
  <c r="N469" i="3" s="1"/>
  <c r="V469" i="3"/>
  <c r="A470" i="3"/>
  <c r="B470" i="3" s="1"/>
  <c r="W469" i="3" l="1"/>
  <c r="L469" i="3"/>
  <c r="AC470" i="3"/>
  <c r="P470" i="3"/>
  <c r="Q470" i="3" s="1"/>
  <c r="R470" i="3" s="1"/>
  <c r="S470" i="3" s="1"/>
  <c r="AA470" i="3"/>
  <c r="Z470" i="3"/>
  <c r="U469" i="3" l="1"/>
  <c r="Y468" i="3"/>
  <c r="T470" i="3"/>
  <c r="D470" i="3" l="1"/>
  <c r="G470" i="3" s="1"/>
  <c r="AH470" i="3"/>
  <c r="AG470" i="3"/>
  <c r="E470" i="3"/>
  <c r="H470" i="3" s="1"/>
  <c r="K470" i="3" l="1"/>
  <c r="AE470" i="3" s="1"/>
  <c r="F470" i="3"/>
  <c r="I470" i="3"/>
  <c r="J470" i="3"/>
  <c r="AD470" i="3" s="1"/>
  <c r="M470" i="3"/>
  <c r="N470" i="3" s="1"/>
  <c r="V470" i="3" l="1"/>
  <c r="W470" i="3" s="1"/>
  <c r="A471" i="3"/>
  <c r="B471" i="3" s="1"/>
  <c r="L470" i="3"/>
  <c r="U470" i="3" l="1"/>
  <c r="Y469" i="3"/>
  <c r="Z471" i="3"/>
  <c r="AA471" i="3"/>
  <c r="AC471" i="3"/>
  <c r="P471" i="3"/>
  <c r="Q471" i="3" s="1"/>
  <c r="R471" i="3" s="1"/>
  <c r="S471" i="3" s="1"/>
  <c r="T471" i="3" l="1"/>
  <c r="AH471" i="3" s="1"/>
  <c r="AG471" i="3" l="1"/>
  <c r="E471" i="3"/>
  <c r="H471" i="3" s="1"/>
  <c r="D471" i="3"/>
  <c r="F471" i="3" l="1"/>
  <c r="G471" i="3"/>
  <c r="K471" i="3"/>
  <c r="AE471" i="3" s="1"/>
  <c r="V471" i="3" l="1"/>
  <c r="A472" i="3"/>
  <c r="B472" i="3" s="1"/>
  <c r="I471" i="3"/>
  <c r="J471" i="3"/>
  <c r="AD471" i="3" s="1"/>
  <c r="M471" i="3"/>
  <c r="N471" i="3" s="1"/>
  <c r="W471" i="3" l="1"/>
  <c r="L471" i="3"/>
  <c r="Z472" i="3"/>
  <c r="AA472" i="3"/>
  <c r="P472" i="3"/>
  <c r="Q472" i="3" s="1"/>
  <c r="R472" i="3" s="1"/>
  <c r="S472" i="3" s="1"/>
  <c r="AC472" i="3"/>
  <c r="U471" i="3" l="1"/>
  <c r="Y470" i="3"/>
  <c r="T472" i="3"/>
  <c r="E472" i="3" l="1"/>
  <c r="H472" i="3" s="1"/>
  <c r="K472" i="3" s="1"/>
  <c r="AE472" i="3" s="1"/>
  <c r="AG472" i="3"/>
  <c r="AH472" i="3"/>
  <c r="D472" i="3"/>
  <c r="V472" i="3" l="1"/>
  <c r="A473" i="3"/>
  <c r="B473" i="3" s="1"/>
  <c r="F472" i="3"/>
  <c r="G472" i="3"/>
  <c r="I472" i="3" l="1"/>
  <c r="W472" i="3" s="1"/>
  <c r="J472" i="3"/>
  <c r="AD472" i="3" s="1"/>
  <c r="M472" i="3"/>
  <c r="N472" i="3" s="1"/>
  <c r="AC473" i="3"/>
  <c r="P473" i="3"/>
  <c r="Q473" i="3" s="1"/>
  <c r="R473" i="3" s="1"/>
  <c r="S473" i="3" s="1"/>
  <c r="Z473" i="3"/>
  <c r="AA473" i="3"/>
  <c r="L472" i="3" l="1"/>
  <c r="T473" i="3"/>
  <c r="U472" i="3" l="1"/>
  <c r="D473" i="3" s="1"/>
  <c r="AH473" i="3"/>
  <c r="AG473" i="3"/>
  <c r="Y471" i="3"/>
  <c r="G473" i="3" l="1"/>
  <c r="E473" i="3"/>
  <c r="H473" i="3" s="1"/>
  <c r="F473" i="3" l="1"/>
  <c r="I473" i="3"/>
  <c r="J473" i="3"/>
  <c r="AD473" i="3" s="1"/>
  <c r="M473" i="3"/>
  <c r="N473" i="3" s="1"/>
  <c r="K473" i="3"/>
  <c r="AE473" i="3" s="1"/>
  <c r="V473" i="3" l="1"/>
  <c r="W473" i="3" s="1"/>
  <c r="A474" i="3"/>
  <c r="B474" i="3" s="1"/>
  <c r="L473" i="3"/>
  <c r="U473" i="3" l="1"/>
  <c r="Y472" i="3"/>
  <c r="P474" i="3"/>
  <c r="Q474" i="3" s="1"/>
  <c r="R474" i="3" s="1"/>
  <c r="S474" i="3" s="1"/>
  <c r="Z474" i="3"/>
  <c r="AA474" i="3"/>
  <c r="AC474" i="3"/>
  <c r="T474" i="3" l="1"/>
  <c r="D474" i="3" s="1"/>
  <c r="AG474" i="3" l="1"/>
  <c r="AH474" i="3"/>
  <c r="G474" i="3"/>
  <c r="E474" i="3"/>
  <c r="H474" i="3" s="1"/>
  <c r="I474" i="3" l="1"/>
  <c r="J474" i="3"/>
  <c r="AD474" i="3" s="1"/>
  <c r="M474" i="3"/>
  <c r="N474" i="3" s="1"/>
  <c r="F474" i="3"/>
  <c r="K474" i="3"/>
  <c r="AE474" i="3" s="1"/>
  <c r="V474" i="3" l="1"/>
  <c r="W474" i="3" s="1"/>
  <c r="A475" i="3"/>
  <c r="B475" i="3" s="1"/>
  <c r="L474" i="3"/>
  <c r="U474" i="3" l="1"/>
  <c r="Y473" i="3"/>
  <c r="AC475" i="3"/>
  <c r="Z475" i="3"/>
  <c r="P475" i="3"/>
  <c r="Q475" i="3" s="1"/>
  <c r="R475" i="3" s="1"/>
  <c r="S475" i="3" s="1"/>
  <c r="AD475" i="3"/>
  <c r="AA475" i="3"/>
  <c r="T475" i="3" l="1"/>
  <c r="AG475" i="3" s="1"/>
  <c r="AH475" i="3" l="1"/>
  <c r="E475" i="3"/>
  <c r="H475" i="3" s="1"/>
  <c r="K475" i="3" s="1"/>
  <c r="AE475" i="3" s="1"/>
  <c r="D475" i="3"/>
  <c r="F475" i="3" l="1"/>
  <c r="G475" i="3"/>
  <c r="M475" i="3" s="1"/>
  <c r="N475" i="3" s="1"/>
  <c r="V475" i="3"/>
  <c r="A476" i="3"/>
  <c r="B476" i="3" s="1"/>
  <c r="I475" i="3" l="1"/>
  <c r="W475" i="3" s="1"/>
  <c r="J475" i="3"/>
  <c r="L475" i="3" s="1"/>
  <c r="P476" i="3"/>
  <c r="Q476" i="3" s="1"/>
  <c r="R476" i="3" s="1"/>
  <c r="S476" i="3" s="1"/>
  <c r="AA476" i="3"/>
  <c r="AD476" i="3"/>
  <c r="Z476" i="3"/>
  <c r="AC476" i="3"/>
  <c r="U475" i="3" l="1"/>
  <c r="Y474" i="3"/>
  <c r="T476" i="3"/>
  <c r="AG476" i="3" s="1"/>
  <c r="D476" i="3" l="1"/>
  <c r="G476" i="3" s="1"/>
  <c r="E476" i="3"/>
  <c r="H476" i="3" s="1"/>
  <c r="K476" i="3" s="1"/>
  <c r="AE476" i="3" s="1"/>
  <c r="AH476" i="3"/>
  <c r="F476" i="3" l="1"/>
  <c r="V476" i="3"/>
  <c r="A477" i="3"/>
  <c r="B477" i="3" s="1"/>
  <c r="I476" i="3"/>
  <c r="J476" i="3"/>
  <c r="M476" i="3"/>
  <c r="N476" i="3" s="1"/>
  <c r="W476" i="3" l="1"/>
  <c r="L476" i="3"/>
  <c r="AA477" i="3"/>
  <c r="P477" i="3"/>
  <c r="Q477" i="3" s="1"/>
  <c r="R477" i="3" s="1"/>
  <c r="S477" i="3" s="1"/>
  <c r="AC477" i="3"/>
  <c r="Z477" i="3"/>
  <c r="U476" i="3" l="1"/>
  <c r="Y475" i="3"/>
  <c r="T477" i="3"/>
  <c r="D477" i="3" l="1"/>
  <c r="G477" i="3" s="1"/>
  <c r="AG477" i="3"/>
  <c r="E477" i="3"/>
  <c r="H477" i="3" s="1"/>
  <c r="K477" i="3" s="1"/>
  <c r="AE477" i="3" s="1"/>
  <c r="AH477" i="3"/>
  <c r="F477" i="3" l="1"/>
  <c r="V477" i="3"/>
  <c r="A478" i="3"/>
  <c r="B478" i="3" s="1"/>
  <c r="I477" i="3"/>
  <c r="J477" i="3"/>
  <c r="AD477" i="3" s="1"/>
  <c r="M477" i="3"/>
  <c r="N477" i="3" s="1"/>
  <c r="W477" i="3" l="1"/>
  <c r="L477" i="3"/>
  <c r="AA478" i="3"/>
  <c r="P478" i="3"/>
  <c r="Q478" i="3" s="1"/>
  <c r="R478" i="3" s="1"/>
  <c r="S478" i="3" s="1"/>
  <c r="AC478" i="3"/>
  <c r="Z478" i="3"/>
  <c r="T478" i="3" l="1"/>
  <c r="U477" i="3"/>
  <c r="Y476" i="3"/>
  <c r="E478" i="3" l="1"/>
  <c r="H478" i="3" s="1"/>
  <c r="K478" i="3" s="1"/>
  <c r="AE478" i="3" s="1"/>
  <c r="AG478" i="3"/>
  <c r="AH478" i="3"/>
  <c r="D478" i="3"/>
  <c r="F478" i="3" l="1"/>
  <c r="G478" i="3"/>
  <c r="V478" i="3"/>
  <c r="A479" i="3"/>
  <c r="B479" i="3" s="1"/>
  <c r="I478" i="3" l="1"/>
  <c r="W478" i="3" s="1"/>
  <c r="J478" i="3"/>
  <c r="AD478" i="3" s="1"/>
  <c r="M478" i="3"/>
  <c r="N478" i="3" s="1"/>
  <c r="P479" i="3"/>
  <c r="Q479" i="3" s="1"/>
  <c r="R479" i="3" s="1"/>
  <c r="S479" i="3" s="1"/>
  <c r="AD479" i="3"/>
  <c r="AC479" i="3"/>
  <c r="AA479" i="3"/>
  <c r="Z479" i="3"/>
  <c r="T479" i="3" l="1"/>
  <c r="L478" i="3"/>
  <c r="U478" i="3" l="1"/>
  <c r="E479" i="3" s="1"/>
  <c r="H479" i="3" s="1"/>
  <c r="AH479" i="3"/>
  <c r="AG479" i="3"/>
  <c r="Y477" i="3"/>
  <c r="D479" i="3" l="1"/>
  <c r="G479" i="3" s="1"/>
  <c r="K479" i="3"/>
  <c r="AE479" i="3" s="1"/>
  <c r="F479" i="3" l="1"/>
  <c r="I479" i="3"/>
  <c r="J479" i="3"/>
  <c r="M479" i="3"/>
  <c r="N479" i="3" s="1"/>
  <c r="V479" i="3"/>
  <c r="A480" i="3"/>
  <c r="B480" i="3" s="1"/>
  <c r="W479" i="3" l="1"/>
  <c r="AA480" i="3"/>
  <c r="P480" i="3"/>
  <c r="Q480" i="3" s="1"/>
  <c r="R480" i="3" s="1"/>
  <c r="S480" i="3" s="1"/>
  <c r="AD480" i="3"/>
  <c r="AC480" i="3"/>
  <c r="Z480" i="3"/>
  <c r="L479" i="3"/>
  <c r="U479" i="3" l="1"/>
  <c r="Y478" i="3"/>
  <c r="T480" i="3"/>
  <c r="E480" i="3" l="1"/>
  <c r="H480" i="3" s="1"/>
  <c r="K480" i="3" s="1"/>
  <c r="AE480" i="3" s="1"/>
  <c r="AH480" i="3"/>
  <c r="AG480" i="3"/>
  <c r="D480" i="3"/>
  <c r="V480" i="3" l="1"/>
  <c r="A481" i="3"/>
  <c r="B481" i="3" s="1"/>
  <c r="F480" i="3"/>
  <c r="G480" i="3"/>
  <c r="I480" i="3" l="1"/>
  <c r="W480" i="3" s="1"/>
  <c r="J480" i="3"/>
  <c r="M480" i="3"/>
  <c r="N480" i="3" s="1"/>
  <c r="P481" i="3"/>
  <c r="Q481" i="3" s="1"/>
  <c r="R481" i="3" s="1"/>
  <c r="S481" i="3" s="1"/>
  <c r="AC481" i="3"/>
  <c r="AA481" i="3"/>
  <c r="AD481" i="3"/>
  <c r="Z481" i="3"/>
  <c r="T481" i="3" l="1"/>
  <c r="L480" i="3"/>
  <c r="U480" i="3" l="1"/>
  <c r="D481" i="3" s="1"/>
  <c r="AG481" i="3"/>
  <c r="AH481" i="3"/>
  <c r="Y479" i="3"/>
  <c r="G481" i="3" l="1"/>
  <c r="E481" i="3"/>
  <c r="H481" i="3" s="1"/>
  <c r="K481" i="3" l="1"/>
  <c r="AE481" i="3" s="1"/>
  <c r="I481" i="3"/>
  <c r="J481" i="3"/>
  <c r="M481" i="3"/>
  <c r="N481" i="3" s="1"/>
  <c r="F481" i="3"/>
  <c r="V481" i="3" l="1"/>
  <c r="W481" i="3" s="1"/>
  <c r="A482" i="3"/>
  <c r="B482" i="3" s="1"/>
  <c r="L481" i="3"/>
  <c r="U481" i="3" l="1"/>
  <c r="Y480" i="3"/>
  <c r="AC482" i="3"/>
  <c r="AA482" i="3"/>
  <c r="P482" i="3"/>
  <c r="Q482" i="3" s="1"/>
  <c r="R482" i="3" s="1"/>
  <c r="S482" i="3" s="1"/>
  <c r="AD482" i="3"/>
  <c r="Z482" i="3"/>
  <c r="T482" i="3" l="1"/>
  <c r="D482" i="3" s="1"/>
  <c r="AG482" i="3" l="1"/>
  <c r="G482" i="3"/>
  <c r="AH482" i="3"/>
  <c r="E482" i="3"/>
  <c r="H482" i="3" s="1"/>
  <c r="F482" i="3" l="1"/>
  <c r="I482" i="3"/>
  <c r="J482" i="3"/>
  <c r="M482" i="3"/>
  <c r="N482" i="3" s="1"/>
  <c r="K482" i="3"/>
  <c r="AE482" i="3" s="1"/>
  <c r="V482" i="3" l="1"/>
  <c r="W482" i="3" s="1"/>
  <c r="A483" i="3"/>
  <c r="B483" i="3" s="1"/>
  <c r="L482" i="3"/>
  <c r="U482" i="3" l="1"/>
  <c r="Y481" i="3"/>
  <c r="P483" i="3"/>
  <c r="Q483" i="3" s="1"/>
  <c r="R483" i="3" s="1"/>
  <c r="S483" i="3" s="1"/>
  <c r="Z483" i="3"/>
  <c r="AC483" i="3"/>
  <c r="AD483" i="3"/>
  <c r="AA483" i="3"/>
  <c r="T483" i="3" l="1"/>
  <c r="E483" i="3" s="1"/>
  <c r="H483" i="3" s="1"/>
  <c r="AG483" i="3" l="1"/>
  <c r="AH483" i="3"/>
  <c r="D483" i="3"/>
  <c r="G483" i="3" s="1"/>
  <c r="K483" i="3"/>
  <c r="AE483" i="3" s="1"/>
  <c r="F483" i="3" l="1"/>
  <c r="I483" i="3"/>
  <c r="J483" i="3"/>
  <c r="M483" i="3"/>
  <c r="N483" i="3" s="1"/>
  <c r="V483" i="3"/>
  <c r="A484" i="3"/>
  <c r="B484" i="3" s="1"/>
  <c r="W483" i="3" l="1"/>
  <c r="L483" i="3"/>
  <c r="AC484" i="3"/>
  <c r="Z484" i="3"/>
  <c r="AA484" i="3"/>
  <c r="P484" i="3"/>
  <c r="Q484" i="3" s="1"/>
  <c r="R484" i="3" s="1"/>
  <c r="S484" i="3" s="1"/>
  <c r="T484" i="3" l="1"/>
  <c r="U483" i="3"/>
  <c r="Y482" i="3"/>
  <c r="E484" i="3" l="1"/>
  <c r="H484" i="3" s="1"/>
  <c r="K484" i="3" s="1"/>
  <c r="AE484" i="3" s="1"/>
  <c r="D484" i="3"/>
  <c r="G484" i="3" s="1"/>
  <c r="AG484" i="3"/>
  <c r="AH484" i="3"/>
  <c r="F484" i="3" l="1"/>
  <c r="V484" i="3"/>
  <c r="A485" i="3"/>
  <c r="B485" i="3" s="1"/>
  <c r="I484" i="3"/>
  <c r="J484" i="3"/>
  <c r="AD484" i="3" s="1"/>
  <c r="M484" i="3"/>
  <c r="N484" i="3" s="1"/>
  <c r="W484" i="3" l="1"/>
  <c r="L484" i="3"/>
  <c r="P485" i="3"/>
  <c r="Q485" i="3" s="1"/>
  <c r="R485" i="3" s="1"/>
  <c r="S485" i="3" s="1"/>
  <c r="AD485" i="3"/>
  <c r="AA485" i="3"/>
  <c r="AC485" i="3"/>
  <c r="Z485" i="3"/>
  <c r="U484" i="3" l="1"/>
  <c r="Y483" i="3"/>
  <c r="T485" i="3"/>
  <c r="D485" i="3" l="1"/>
  <c r="G485" i="3" s="1"/>
  <c r="AG485" i="3"/>
  <c r="AH485" i="3"/>
  <c r="E485" i="3"/>
  <c r="H485" i="3" s="1"/>
  <c r="K485" i="3" s="1"/>
  <c r="AE485" i="3" s="1"/>
  <c r="F485" i="3" l="1"/>
  <c r="I485" i="3"/>
  <c r="J485" i="3"/>
  <c r="M485" i="3"/>
  <c r="N485" i="3" s="1"/>
  <c r="V485" i="3"/>
  <c r="A486" i="3"/>
  <c r="B486" i="3" s="1"/>
  <c r="W485" i="3" l="1"/>
  <c r="L485" i="3"/>
  <c r="AA486" i="3"/>
  <c r="P486" i="3"/>
  <c r="Q486" i="3" s="1"/>
  <c r="R486" i="3" s="1"/>
  <c r="S486" i="3" s="1"/>
  <c r="AC486" i="3"/>
  <c r="AD486" i="3"/>
  <c r="Z486" i="3"/>
  <c r="T486" i="3" l="1"/>
  <c r="AH486" i="3" s="1"/>
  <c r="U485" i="3"/>
  <c r="Y484" i="3"/>
  <c r="D486" i="3" l="1"/>
  <c r="G486" i="3" s="1"/>
  <c r="AG486" i="3"/>
  <c r="E486" i="3"/>
  <c r="H486" i="3" s="1"/>
  <c r="K486" i="3" s="1"/>
  <c r="AE486" i="3" s="1"/>
  <c r="F486" i="3" l="1"/>
  <c r="V486" i="3"/>
  <c r="A487" i="3"/>
  <c r="B487" i="3" s="1"/>
  <c r="I486" i="3"/>
  <c r="J486" i="3"/>
  <c r="M486" i="3"/>
  <c r="N486" i="3" s="1"/>
  <c r="W486" i="3" l="1"/>
  <c r="L486" i="3"/>
  <c r="AA487" i="3"/>
  <c r="P487" i="3"/>
  <c r="Q487" i="3" s="1"/>
  <c r="R487" i="3" s="1"/>
  <c r="S487" i="3" s="1"/>
  <c r="AC487" i="3"/>
  <c r="Z487" i="3"/>
  <c r="T487" i="3" l="1"/>
  <c r="U486" i="3"/>
  <c r="Y485" i="3"/>
  <c r="E487" i="3" l="1"/>
  <c r="H487" i="3" s="1"/>
  <c r="K487" i="3" s="1"/>
  <c r="AE487" i="3" s="1"/>
  <c r="D487" i="3"/>
  <c r="AH487" i="3"/>
  <c r="AG487" i="3"/>
  <c r="V487" i="3" l="1"/>
  <c r="A488" i="3"/>
  <c r="B488" i="3" s="1"/>
  <c r="F487" i="3"/>
  <c r="G487" i="3"/>
  <c r="I487" i="3" l="1"/>
  <c r="W487" i="3" s="1"/>
  <c r="J487" i="3"/>
  <c r="AD487" i="3" s="1"/>
  <c r="M487" i="3"/>
  <c r="N487" i="3" s="1"/>
  <c r="AA488" i="3"/>
  <c r="Z488" i="3"/>
  <c r="P488" i="3"/>
  <c r="Q488" i="3" s="1"/>
  <c r="R488" i="3" s="1"/>
  <c r="S488" i="3" s="1"/>
  <c r="AC488" i="3"/>
  <c r="L487" i="3" l="1"/>
  <c r="T488" i="3"/>
  <c r="U487" i="3" l="1"/>
  <c r="D488" i="3" s="1"/>
  <c r="AG488" i="3"/>
  <c r="AH488" i="3"/>
  <c r="Y486" i="3"/>
  <c r="E488" i="3" l="1"/>
  <c r="H488" i="3" s="1"/>
  <c r="K488" i="3" s="1"/>
  <c r="AE488" i="3" s="1"/>
  <c r="G488" i="3"/>
  <c r="F488" i="3" l="1"/>
  <c r="I488" i="3"/>
  <c r="J488" i="3"/>
  <c r="AD488" i="3" s="1"/>
  <c r="M488" i="3"/>
  <c r="N488" i="3" s="1"/>
  <c r="V488" i="3"/>
  <c r="A489" i="3"/>
  <c r="B489" i="3" s="1"/>
  <c r="W488" i="3" l="1"/>
  <c r="L488" i="3"/>
  <c r="P489" i="3"/>
  <c r="Q489" i="3" s="1"/>
  <c r="R489" i="3" s="1"/>
  <c r="S489" i="3" s="1"/>
  <c r="AC489" i="3"/>
  <c r="AA489" i="3"/>
  <c r="AD489" i="3"/>
  <c r="Z489" i="3"/>
  <c r="U488" i="3" l="1"/>
  <c r="Y487" i="3"/>
  <c r="T489" i="3"/>
  <c r="AH489" i="3" s="1"/>
  <c r="AG489" i="3" l="1"/>
  <c r="D489" i="3"/>
  <c r="E489" i="3"/>
  <c r="H489" i="3" s="1"/>
  <c r="K489" i="3" s="1"/>
  <c r="AE489" i="3" s="1"/>
  <c r="F489" i="3" l="1"/>
  <c r="G489" i="3"/>
  <c r="M489" i="3" s="1"/>
  <c r="N489" i="3" s="1"/>
  <c r="V489" i="3"/>
  <c r="A490" i="3"/>
  <c r="B490" i="3" s="1"/>
  <c r="I489" i="3" l="1"/>
  <c r="W489" i="3" s="1"/>
  <c r="J489" i="3"/>
  <c r="L489" i="3" s="1"/>
  <c r="Z490" i="3"/>
  <c r="AC490" i="3"/>
  <c r="P490" i="3"/>
  <c r="Q490" i="3" s="1"/>
  <c r="R490" i="3" s="1"/>
  <c r="S490" i="3" s="1"/>
  <c r="AD490" i="3"/>
  <c r="AA490" i="3"/>
  <c r="T490" i="3" l="1"/>
  <c r="AH490" i="3" s="1"/>
  <c r="U489" i="3"/>
  <c r="Y488" i="3"/>
  <c r="E490" i="3" l="1"/>
  <c r="H490" i="3" s="1"/>
  <c r="K490" i="3" s="1"/>
  <c r="AE490" i="3" s="1"/>
  <c r="D490" i="3"/>
  <c r="AG490" i="3"/>
  <c r="V490" i="3" l="1"/>
  <c r="A491" i="3"/>
  <c r="B491" i="3" s="1"/>
  <c r="F490" i="3"/>
  <c r="G490" i="3"/>
  <c r="I490" i="3" l="1"/>
  <c r="W490" i="3" s="1"/>
  <c r="J490" i="3"/>
  <c r="M490" i="3"/>
  <c r="N490" i="3" s="1"/>
  <c r="P491" i="3"/>
  <c r="Q491" i="3" s="1"/>
  <c r="R491" i="3" s="1"/>
  <c r="S491" i="3" s="1"/>
  <c r="Z491" i="3"/>
  <c r="AD491" i="3"/>
  <c r="AC491" i="3"/>
  <c r="AA491" i="3"/>
  <c r="T491" i="3" l="1"/>
  <c r="L490" i="3"/>
  <c r="AH491" i="3" l="1"/>
  <c r="U490" i="3"/>
  <c r="D491" i="3" s="1"/>
  <c r="AG491" i="3"/>
  <c r="Y489" i="3"/>
  <c r="E491" i="3" l="1"/>
  <c r="H491" i="3" s="1"/>
  <c r="K491" i="3" s="1"/>
  <c r="AE491" i="3" s="1"/>
  <c r="G491" i="3"/>
  <c r="F491" i="3" l="1"/>
  <c r="I491" i="3"/>
  <c r="J491" i="3"/>
  <c r="M491" i="3"/>
  <c r="N491" i="3" s="1"/>
  <c r="V491" i="3"/>
  <c r="A492" i="3"/>
  <c r="B492" i="3" s="1"/>
  <c r="W491" i="3" l="1"/>
  <c r="L491" i="3"/>
  <c r="AC492" i="3"/>
  <c r="AA492" i="3"/>
  <c r="P492" i="3"/>
  <c r="Q492" i="3" s="1"/>
  <c r="R492" i="3" s="1"/>
  <c r="S492" i="3" s="1"/>
  <c r="Z492" i="3"/>
  <c r="AD492" i="3"/>
  <c r="T492" i="3" l="1"/>
  <c r="U491" i="3"/>
  <c r="Y490" i="3"/>
  <c r="D492" i="3" l="1"/>
  <c r="G492" i="3" s="1"/>
  <c r="AH492" i="3"/>
  <c r="AG492" i="3"/>
  <c r="E492" i="3"/>
  <c r="H492" i="3" s="1"/>
  <c r="F492" i="3" l="1"/>
  <c r="I492" i="3"/>
  <c r="J492" i="3"/>
  <c r="M492" i="3"/>
  <c r="N492" i="3" s="1"/>
  <c r="K492" i="3"/>
  <c r="AE492" i="3" s="1"/>
  <c r="L492" i="3" l="1"/>
  <c r="V492" i="3"/>
  <c r="W492" i="3" s="1"/>
  <c r="A493" i="3"/>
  <c r="B493" i="3" s="1"/>
  <c r="U492" i="3" l="1"/>
  <c r="Y491" i="3"/>
  <c r="P493" i="3"/>
  <c r="Q493" i="3" s="1"/>
  <c r="R493" i="3" s="1"/>
  <c r="S493" i="3" s="1"/>
  <c r="AC493" i="3"/>
  <c r="AA493" i="3"/>
  <c r="Z493" i="3"/>
  <c r="AD493" i="3"/>
  <c r="T493" i="3" l="1"/>
  <c r="AH493" i="3" s="1"/>
  <c r="AG493" i="3" l="1"/>
  <c r="E493" i="3"/>
  <c r="H493" i="3" s="1"/>
  <c r="K493" i="3" s="1"/>
  <c r="AE493" i="3" s="1"/>
  <c r="D493" i="3"/>
  <c r="F493" i="3" l="1"/>
  <c r="G493" i="3"/>
  <c r="J493" i="3" s="1"/>
  <c r="V493" i="3"/>
  <c r="A494" i="3"/>
  <c r="B494" i="3" s="1"/>
  <c r="M493" i="3" l="1"/>
  <c r="N493" i="3" s="1"/>
  <c r="I493" i="3"/>
  <c r="W493" i="3" s="1"/>
  <c r="L493" i="3"/>
  <c r="P494" i="3"/>
  <c r="Q494" i="3" s="1"/>
  <c r="R494" i="3" s="1"/>
  <c r="S494" i="3" s="1"/>
  <c r="AC494" i="3"/>
  <c r="Z494" i="3"/>
  <c r="AA494" i="3"/>
  <c r="T494" i="3" l="1"/>
  <c r="AH494" i="3" s="1"/>
  <c r="U493" i="3"/>
  <c r="Y492" i="3"/>
  <c r="E494" i="3" l="1"/>
  <c r="H494" i="3" s="1"/>
  <c r="K494" i="3" s="1"/>
  <c r="AE494" i="3" s="1"/>
  <c r="D494" i="3"/>
  <c r="AG494" i="3"/>
  <c r="F494" i="3" l="1"/>
  <c r="G494" i="3"/>
  <c r="V494" i="3"/>
  <c r="A495" i="3"/>
  <c r="B495" i="3" s="1"/>
  <c r="Z495" i="3" l="1"/>
  <c r="P495" i="3"/>
  <c r="Q495" i="3" s="1"/>
  <c r="R495" i="3" s="1"/>
  <c r="S495" i="3" s="1"/>
  <c r="AA495" i="3"/>
  <c r="AC495" i="3"/>
  <c r="I494" i="3"/>
  <c r="W494" i="3" s="1"/>
  <c r="J494" i="3"/>
  <c r="AD494" i="3" s="1"/>
  <c r="M494" i="3"/>
  <c r="N494" i="3" s="1"/>
  <c r="L494" i="3" l="1"/>
  <c r="T495" i="3"/>
  <c r="AG495" i="3" l="1"/>
  <c r="U494" i="3"/>
  <c r="D495" i="3" s="1"/>
  <c r="AH495" i="3"/>
  <c r="Y493" i="3"/>
  <c r="E495" i="3" l="1"/>
  <c r="H495" i="3" s="1"/>
  <c r="K495" i="3" s="1"/>
  <c r="AE495" i="3" s="1"/>
  <c r="G495" i="3"/>
  <c r="F495" i="3" l="1"/>
  <c r="V495" i="3"/>
  <c r="A496" i="3"/>
  <c r="B496" i="3" s="1"/>
  <c r="I495" i="3"/>
  <c r="J495" i="3"/>
  <c r="AD495" i="3" s="1"/>
  <c r="M495" i="3"/>
  <c r="N495" i="3" s="1"/>
  <c r="W495" i="3" l="1"/>
  <c r="L495" i="3"/>
  <c r="AA496" i="3"/>
  <c r="P496" i="3"/>
  <c r="Q496" i="3" s="1"/>
  <c r="R496" i="3" s="1"/>
  <c r="S496" i="3" s="1"/>
  <c r="Z496" i="3"/>
  <c r="AC496" i="3"/>
  <c r="U495" i="3" l="1"/>
  <c r="Y494" i="3"/>
  <c r="T496" i="3"/>
  <c r="AH496" i="3" s="1"/>
  <c r="D496" i="3" l="1"/>
  <c r="G496" i="3" s="1"/>
  <c r="AG496" i="3"/>
  <c r="E496" i="3"/>
  <c r="H496" i="3" s="1"/>
  <c r="K496" i="3" s="1"/>
  <c r="AE496" i="3" s="1"/>
  <c r="F496" i="3" l="1"/>
  <c r="V496" i="3"/>
  <c r="A497" i="3"/>
  <c r="B497" i="3" s="1"/>
  <c r="I496" i="3"/>
  <c r="J496" i="3"/>
  <c r="AD496" i="3" s="1"/>
  <c r="M496" i="3"/>
  <c r="N496" i="3" s="1"/>
  <c r="W496" i="3" l="1"/>
  <c r="L496" i="3"/>
  <c r="P497" i="3"/>
  <c r="Q497" i="3" s="1"/>
  <c r="R497" i="3" s="1"/>
  <c r="S497" i="3" s="1"/>
  <c r="AC497" i="3"/>
  <c r="AA497" i="3"/>
  <c r="Z497" i="3"/>
  <c r="U496" i="3" l="1"/>
  <c r="Y495" i="3"/>
  <c r="T497" i="3"/>
  <c r="AG497" i="3" s="1"/>
  <c r="E497" i="3" l="1"/>
  <c r="H497" i="3" s="1"/>
  <c r="D497" i="3"/>
  <c r="AH497" i="3"/>
  <c r="F497" i="3" l="1"/>
  <c r="G497" i="3"/>
  <c r="K497" i="3"/>
  <c r="AE497" i="3" s="1"/>
  <c r="I497" i="3" l="1"/>
  <c r="J497" i="3"/>
  <c r="AD497" i="3" s="1"/>
  <c r="M497" i="3"/>
  <c r="N497" i="3" s="1"/>
  <c r="V497" i="3"/>
  <c r="A498" i="3"/>
  <c r="B498" i="3" s="1"/>
  <c r="W497" i="3" l="1"/>
  <c r="L497" i="3"/>
  <c r="Z498" i="3"/>
  <c r="AC498" i="3"/>
  <c r="AA498" i="3"/>
  <c r="P498" i="3"/>
  <c r="Q498" i="3" s="1"/>
  <c r="R498" i="3" s="1"/>
  <c r="S498" i="3" s="1"/>
  <c r="U497" i="3" l="1"/>
  <c r="Y496" i="3"/>
  <c r="T498" i="3"/>
  <c r="AH498" i="3" s="1"/>
  <c r="AG498" i="3" l="1"/>
  <c r="D498" i="3"/>
  <c r="E498" i="3"/>
  <c r="H498" i="3" s="1"/>
  <c r="F498" i="3" l="1"/>
  <c r="G498" i="3"/>
  <c r="K498" i="3"/>
  <c r="AE498" i="3" s="1"/>
  <c r="I498" i="3" l="1"/>
  <c r="J498" i="3"/>
  <c r="AD498" i="3" s="1"/>
  <c r="M498" i="3"/>
  <c r="N498" i="3" s="1"/>
  <c r="V498" i="3"/>
  <c r="A499" i="3"/>
  <c r="B499" i="3" s="1"/>
  <c r="W498" i="3" l="1"/>
  <c r="L498" i="3"/>
  <c r="AC499" i="3"/>
  <c r="P499" i="3"/>
  <c r="Q499" i="3" s="1"/>
  <c r="R499" i="3" s="1"/>
  <c r="S499" i="3" s="1"/>
  <c r="AA499" i="3"/>
  <c r="Z499" i="3"/>
  <c r="T499" i="3" l="1"/>
  <c r="U498" i="3"/>
  <c r="Y497" i="3"/>
  <c r="D499" i="3" l="1"/>
  <c r="G499" i="3" s="1"/>
  <c r="AH499" i="3"/>
  <c r="E499" i="3"/>
  <c r="H499" i="3" s="1"/>
  <c r="AG499" i="3"/>
  <c r="F499" i="3" l="1"/>
  <c r="I499" i="3"/>
  <c r="J499" i="3"/>
  <c r="AD499" i="3" s="1"/>
  <c r="M499" i="3"/>
  <c r="N499" i="3" s="1"/>
  <c r="K499" i="3"/>
  <c r="AE499" i="3" s="1"/>
  <c r="V499" i="3" l="1"/>
  <c r="W499" i="3" s="1"/>
  <c r="A500" i="3"/>
  <c r="B500" i="3" s="1"/>
  <c r="L499" i="3"/>
  <c r="U499" i="3" l="1"/>
  <c r="Y498" i="3"/>
  <c r="AA500" i="3"/>
  <c r="AC500" i="3"/>
  <c r="P500" i="3"/>
  <c r="Q500" i="3" s="1"/>
  <c r="R500" i="3" s="1"/>
  <c r="S500" i="3" s="1"/>
  <c r="Z500" i="3"/>
  <c r="T500" i="3" l="1"/>
  <c r="AH500" i="3" s="1"/>
  <c r="D500" i="3" l="1"/>
  <c r="AG500" i="3"/>
  <c r="E500" i="3"/>
  <c r="H500" i="3" s="1"/>
  <c r="F500" i="3" l="1"/>
  <c r="G500" i="3"/>
  <c r="K500" i="3"/>
  <c r="AE500" i="3" s="1"/>
  <c r="I500" i="3" l="1"/>
  <c r="J500" i="3"/>
  <c r="AD500" i="3" s="1"/>
  <c r="M500" i="3"/>
  <c r="N500" i="3" s="1"/>
  <c r="V500" i="3"/>
  <c r="A501" i="3"/>
  <c r="B501" i="3" s="1"/>
  <c r="W500" i="3" l="1"/>
  <c r="L500" i="3"/>
  <c r="P501" i="3"/>
  <c r="Q501" i="3" s="1"/>
  <c r="R501" i="3" s="1"/>
  <c r="S501" i="3" s="1"/>
  <c r="AC501" i="3"/>
  <c r="Z501" i="3"/>
  <c r="AA501" i="3"/>
  <c r="U500" i="3" l="1"/>
  <c r="Y499" i="3"/>
  <c r="T501" i="3"/>
  <c r="D501" i="3" l="1"/>
  <c r="G501" i="3" s="1"/>
  <c r="E501" i="3"/>
  <c r="H501" i="3" s="1"/>
  <c r="K501" i="3" s="1"/>
  <c r="AE501" i="3" s="1"/>
  <c r="AG501" i="3"/>
  <c r="AH501" i="3"/>
  <c r="F501" i="3" l="1"/>
  <c r="I501" i="3"/>
  <c r="J501" i="3"/>
  <c r="AD501" i="3" s="1"/>
  <c r="M501" i="3"/>
  <c r="N501" i="3" s="1"/>
  <c r="V501" i="3"/>
  <c r="A502" i="3"/>
  <c r="B502" i="3" s="1"/>
  <c r="L501" i="3" l="1"/>
  <c r="W501" i="3"/>
  <c r="Z502" i="3"/>
  <c r="AA502" i="3"/>
  <c r="AC502" i="3"/>
  <c r="P502" i="3"/>
  <c r="Q502" i="3" s="1"/>
  <c r="R502" i="3" s="1"/>
  <c r="S502" i="3" s="1"/>
  <c r="U501" i="3" l="1"/>
  <c r="Y500" i="3"/>
  <c r="T502" i="3"/>
  <c r="E502" i="3" l="1"/>
  <c r="H502" i="3" s="1"/>
  <c r="K502" i="3" s="1"/>
  <c r="AE502" i="3" s="1"/>
  <c r="AG502" i="3"/>
  <c r="D502" i="3"/>
  <c r="AH502" i="3"/>
  <c r="F502" i="3" l="1"/>
  <c r="G502" i="3"/>
  <c r="V502" i="3"/>
  <c r="A503" i="3"/>
  <c r="B503" i="3" s="1"/>
  <c r="I502" i="3" l="1"/>
  <c r="W502" i="3" s="1"/>
  <c r="J502" i="3"/>
  <c r="AD502" i="3" s="1"/>
  <c r="M502" i="3"/>
  <c r="N502" i="3" s="1"/>
  <c r="AA503" i="3"/>
  <c r="P503" i="3"/>
  <c r="Q503" i="3" s="1"/>
  <c r="R503" i="3" s="1"/>
  <c r="S503" i="3" s="1"/>
  <c r="AC503" i="3"/>
  <c r="Z503" i="3"/>
  <c r="T503" i="3" l="1"/>
  <c r="L502" i="3"/>
  <c r="AG503" i="3" l="1"/>
  <c r="AH503" i="3"/>
  <c r="U502" i="3"/>
  <c r="E503" i="3" s="1"/>
  <c r="H503" i="3" s="1"/>
  <c r="Y501" i="3"/>
  <c r="D503" i="3" l="1"/>
  <c r="G503" i="3" s="1"/>
  <c r="K503" i="3"/>
  <c r="AE503" i="3" s="1"/>
  <c r="F503" i="3" l="1"/>
  <c r="V503" i="3"/>
  <c r="A504" i="3"/>
  <c r="B504" i="3" s="1"/>
  <c r="I503" i="3"/>
  <c r="J503" i="3"/>
  <c r="AD503" i="3" s="1"/>
  <c r="M503" i="3"/>
  <c r="N503" i="3" s="1"/>
  <c r="W503" i="3" l="1"/>
  <c r="L503" i="3"/>
  <c r="P504" i="3"/>
  <c r="Q504" i="3" s="1"/>
  <c r="R504" i="3" s="1"/>
  <c r="S504" i="3" s="1"/>
  <c r="Z504" i="3"/>
  <c r="AA504" i="3"/>
  <c r="AC504" i="3"/>
  <c r="U503" i="3" l="1"/>
  <c r="Y502" i="3"/>
  <c r="T504" i="3"/>
  <c r="AG504" i="3" s="1"/>
  <c r="E504" i="3" l="1"/>
  <c r="H504" i="3" s="1"/>
  <c r="K504" i="3" s="1"/>
  <c r="AE504" i="3" s="1"/>
  <c r="D504" i="3"/>
  <c r="AH504" i="3"/>
  <c r="F504" i="3" l="1"/>
  <c r="G504" i="3"/>
  <c r="I504" i="3" s="1"/>
  <c r="V504" i="3"/>
  <c r="A505" i="3"/>
  <c r="B505" i="3" s="1"/>
  <c r="J504" i="3" l="1"/>
  <c r="W504" i="3"/>
  <c r="M504" i="3"/>
  <c r="N504" i="3" s="1"/>
  <c r="P505" i="3"/>
  <c r="Q505" i="3" s="1"/>
  <c r="R505" i="3" s="1"/>
  <c r="S505" i="3" s="1"/>
  <c r="AC505" i="3"/>
  <c r="Z505" i="3"/>
  <c r="AD505" i="3"/>
  <c r="AA505" i="3"/>
  <c r="L504" i="3" l="1"/>
  <c r="Y503" i="3" s="1"/>
  <c r="AD504" i="3"/>
  <c r="T505" i="3"/>
  <c r="AH505" i="3" l="1"/>
  <c r="U504" i="3"/>
  <c r="D505" i="3" s="1"/>
  <c r="G505" i="3" s="1"/>
  <c r="AG505" i="3"/>
  <c r="E505" i="3" l="1"/>
  <c r="H505" i="3" s="1"/>
  <c r="K505" i="3" s="1"/>
  <c r="AE505" i="3" s="1"/>
  <c r="J505" i="3"/>
  <c r="I505" i="3" l="1"/>
  <c r="F505" i="3"/>
  <c r="V505" i="3"/>
  <c r="M505" i="3"/>
  <c r="N505" i="3" s="1"/>
  <c r="A506" i="3"/>
  <c r="B506" i="3" s="1"/>
  <c r="P506" i="3" s="1"/>
  <c r="Q506" i="3" s="1"/>
  <c r="R506" i="3" s="1"/>
  <c r="S506" i="3" s="1"/>
  <c r="L505" i="3"/>
  <c r="W505" i="3" l="1"/>
  <c r="AA506" i="3"/>
  <c r="AD506" i="3"/>
  <c r="AC506" i="3"/>
  <c r="Z506" i="3"/>
  <c r="U505" i="3"/>
  <c r="Y504" i="3"/>
  <c r="T506" i="3"/>
  <c r="AG506" i="3" l="1"/>
  <c r="D506" i="3"/>
  <c r="G506" i="3" s="1"/>
  <c r="AH506" i="3"/>
  <c r="E506" i="3"/>
  <c r="H506" i="3" s="1"/>
  <c r="K506" i="3" s="1"/>
  <c r="AE506" i="3" s="1"/>
  <c r="F506" i="3" l="1"/>
  <c r="I506" i="3"/>
  <c r="J506" i="3"/>
  <c r="M506" i="3"/>
  <c r="N506" i="3" s="1"/>
  <c r="V506" i="3"/>
  <c r="A507" i="3"/>
  <c r="B507" i="3" s="1"/>
  <c r="W506" i="3" l="1"/>
  <c r="L506" i="3"/>
  <c r="AC507" i="3"/>
  <c r="P507" i="3"/>
  <c r="Q507" i="3" s="1"/>
  <c r="R507" i="3" s="1"/>
  <c r="S507" i="3" s="1"/>
  <c r="AA507" i="3"/>
  <c r="Z507" i="3"/>
  <c r="U506" i="3" l="1"/>
  <c r="Y505" i="3"/>
  <c r="T507" i="3"/>
  <c r="AH507" i="3" s="1"/>
  <c r="AG507" i="3" l="1"/>
  <c r="E507" i="3"/>
  <c r="H507" i="3" s="1"/>
  <c r="D507" i="3"/>
  <c r="K507" i="3" l="1"/>
  <c r="AE507" i="3" s="1"/>
  <c r="F507" i="3"/>
  <c r="G507" i="3"/>
  <c r="I507" i="3" l="1"/>
  <c r="J507" i="3"/>
  <c r="AD507" i="3" s="1"/>
  <c r="M507" i="3"/>
  <c r="N507" i="3" s="1"/>
  <c r="V507" i="3"/>
  <c r="A508" i="3"/>
  <c r="B508" i="3" s="1"/>
  <c r="W507" i="3" l="1"/>
  <c r="L507" i="3"/>
  <c r="P508" i="3"/>
  <c r="Q508" i="3" s="1"/>
  <c r="R508" i="3" s="1"/>
  <c r="S508" i="3" s="1"/>
  <c r="AA508" i="3"/>
  <c r="Z508" i="3"/>
  <c r="AC508" i="3"/>
  <c r="U507" i="3" l="1"/>
  <c r="Y506" i="3"/>
  <c r="T508" i="3"/>
  <c r="E508" i="3" l="1"/>
  <c r="H508" i="3" s="1"/>
  <c r="K508" i="3" s="1"/>
  <c r="AE508" i="3" s="1"/>
  <c r="AH508" i="3"/>
  <c r="D508" i="3"/>
  <c r="AG508" i="3"/>
  <c r="F508" i="3" l="1"/>
  <c r="G508" i="3"/>
  <c r="V508" i="3"/>
  <c r="A509" i="3"/>
  <c r="B509" i="3" s="1"/>
  <c r="AD509" i="3" l="1"/>
  <c r="AC509" i="3"/>
  <c r="Z509" i="3"/>
  <c r="AA509" i="3"/>
  <c r="P509" i="3"/>
  <c r="Q509" i="3" s="1"/>
  <c r="R509" i="3" s="1"/>
  <c r="S509" i="3" s="1"/>
  <c r="I508" i="3"/>
  <c r="W508" i="3" s="1"/>
  <c r="J508" i="3"/>
  <c r="AD508" i="3" s="1"/>
  <c r="M508" i="3"/>
  <c r="N508" i="3" s="1"/>
  <c r="L508" i="3" l="1"/>
  <c r="T509" i="3"/>
  <c r="AG509" i="3" l="1"/>
  <c r="AH509" i="3"/>
  <c r="U508" i="3"/>
  <c r="D509" i="3" s="1"/>
  <c r="Y507" i="3"/>
  <c r="G509" i="3" l="1"/>
  <c r="E509" i="3"/>
  <c r="H509" i="3" s="1"/>
  <c r="F509" i="3" l="1"/>
  <c r="I509" i="3"/>
  <c r="J509" i="3"/>
  <c r="M509" i="3"/>
  <c r="N509" i="3" s="1"/>
  <c r="K509" i="3"/>
  <c r="AE509" i="3" s="1"/>
  <c r="V509" i="3" l="1"/>
  <c r="W509" i="3" s="1"/>
  <c r="A510" i="3"/>
  <c r="B510" i="3" s="1"/>
  <c r="L509" i="3"/>
  <c r="U509" i="3" l="1"/>
  <c r="Y508" i="3"/>
  <c r="AC510" i="3"/>
  <c r="Z510" i="3"/>
  <c r="AA510" i="3"/>
  <c r="AD510" i="3"/>
  <c r="P510" i="3"/>
  <c r="Q510" i="3" s="1"/>
  <c r="R510" i="3" s="1"/>
  <c r="S510" i="3" s="1"/>
  <c r="T510" i="3" l="1"/>
  <c r="AH510" i="3" l="1"/>
  <c r="E510" i="3"/>
  <c r="H510" i="3" s="1"/>
  <c r="D510" i="3"/>
  <c r="AG510" i="3"/>
  <c r="F510" i="3" l="1"/>
  <c r="G510" i="3"/>
  <c r="K510" i="3"/>
  <c r="AE510" i="3" s="1"/>
  <c r="V510" i="3" l="1"/>
  <c r="A511" i="3"/>
  <c r="B511" i="3" s="1"/>
  <c r="I510" i="3"/>
  <c r="J510" i="3"/>
  <c r="M510" i="3"/>
  <c r="N510" i="3" s="1"/>
  <c r="L510" i="3" l="1"/>
  <c r="AA511" i="3"/>
  <c r="AC511" i="3"/>
  <c r="P511" i="3"/>
  <c r="Q511" i="3" s="1"/>
  <c r="R511" i="3" s="1"/>
  <c r="S511" i="3" s="1"/>
  <c r="Z511" i="3"/>
  <c r="AD511" i="3"/>
  <c r="W510" i="3"/>
  <c r="U510" i="3" l="1"/>
  <c r="Y509" i="3"/>
  <c r="T511" i="3"/>
  <c r="AG511" i="3" s="1"/>
  <c r="AH511" i="3" l="1"/>
  <c r="D511" i="3"/>
  <c r="E511" i="3"/>
  <c r="H511" i="3" s="1"/>
  <c r="F511" i="3" l="1"/>
  <c r="G511" i="3"/>
  <c r="K511" i="3"/>
  <c r="AE511" i="3" s="1"/>
  <c r="V511" i="3" l="1"/>
  <c r="A512" i="3"/>
  <c r="B512" i="3" s="1"/>
  <c r="I511" i="3"/>
  <c r="J511" i="3"/>
  <c r="M511" i="3"/>
  <c r="N511" i="3" s="1"/>
  <c r="W511" i="3" l="1"/>
  <c r="L511" i="3"/>
  <c r="AC512" i="3"/>
  <c r="Z512" i="3"/>
  <c r="AA512" i="3"/>
  <c r="P512" i="3"/>
  <c r="Q512" i="3" s="1"/>
  <c r="R512" i="3" s="1"/>
  <c r="S512" i="3" s="1"/>
  <c r="AD512" i="3"/>
  <c r="T512" i="3" l="1"/>
  <c r="U511" i="3"/>
  <c r="Y510" i="3"/>
  <c r="D512" i="3" l="1"/>
  <c r="G512" i="3" s="1"/>
  <c r="AH512" i="3"/>
  <c r="E512" i="3"/>
  <c r="H512" i="3" s="1"/>
  <c r="K512" i="3" s="1"/>
  <c r="AE512" i="3" s="1"/>
  <c r="AG512" i="3"/>
  <c r="F512" i="3" l="1"/>
  <c r="I512" i="3"/>
  <c r="J512" i="3"/>
  <c r="M512" i="3"/>
  <c r="N512" i="3" s="1"/>
  <c r="V512" i="3"/>
  <c r="A513" i="3"/>
  <c r="B513" i="3" s="1"/>
  <c r="W512" i="3" l="1"/>
  <c r="L512" i="3"/>
  <c r="AA513" i="3"/>
  <c r="P513" i="3"/>
  <c r="Q513" i="3" s="1"/>
  <c r="R513" i="3" s="1"/>
  <c r="S513" i="3" s="1"/>
  <c r="AC513" i="3"/>
  <c r="AD513" i="3"/>
  <c r="Z513" i="3"/>
  <c r="T513" i="3" l="1"/>
  <c r="AG513" i="3" s="1"/>
  <c r="U512" i="3"/>
  <c r="Y511" i="3"/>
  <c r="AH513" i="3" l="1"/>
  <c r="E513" i="3"/>
  <c r="H513" i="3" s="1"/>
  <c r="D513" i="3"/>
  <c r="F513" i="3" l="1"/>
  <c r="G513" i="3"/>
  <c r="K513" i="3"/>
  <c r="AE513" i="3" s="1"/>
  <c r="V513" i="3" l="1"/>
  <c r="A514" i="3"/>
  <c r="B514" i="3" s="1"/>
  <c r="I513" i="3"/>
  <c r="J513" i="3"/>
  <c r="M513" i="3"/>
  <c r="N513" i="3" s="1"/>
  <c r="L513" i="3" l="1"/>
  <c r="Z514" i="3"/>
  <c r="AA514" i="3"/>
  <c r="AC514" i="3"/>
  <c r="P514" i="3"/>
  <c r="Q514" i="3" s="1"/>
  <c r="R514" i="3" s="1"/>
  <c r="S514" i="3" s="1"/>
  <c r="W513" i="3"/>
  <c r="T514" i="3" l="1"/>
  <c r="AH514" i="3" s="1"/>
  <c r="U513" i="3"/>
  <c r="Y512" i="3"/>
  <c r="AG514" i="3" l="1"/>
  <c r="E514" i="3"/>
  <c r="H514" i="3" s="1"/>
  <c r="D514" i="3"/>
  <c r="K514" i="3" l="1"/>
  <c r="AE514" i="3" s="1"/>
  <c r="F514" i="3"/>
  <c r="G514" i="3"/>
  <c r="V514" i="3" l="1"/>
  <c r="A515" i="3"/>
  <c r="B515" i="3" s="1"/>
  <c r="I514" i="3"/>
  <c r="J514" i="3"/>
  <c r="AD514" i="3" s="1"/>
  <c r="M514" i="3"/>
  <c r="N514" i="3" s="1"/>
  <c r="W514" i="3" l="1"/>
  <c r="L514" i="3"/>
  <c r="P515" i="3"/>
  <c r="Q515" i="3" s="1"/>
  <c r="R515" i="3" s="1"/>
  <c r="S515" i="3" s="1"/>
  <c r="AC515" i="3"/>
  <c r="Z515" i="3"/>
  <c r="AA515" i="3"/>
  <c r="U514" i="3" l="1"/>
  <c r="Y513" i="3"/>
  <c r="T515" i="3"/>
  <c r="D515" i="3" l="1"/>
  <c r="G515" i="3" s="1"/>
  <c r="AG515" i="3"/>
  <c r="AH515" i="3"/>
  <c r="E515" i="3"/>
  <c r="H515" i="3" s="1"/>
  <c r="K515" i="3" l="1"/>
  <c r="AE515" i="3" s="1"/>
  <c r="I515" i="3"/>
  <c r="J515" i="3"/>
  <c r="AD515" i="3" s="1"/>
  <c r="M515" i="3"/>
  <c r="N515" i="3" s="1"/>
  <c r="F515" i="3"/>
  <c r="L515" i="3" l="1"/>
  <c r="V515" i="3"/>
  <c r="W515" i="3" s="1"/>
  <c r="A516" i="3"/>
  <c r="B516" i="3" s="1"/>
  <c r="U515" i="3" l="1"/>
  <c r="Y514" i="3"/>
  <c r="AA516" i="3"/>
  <c r="Z516" i="3"/>
  <c r="AC516" i="3"/>
  <c r="P516" i="3"/>
  <c r="Q516" i="3" s="1"/>
  <c r="R516" i="3" s="1"/>
  <c r="S516" i="3" s="1"/>
  <c r="T516" i="3" l="1"/>
  <c r="AG516" i="3" s="1"/>
  <c r="D516" i="3" l="1"/>
  <c r="AH516" i="3"/>
  <c r="E516" i="3"/>
  <c r="H516" i="3" s="1"/>
  <c r="F516" i="3" l="1"/>
  <c r="G516" i="3"/>
  <c r="K516" i="3"/>
  <c r="AE516" i="3" s="1"/>
  <c r="I516" i="3" l="1"/>
  <c r="J516" i="3"/>
  <c r="AD516" i="3" s="1"/>
  <c r="M516" i="3"/>
  <c r="N516" i="3" s="1"/>
  <c r="V516" i="3"/>
  <c r="A517" i="3"/>
  <c r="B517" i="3" s="1"/>
  <c r="W516" i="3" l="1"/>
  <c r="L516" i="3"/>
  <c r="AC517" i="3"/>
  <c r="P517" i="3"/>
  <c r="Q517" i="3" s="1"/>
  <c r="R517" i="3" s="1"/>
  <c r="S517" i="3" s="1"/>
  <c r="AA517" i="3"/>
  <c r="Z517" i="3"/>
  <c r="U516" i="3" l="1"/>
  <c r="Y515" i="3"/>
  <c r="T517" i="3"/>
  <c r="AG517" i="3" s="1"/>
  <c r="D517" i="3" l="1"/>
  <c r="G517" i="3" s="1"/>
  <c r="AH517" i="3"/>
  <c r="E517" i="3"/>
  <c r="H517" i="3" s="1"/>
  <c r="K517" i="3" s="1"/>
  <c r="AE517" i="3" s="1"/>
  <c r="F517" i="3" l="1"/>
  <c r="I517" i="3"/>
  <c r="J517" i="3"/>
  <c r="AD517" i="3" s="1"/>
  <c r="M517" i="3"/>
  <c r="N517" i="3" s="1"/>
  <c r="V517" i="3"/>
  <c r="A518" i="3"/>
  <c r="B518" i="3" s="1"/>
  <c r="W517" i="3" l="1"/>
  <c r="L517" i="3"/>
  <c r="AA518" i="3"/>
  <c r="AC518" i="3"/>
  <c r="Z518" i="3"/>
  <c r="P518" i="3"/>
  <c r="Q518" i="3" s="1"/>
  <c r="R518" i="3" s="1"/>
  <c r="S518" i="3" s="1"/>
  <c r="U517" i="3" l="1"/>
  <c r="Y516" i="3"/>
  <c r="T518" i="3"/>
  <c r="D518" i="3" l="1"/>
  <c r="G518" i="3" s="1"/>
  <c r="E518" i="3"/>
  <c r="H518" i="3" s="1"/>
  <c r="AH518" i="3"/>
  <c r="AG518" i="3"/>
  <c r="F518" i="3" l="1"/>
  <c r="I518" i="3"/>
  <c r="J518" i="3"/>
  <c r="AD518" i="3" s="1"/>
  <c r="M518" i="3"/>
  <c r="N518" i="3" s="1"/>
  <c r="K518" i="3"/>
  <c r="AE518" i="3" s="1"/>
  <c r="V518" i="3" l="1"/>
  <c r="W518" i="3" s="1"/>
  <c r="A519" i="3"/>
  <c r="B519" i="3" s="1"/>
  <c r="L518" i="3"/>
  <c r="U518" i="3" l="1"/>
  <c r="Y517" i="3"/>
  <c r="AA519" i="3"/>
  <c r="Z519" i="3"/>
  <c r="AC519" i="3"/>
  <c r="P519" i="3"/>
  <c r="Q519" i="3" s="1"/>
  <c r="R519" i="3" s="1"/>
  <c r="S519" i="3" s="1"/>
  <c r="T519" i="3" l="1"/>
  <c r="D519" i="3" s="1"/>
  <c r="AG519" i="3" l="1"/>
  <c r="G519" i="3"/>
  <c r="AH519" i="3"/>
  <c r="E519" i="3"/>
  <c r="H519" i="3" s="1"/>
  <c r="F519" i="3" l="1"/>
  <c r="I519" i="3"/>
  <c r="J519" i="3"/>
  <c r="AD519" i="3" s="1"/>
  <c r="M519" i="3"/>
  <c r="N519" i="3" s="1"/>
  <c r="K519" i="3"/>
  <c r="AE519" i="3" s="1"/>
  <c r="V519" i="3" l="1"/>
  <c r="W519" i="3" s="1"/>
  <c r="A520" i="3"/>
  <c r="B520" i="3" s="1"/>
  <c r="L519" i="3"/>
  <c r="U519" i="3" l="1"/>
  <c r="Y518" i="3"/>
  <c r="AA520" i="3"/>
  <c r="AC520" i="3"/>
  <c r="Z520" i="3"/>
  <c r="P520" i="3"/>
  <c r="Q520" i="3" s="1"/>
  <c r="R520" i="3" s="1"/>
  <c r="S520" i="3" s="1"/>
  <c r="T520" i="3" l="1"/>
  <c r="D520" i="3" s="1"/>
  <c r="AG520" i="3" l="1"/>
  <c r="E520" i="3"/>
  <c r="H520" i="3" s="1"/>
  <c r="K520" i="3" s="1"/>
  <c r="AE520" i="3" s="1"/>
  <c r="AH520" i="3"/>
  <c r="G520" i="3"/>
  <c r="F520" i="3" l="1"/>
  <c r="I520" i="3"/>
  <c r="J520" i="3"/>
  <c r="AD520" i="3" s="1"/>
  <c r="M520" i="3"/>
  <c r="N520" i="3" s="1"/>
  <c r="V520" i="3"/>
  <c r="A521" i="3"/>
  <c r="B521" i="3" s="1"/>
  <c r="W520" i="3" l="1"/>
  <c r="L520" i="3"/>
  <c r="P521" i="3"/>
  <c r="Q521" i="3" s="1"/>
  <c r="R521" i="3" s="1"/>
  <c r="S521" i="3" s="1"/>
  <c r="AC521" i="3"/>
  <c r="AA521" i="3"/>
  <c r="Z521" i="3"/>
  <c r="U520" i="3" l="1"/>
  <c r="Y519" i="3"/>
  <c r="T521" i="3"/>
  <c r="AH521" i="3" s="1"/>
  <c r="AG521" i="3" l="1"/>
  <c r="D521" i="3"/>
  <c r="E521" i="3"/>
  <c r="H521" i="3" s="1"/>
  <c r="K521" i="3" s="1"/>
  <c r="AE521" i="3" s="1"/>
  <c r="F521" i="3" l="1"/>
  <c r="G521" i="3"/>
  <c r="I521" i="3" s="1"/>
  <c r="V521" i="3"/>
  <c r="A522" i="3"/>
  <c r="B522" i="3" s="1"/>
  <c r="M521" i="3" l="1"/>
  <c r="N521" i="3" s="1"/>
  <c r="J521" i="3"/>
  <c r="W521" i="3"/>
  <c r="AC522" i="3"/>
  <c r="P522" i="3"/>
  <c r="Q522" i="3" s="1"/>
  <c r="R522" i="3" s="1"/>
  <c r="S522" i="3" s="1"/>
  <c r="AA522" i="3"/>
  <c r="Z522" i="3"/>
  <c r="L521" i="3" l="1"/>
  <c r="U521" i="3" s="1"/>
  <c r="AD521" i="3"/>
  <c r="T522" i="3"/>
  <c r="AG522" i="3" l="1"/>
  <c r="Y520" i="3"/>
  <c r="AH522" i="3"/>
  <c r="E522" i="3"/>
  <c r="H522" i="3" s="1"/>
  <c r="D522" i="3"/>
  <c r="K522" i="3" l="1"/>
  <c r="AE522" i="3" s="1"/>
  <c r="F522" i="3"/>
  <c r="G522" i="3"/>
  <c r="I522" i="3" l="1"/>
  <c r="J522" i="3"/>
  <c r="AD522" i="3" s="1"/>
  <c r="M522" i="3"/>
  <c r="N522" i="3" s="1"/>
  <c r="V522" i="3"/>
  <c r="A523" i="3"/>
  <c r="B523" i="3" s="1"/>
  <c r="W522" i="3" l="1"/>
  <c r="L522" i="3"/>
  <c r="AC523" i="3"/>
  <c r="Z523" i="3"/>
  <c r="AA523" i="3"/>
  <c r="P523" i="3"/>
  <c r="Q523" i="3" s="1"/>
  <c r="R523" i="3" s="1"/>
  <c r="S523" i="3" s="1"/>
  <c r="U522" i="3" l="1"/>
  <c r="Y521" i="3"/>
  <c r="T523" i="3"/>
  <c r="AG523" i="3" s="1"/>
  <c r="AH523" i="3" l="1"/>
  <c r="D523" i="3"/>
  <c r="G523" i="3" s="1"/>
  <c r="E523" i="3"/>
  <c r="H523" i="3" s="1"/>
  <c r="F523" i="3" l="1"/>
  <c r="I523" i="3"/>
  <c r="J523" i="3"/>
  <c r="AD523" i="3" s="1"/>
  <c r="M523" i="3"/>
  <c r="N523" i="3" s="1"/>
  <c r="K523" i="3"/>
  <c r="AE523" i="3" s="1"/>
  <c r="V523" i="3" l="1"/>
  <c r="W523" i="3" s="1"/>
  <c r="A524" i="3"/>
  <c r="B524" i="3" s="1"/>
  <c r="L523" i="3"/>
  <c r="U523" i="3" l="1"/>
  <c r="Y522" i="3"/>
  <c r="Z524" i="3"/>
  <c r="P524" i="3"/>
  <c r="Q524" i="3" s="1"/>
  <c r="R524" i="3" s="1"/>
  <c r="S524" i="3" s="1"/>
  <c r="AC524" i="3"/>
  <c r="AA524" i="3"/>
  <c r="T524" i="3" l="1"/>
  <c r="E524" i="3" s="1"/>
  <c r="H524" i="3" s="1"/>
  <c r="D524" i="3" l="1"/>
  <c r="G524" i="3" s="1"/>
  <c r="K524" i="3"/>
  <c r="AE524" i="3" s="1"/>
  <c r="AH524" i="3"/>
  <c r="AG524" i="3"/>
  <c r="F524" i="3" l="1"/>
  <c r="I524" i="3"/>
  <c r="J524" i="3"/>
  <c r="AD524" i="3" s="1"/>
  <c r="M524" i="3"/>
  <c r="N524" i="3" s="1"/>
  <c r="V524" i="3"/>
  <c r="A525" i="3"/>
  <c r="B525" i="3" s="1"/>
  <c r="W524" i="3" l="1"/>
  <c r="L524" i="3"/>
  <c r="AA525" i="3"/>
  <c r="AC525" i="3"/>
  <c r="AD525" i="3"/>
  <c r="Z525" i="3"/>
  <c r="P525" i="3"/>
  <c r="Q525" i="3" s="1"/>
  <c r="R525" i="3" s="1"/>
  <c r="S525" i="3" s="1"/>
  <c r="T525" i="3" l="1"/>
  <c r="AH525" i="3" s="1"/>
  <c r="U524" i="3"/>
  <c r="Y523" i="3"/>
  <c r="AG525" i="3" l="1"/>
  <c r="D525" i="3"/>
  <c r="E525" i="3"/>
  <c r="H525" i="3" s="1"/>
  <c r="F525" i="3" l="1"/>
  <c r="G525" i="3"/>
  <c r="K525" i="3"/>
  <c r="AE525" i="3" s="1"/>
  <c r="I525" i="3" l="1"/>
  <c r="J525" i="3"/>
  <c r="M525" i="3"/>
  <c r="N525" i="3" s="1"/>
  <c r="V525" i="3"/>
  <c r="A526" i="3"/>
  <c r="B526" i="3" s="1"/>
  <c r="L525" i="3" l="1"/>
  <c r="W525" i="3"/>
  <c r="AA526" i="3"/>
  <c r="P526" i="3"/>
  <c r="Q526" i="3" s="1"/>
  <c r="R526" i="3" s="1"/>
  <c r="S526" i="3" s="1"/>
  <c r="Z526" i="3"/>
  <c r="AD526" i="3"/>
  <c r="AC526" i="3"/>
  <c r="T526" i="3" l="1"/>
  <c r="U525" i="3"/>
  <c r="Y524" i="3"/>
  <c r="D526" i="3" l="1"/>
  <c r="G526" i="3" s="1"/>
  <c r="AH526" i="3"/>
  <c r="E526" i="3"/>
  <c r="H526" i="3" s="1"/>
  <c r="K526" i="3" s="1"/>
  <c r="AE526" i="3" s="1"/>
  <c r="AG526" i="3"/>
  <c r="F526" i="3" l="1"/>
  <c r="V526" i="3"/>
  <c r="A527" i="3"/>
  <c r="B527" i="3" s="1"/>
  <c r="I526" i="3"/>
  <c r="J526" i="3"/>
  <c r="M526" i="3"/>
  <c r="N526" i="3" s="1"/>
  <c r="W526" i="3" l="1"/>
  <c r="L526" i="3"/>
  <c r="Z527" i="3"/>
  <c r="AC527" i="3"/>
  <c r="P527" i="3"/>
  <c r="Q527" i="3" s="1"/>
  <c r="R527" i="3" s="1"/>
  <c r="S527" i="3" s="1"/>
  <c r="AA527" i="3"/>
  <c r="U526" i="3" l="1"/>
  <c r="Y525" i="3"/>
  <c r="T527" i="3"/>
  <c r="D527" i="3" l="1"/>
  <c r="G527" i="3" s="1"/>
  <c r="E527" i="3"/>
  <c r="H527" i="3" s="1"/>
  <c r="AG527" i="3"/>
  <c r="AH527" i="3"/>
  <c r="F527" i="3" l="1"/>
  <c r="I527" i="3"/>
  <c r="J527" i="3"/>
  <c r="AD527" i="3" s="1"/>
  <c r="M527" i="3"/>
  <c r="N527" i="3" s="1"/>
  <c r="K527" i="3"/>
  <c r="AE527" i="3" s="1"/>
  <c r="V527" i="3" l="1"/>
  <c r="W527" i="3" s="1"/>
  <c r="A528" i="3"/>
  <c r="B528" i="3" s="1"/>
  <c r="L527" i="3"/>
  <c r="U527" i="3" l="1"/>
  <c r="Y526" i="3"/>
  <c r="Z528" i="3"/>
  <c r="P528" i="3"/>
  <c r="Q528" i="3" s="1"/>
  <c r="R528" i="3" s="1"/>
  <c r="S528" i="3" s="1"/>
  <c r="AC528" i="3"/>
  <c r="AA528" i="3"/>
  <c r="T528" i="3" l="1"/>
  <c r="AH528" i="3" s="1"/>
  <c r="D528" i="3" l="1"/>
  <c r="E528" i="3"/>
  <c r="H528" i="3" s="1"/>
  <c r="K528" i="3" s="1"/>
  <c r="AE528" i="3" s="1"/>
  <c r="AG528" i="3"/>
  <c r="F528" i="3" l="1"/>
  <c r="G528" i="3"/>
  <c r="M528" i="3" s="1"/>
  <c r="N528" i="3" s="1"/>
  <c r="V528" i="3"/>
  <c r="A529" i="3"/>
  <c r="B529" i="3" s="1"/>
  <c r="I528" i="3" l="1"/>
  <c r="W528" i="3" s="1"/>
  <c r="J528" i="3"/>
  <c r="Z529" i="3"/>
  <c r="AC529" i="3"/>
  <c r="AD529" i="3"/>
  <c r="P529" i="3"/>
  <c r="Q529" i="3" s="1"/>
  <c r="R529" i="3" s="1"/>
  <c r="S529" i="3" s="1"/>
  <c r="AA529" i="3"/>
  <c r="L528" i="3" l="1"/>
  <c r="Y527" i="3" s="1"/>
  <c r="AD528" i="3"/>
  <c r="T529" i="3"/>
  <c r="AG529" i="3" l="1"/>
  <c r="U528" i="3"/>
  <c r="D529" i="3" s="1"/>
  <c r="G529" i="3" s="1"/>
  <c r="AH529" i="3"/>
  <c r="E529" i="3" l="1"/>
  <c r="H529" i="3" s="1"/>
  <c r="K529" i="3" s="1"/>
  <c r="AE529" i="3" s="1"/>
  <c r="J529" i="3"/>
  <c r="A530" i="3" l="1"/>
  <c r="B530" i="3" s="1"/>
  <c r="P530" i="3" s="1"/>
  <c r="Q530" i="3" s="1"/>
  <c r="R530" i="3" s="1"/>
  <c r="S530" i="3" s="1"/>
  <c r="V529" i="3"/>
  <c r="M529" i="3"/>
  <c r="N529" i="3" s="1"/>
  <c r="I529" i="3"/>
  <c r="F529" i="3"/>
  <c r="L529" i="3"/>
  <c r="AC530" i="3" l="1"/>
  <c r="AD530" i="3"/>
  <c r="Z530" i="3"/>
  <c r="AA530" i="3"/>
  <c r="W529" i="3"/>
  <c r="T530" i="3"/>
  <c r="U529" i="3"/>
  <c r="Y528" i="3"/>
  <c r="AG530" i="3" l="1"/>
  <c r="D530" i="3"/>
  <c r="G530" i="3" s="1"/>
  <c r="AH530" i="3"/>
  <c r="E530" i="3"/>
  <c r="H530" i="3" s="1"/>
  <c r="F530" i="3" l="1"/>
  <c r="I530" i="3"/>
  <c r="J530" i="3"/>
  <c r="M530" i="3"/>
  <c r="N530" i="3" s="1"/>
  <c r="K530" i="3"/>
  <c r="AE530" i="3" s="1"/>
  <c r="V530" i="3" l="1"/>
  <c r="W530" i="3" s="1"/>
  <c r="A531" i="3"/>
  <c r="B531" i="3" s="1"/>
  <c r="L530" i="3"/>
  <c r="U530" i="3" l="1"/>
  <c r="Y529" i="3"/>
  <c r="Z531" i="3"/>
  <c r="AD531" i="3"/>
  <c r="AC531" i="3"/>
  <c r="AA531" i="3"/>
  <c r="P531" i="3"/>
  <c r="Q531" i="3" s="1"/>
  <c r="R531" i="3" s="1"/>
  <c r="S531" i="3" s="1"/>
  <c r="T531" i="3" l="1"/>
  <c r="AG531" i="3" s="1"/>
  <c r="AH531" i="3" l="1"/>
  <c r="D531" i="3"/>
  <c r="E531" i="3"/>
  <c r="H531" i="3" s="1"/>
  <c r="K531" i="3" l="1"/>
  <c r="AE531" i="3" s="1"/>
  <c r="F531" i="3"/>
  <c r="G531" i="3"/>
  <c r="I531" i="3" l="1"/>
  <c r="J531" i="3"/>
  <c r="M531" i="3"/>
  <c r="N531" i="3" s="1"/>
  <c r="V531" i="3"/>
  <c r="A532" i="3"/>
  <c r="B532" i="3" s="1"/>
  <c r="W531" i="3" l="1"/>
  <c r="L531" i="3"/>
  <c r="AD532" i="3"/>
  <c r="AC532" i="3"/>
  <c r="Z532" i="3"/>
  <c r="P532" i="3"/>
  <c r="Q532" i="3" s="1"/>
  <c r="R532" i="3" s="1"/>
  <c r="S532" i="3" s="1"/>
  <c r="AA532" i="3"/>
  <c r="U531" i="3" l="1"/>
  <c r="Y530" i="3"/>
  <c r="T532" i="3"/>
  <c r="AH532" i="3" s="1"/>
  <c r="D532" i="3" l="1"/>
  <c r="G532" i="3" s="1"/>
  <c r="AG532" i="3"/>
  <c r="E532" i="3"/>
  <c r="H532" i="3" s="1"/>
  <c r="K532" i="3" s="1"/>
  <c r="AE532" i="3" s="1"/>
  <c r="F532" i="3" l="1"/>
  <c r="V532" i="3"/>
  <c r="A533" i="3"/>
  <c r="B533" i="3" s="1"/>
  <c r="I532" i="3"/>
  <c r="J532" i="3"/>
  <c r="M532" i="3"/>
  <c r="N532" i="3" s="1"/>
  <c r="W532" i="3" l="1"/>
  <c r="L532" i="3"/>
  <c r="P533" i="3"/>
  <c r="Q533" i="3" s="1"/>
  <c r="R533" i="3" s="1"/>
  <c r="S533" i="3" s="1"/>
  <c r="AD533" i="3"/>
  <c r="AA533" i="3"/>
  <c r="Z533" i="3"/>
  <c r="AC533" i="3"/>
  <c r="T533" i="3" l="1"/>
  <c r="U532" i="3"/>
  <c r="Y531" i="3"/>
  <c r="E533" i="3" l="1"/>
  <c r="H533" i="3" s="1"/>
  <c r="K533" i="3" s="1"/>
  <c r="AE533" i="3" s="1"/>
  <c r="AH533" i="3"/>
  <c r="AG533" i="3"/>
  <c r="D533" i="3"/>
  <c r="F533" i="3" l="1"/>
  <c r="G533" i="3"/>
  <c r="V533" i="3"/>
  <c r="A534" i="3"/>
  <c r="B534" i="3" s="1"/>
  <c r="Z534" i="3" l="1"/>
  <c r="AC534" i="3"/>
  <c r="AA534" i="3"/>
  <c r="P534" i="3"/>
  <c r="Q534" i="3" s="1"/>
  <c r="R534" i="3" s="1"/>
  <c r="S534" i="3" s="1"/>
  <c r="I533" i="3"/>
  <c r="W533" i="3" s="1"/>
  <c r="J533" i="3"/>
  <c r="M533" i="3"/>
  <c r="N533" i="3" s="1"/>
  <c r="L533" i="3" l="1"/>
  <c r="T534" i="3"/>
  <c r="U533" i="3" l="1"/>
  <c r="D534" i="3" s="1"/>
  <c r="AG534" i="3"/>
  <c r="AH534" i="3"/>
  <c r="Y532" i="3"/>
  <c r="E534" i="3" l="1"/>
  <c r="H534" i="3" s="1"/>
  <c r="K534" i="3" s="1"/>
  <c r="AE534" i="3" s="1"/>
  <c r="G534" i="3"/>
  <c r="F534" i="3" l="1"/>
  <c r="V534" i="3"/>
  <c r="A535" i="3"/>
  <c r="B535" i="3" s="1"/>
  <c r="I534" i="3"/>
  <c r="J534" i="3"/>
  <c r="AD534" i="3" s="1"/>
  <c r="M534" i="3"/>
  <c r="N534" i="3" s="1"/>
  <c r="W534" i="3" l="1"/>
  <c r="L534" i="3"/>
  <c r="AA535" i="3"/>
  <c r="AC535" i="3"/>
  <c r="AD535" i="3"/>
  <c r="Z535" i="3"/>
  <c r="P535" i="3"/>
  <c r="Q535" i="3" s="1"/>
  <c r="R535" i="3" s="1"/>
  <c r="S535" i="3" s="1"/>
  <c r="T535" i="3" l="1"/>
  <c r="U534" i="3"/>
  <c r="Y533" i="3"/>
  <c r="D535" i="3" l="1"/>
  <c r="G535" i="3" s="1"/>
  <c r="E535" i="3"/>
  <c r="H535" i="3" s="1"/>
  <c r="K535" i="3" s="1"/>
  <c r="AE535" i="3" s="1"/>
  <c r="AG535" i="3"/>
  <c r="AH535" i="3"/>
  <c r="F535" i="3" l="1"/>
  <c r="V535" i="3"/>
  <c r="A536" i="3"/>
  <c r="B536" i="3" s="1"/>
  <c r="I535" i="3"/>
  <c r="J535" i="3"/>
  <c r="M535" i="3"/>
  <c r="N535" i="3" s="1"/>
  <c r="W535" i="3" l="1"/>
  <c r="L535" i="3"/>
  <c r="AC536" i="3"/>
  <c r="AA536" i="3"/>
  <c r="Z536" i="3"/>
  <c r="P536" i="3"/>
  <c r="Q536" i="3" s="1"/>
  <c r="R536" i="3" s="1"/>
  <c r="S536" i="3" s="1"/>
  <c r="AD536" i="3"/>
  <c r="U535" i="3" l="1"/>
  <c r="Y534" i="3"/>
  <c r="T536" i="3"/>
  <c r="AH536" i="3" s="1"/>
  <c r="AG536" i="3" l="1"/>
  <c r="E536" i="3"/>
  <c r="H536" i="3" s="1"/>
  <c r="D536" i="3"/>
  <c r="K536" i="3" l="1"/>
  <c r="AE536" i="3" s="1"/>
  <c r="F536" i="3"/>
  <c r="G536" i="3"/>
  <c r="I536" i="3" l="1"/>
  <c r="J536" i="3"/>
  <c r="M536" i="3"/>
  <c r="N536" i="3" s="1"/>
  <c r="V536" i="3"/>
  <c r="A537" i="3"/>
  <c r="B537" i="3" s="1"/>
  <c r="W536" i="3" l="1"/>
  <c r="L536" i="3"/>
  <c r="AC537" i="3"/>
  <c r="P537" i="3"/>
  <c r="Q537" i="3" s="1"/>
  <c r="R537" i="3" s="1"/>
  <c r="S537" i="3" s="1"/>
  <c r="Z537" i="3"/>
  <c r="AA537" i="3"/>
  <c r="U536" i="3" l="1"/>
  <c r="Y535" i="3"/>
  <c r="T537" i="3"/>
  <c r="AH537" i="3" s="1"/>
  <c r="AG537" i="3" l="1"/>
  <c r="E537" i="3"/>
  <c r="H537" i="3" s="1"/>
  <c r="D537" i="3"/>
  <c r="K537" i="3" l="1"/>
  <c r="AE537" i="3" s="1"/>
  <c r="F537" i="3"/>
  <c r="G537" i="3"/>
  <c r="I537" i="3" l="1"/>
  <c r="J537" i="3"/>
  <c r="AD537" i="3" s="1"/>
  <c r="M537" i="3"/>
  <c r="N537" i="3" s="1"/>
  <c r="V537" i="3"/>
  <c r="A538" i="3"/>
  <c r="B538" i="3" s="1"/>
  <c r="W537" i="3" l="1"/>
  <c r="L537" i="3"/>
  <c r="AA538" i="3"/>
  <c r="AC538" i="3"/>
  <c r="Z538" i="3"/>
  <c r="P538" i="3"/>
  <c r="Q538" i="3" s="1"/>
  <c r="R538" i="3" s="1"/>
  <c r="S538" i="3" s="1"/>
  <c r="T538" i="3" l="1"/>
  <c r="U537" i="3"/>
  <c r="Y536" i="3"/>
  <c r="D538" i="3" l="1"/>
  <c r="G538" i="3" s="1"/>
  <c r="AH538" i="3"/>
  <c r="AG538" i="3"/>
  <c r="E538" i="3"/>
  <c r="H538" i="3" s="1"/>
  <c r="F538" i="3" l="1"/>
  <c r="I538" i="3"/>
  <c r="J538" i="3"/>
  <c r="AD538" i="3" s="1"/>
  <c r="M538" i="3"/>
  <c r="N538" i="3" s="1"/>
  <c r="K538" i="3"/>
  <c r="AE538" i="3" s="1"/>
  <c r="V538" i="3" l="1"/>
  <c r="W538" i="3" s="1"/>
  <c r="A539" i="3"/>
  <c r="B539" i="3" s="1"/>
  <c r="L538" i="3"/>
  <c r="U538" i="3" l="1"/>
  <c r="Y537" i="3"/>
  <c r="Z539" i="3"/>
  <c r="P539" i="3"/>
  <c r="Q539" i="3" s="1"/>
  <c r="R539" i="3" s="1"/>
  <c r="S539" i="3" s="1"/>
  <c r="AD539" i="3"/>
  <c r="AA539" i="3"/>
  <c r="AC539" i="3"/>
  <c r="T539" i="3" l="1"/>
  <c r="AH539" i="3" s="1"/>
  <c r="AG539" i="3" l="1"/>
  <c r="E539" i="3"/>
  <c r="H539" i="3" s="1"/>
  <c r="K539" i="3" s="1"/>
  <c r="AE539" i="3" s="1"/>
  <c r="D539" i="3"/>
  <c r="G539" i="3" s="1"/>
  <c r="F539" i="3" l="1"/>
  <c r="V539" i="3"/>
  <c r="A540" i="3"/>
  <c r="B540" i="3" s="1"/>
  <c r="I539" i="3"/>
  <c r="J539" i="3"/>
  <c r="M539" i="3"/>
  <c r="N539" i="3" s="1"/>
  <c r="W539" i="3" l="1"/>
  <c r="L539" i="3"/>
  <c r="AA540" i="3"/>
  <c r="AC540" i="3"/>
  <c r="Z540" i="3"/>
  <c r="AD540" i="3"/>
  <c r="P540" i="3"/>
  <c r="Q540" i="3" s="1"/>
  <c r="R540" i="3" s="1"/>
  <c r="S540" i="3" s="1"/>
  <c r="U539" i="3" l="1"/>
  <c r="Y538" i="3"/>
  <c r="T540" i="3"/>
  <c r="AG540" i="3" s="1"/>
  <c r="E540" i="3" l="1"/>
  <c r="H540" i="3" s="1"/>
  <c r="D540" i="3"/>
  <c r="AH540" i="3"/>
  <c r="K540" i="3" l="1"/>
  <c r="AE540" i="3" s="1"/>
  <c r="F540" i="3"/>
  <c r="G540" i="3"/>
  <c r="V540" i="3" l="1"/>
  <c r="A541" i="3"/>
  <c r="B541" i="3" s="1"/>
  <c r="I540" i="3"/>
  <c r="J540" i="3"/>
  <c r="M540" i="3"/>
  <c r="N540" i="3" s="1"/>
  <c r="W540" i="3" l="1"/>
  <c r="L540" i="3"/>
  <c r="P541" i="3"/>
  <c r="Q541" i="3" s="1"/>
  <c r="R541" i="3" s="1"/>
  <c r="S541" i="3" s="1"/>
  <c r="AA541" i="3"/>
  <c r="AD541" i="3"/>
  <c r="Z541" i="3"/>
  <c r="AC541" i="3"/>
  <c r="U540" i="3" l="1"/>
  <c r="Y539" i="3"/>
  <c r="T541" i="3"/>
  <c r="AG541" i="3" s="1"/>
  <c r="AH541" i="3" l="1"/>
  <c r="E541" i="3"/>
  <c r="H541" i="3" s="1"/>
  <c r="D541" i="3"/>
  <c r="K541" i="3" l="1"/>
  <c r="AE541" i="3" s="1"/>
  <c r="F541" i="3"/>
  <c r="G541" i="3"/>
  <c r="I541" i="3" l="1"/>
  <c r="J541" i="3"/>
  <c r="M541" i="3"/>
  <c r="N541" i="3" s="1"/>
  <c r="V541" i="3"/>
  <c r="A542" i="3"/>
  <c r="B542" i="3" s="1"/>
  <c r="W541" i="3" l="1"/>
  <c r="L541" i="3"/>
  <c r="AC542" i="3"/>
  <c r="P542" i="3"/>
  <c r="Q542" i="3" s="1"/>
  <c r="R542" i="3" s="1"/>
  <c r="S542" i="3" s="1"/>
  <c r="AA542" i="3"/>
  <c r="Z542" i="3"/>
  <c r="AD542" i="3"/>
  <c r="T542" i="3" l="1"/>
  <c r="AH542" i="3" s="1"/>
  <c r="U541" i="3"/>
  <c r="Y540" i="3"/>
  <c r="E542" i="3" l="1"/>
  <c r="H542" i="3" s="1"/>
  <c r="K542" i="3" s="1"/>
  <c r="AE542" i="3" s="1"/>
  <c r="AG542" i="3"/>
  <c r="D542" i="3"/>
  <c r="F542" i="3" l="1"/>
  <c r="G542" i="3"/>
  <c r="V542" i="3"/>
  <c r="A543" i="3"/>
  <c r="B543" i="3" s="1"/>
  <c r="P543" i="3" l="1"/>
  <c r="Q543" i="3" s="1"/>
  <c r="R543" i="3" s="1"/>
  <c r="S543" i="3" s="1"/>
  <c r="AD543" i="3"/>
  <c r="Z543" i="3"/>
  <c r="AA543" i="3"/>
  <c r="AC543" i="3"/>
  <c r="I542" i="3"/>
  <c r="W542" i="3" s="1"/>
  <c r="J542" i="3"/>
  <c r="M542" i="3"/>
  <c r="N542" i="3" s="1"/>
  <c r="T543" i="3" l="1"/>
  <c r="L542" i="3"/>
  <c r="AH543" i="3" l="1"/>
  <c r="U542" i="3"/>
  <c r="E543" i="3" s="1"/>
  <c r="H543" i="3" s="1"/>
  <c r="AG543" i="3"/>
  <c r="Y541" i="3"/>
  <c r="D543" i="3" l="1"/>
  <c r="G543" i="3" s="1"/>
  <c r="K543" i="3"/>
  <c r="AE543" i="3" s="1"/>
  <c r="F543" i="3" l="1"/>
  <c r="I543" i="3"/>
  <c r="J543" i="3"/>
  <c r="M543" i="3"/>
  <c r="N543" i="3" s="1"/>
  <c r="V543" i="3"/>
  <c r="A544" i="3"/>
  <c r="B544" i="3" s="1"/>
  <c r="W543" i="3" l="1"/>
  <c r="L543" i="3"/>
  <c r="P544" i="3"/>
  <c r="Q544" i="3" s="1"/>
  <c r="R544" i="3" s="1"/>
  <c r="S544" i="3" s="1"/>
  <c r="Z544" i="3"/>
  <c r="AC544" i="3"/>
  <c r="AA544" i="3"/>
  <c r="U543" i="3" l="1"/>
  <c r="Y542" i="3"/>
  <c r="T544" i="3"/>
  <c r="AG544" i="3" s="1"/>
  <c r="E544" i="3" l="1"/>
  <c r="H544" i="3" s="1"/>
  <c r="D544" i="3"/>
  <c r="AH544" i="3"/>
  <c r="K544" i="3" l="1"/>
  <c r="AE544" i="3" s="1"/>
  <c r="F544" i="3"/>
  <c r="G544" i="3"/>
  <c r="I544" i="3" l="1"/>
  <c r="J544" i="3"/>
  <c r="AD544" i="3" s="1"/>
  <c r="M544" i="3"/>
  <c r="N544" i="3" s="1"/>
  <c r="V544" i="3"/>
  <c r="A545" i="3"/>
  <c r="B545" i="3" s="1"/>
  <c r="W544" i="3" l="1"/>
  <c r="L544" i="3"/>
  <c r="Z545" i="3"/>
  <c r="AA545" i="3"/>
  <c r="AC545" i="3"/>
  <c r="P545" i="3"/>
  <c r="Q545" i="3" s="1"/>
  <c r="R545" i="3" s="1"/>
  <c r="S545" i="3" s="1"/>
  <c r="U544" i="3" l="1"/>
  <c r="Y543" i="3"/>
  <c r="T545" i="3"/>
  <c r="AH545" i="3" s="1"/>
  <c r="E545" i="3" l="1"/>
  <c r="H545" i="3" s="1"/>
  <c r="K545" i="3" s="1"/>
  <c r="AE545" i="3" s="1"/>
  <c r="D545" i="3"/>
  <c r="AG545" i="3"/>
  <c r="V545" i="3" l="1"/>
  <c r="A546" i="3"/>
  <c r="B546" i="3" s="1"/>
  <c r="F545" i="3"/>
  <c r="G545" i="3"/>
  <c r="I545" i="3" l="1"/>
  <c r="W545" i="3" s="1"/>
  <c r="J545" i="3"/>
  <c r="AD545" i="3" s="1"/>
  <c r="M545" i="3"/>
  <c r="N545" i="3" s="1"/>
  <c r="AC546" i="3"/>
  <c r="P546" i="3"/>
  <c r="Q546" i="3" s="1"/>
  <c r="R546" i="3" s="1"/>
  <c r="S546" i="3" s="1"/>
  <c r="Z546" i="3"/>
  <c r="AA546" i="3"/>
  <c r="T546" i="3" l="1"/>
  <c r="L545" i="3"/>
  <c r="U545" i="3" l="1"/>
  <c r="D546" i="3" s="1"/>
  <c r="AG546" i="3"/>
  <c r="AH546" i="3"/>
  <c r="Y544" i="3"/>
  <c r="E546" i="3" l="1"/>
  <c r="H546" i="3" s="1"/>
  <c r="K546" i="3" s="1"/>
  <c r="AE546" i="3" s="1"/>
  <c r="G546" i="3"/>
  <c r="F546" i="3" l="1"/>
  <c r="V546" i="3"/>
  <c r="A547" i="3"/>
  <c r="B547" i="3" s="1"/>
  <c r="I546" i="3"/>
  <c r="J546" i="3"/>
  <c r="AD546" i="3" s="1"/>
  <c r="M546" i="3"/>
  <c r="N546" i="3" s="1"/>
  <c r="W546" i="3" l="1"/>
  <c r="L546" i="3"/>
  <c r="AC547" i="3"/>
  <c r="P547" i="3"/>
  <c r="Q547" i="3" s="1"/>
  <c r="R547" i="3" s="1"/>
  <c r="S547" i="3" s="1"/>
  <c r="AA547" i="3"/>
  <c r="Z547" i="3"/>
  <c r="U546" i="3" l="1"/>
  <c r="Y545" i="3"/>
  <c r="T547" i="3"/>
  <c r="AG547" i="3" s="1"/>
  <c r="E547" i="3" l="1"/>
  <c r="H547" i="3" s="1"/>
  <c r="K547" i="3" s="1"/>
  <c r="AE547" i="3" s="1"/>
  <c r="D547" i="3"/>
  <c r="G547" i="3" s="1"/>
  <c r="AH547" i="3"/>
  <c r="F547" i="3" l="1"/>
  <c r="I547" i="3"/>
  <c r="J547" i="3"/>
  <c r="AD547" i="3" s="1"/>
  <c r="M547" i="3"/>
  <c r="N547" i="3" s="1"/>
  <c r="V547" i="3"/>
  <c r="A548" i="3"/>
  <c r="B548" i="3" s="1"/>
  <c r="W547" i="3" l="1"/>
  <c r="L547" i="3"/>
  <c r="Z548" i="3"/>
  <c r="AA548" i="3"/>
  <c r="P548" i="3"/>
  <c r="Q548" i="3" s="1"/>
  <c r="R548" i="3" s="1"/>
  <c r="S548" i="3" s="1"/>
  <c r="AC548" i="3"/>
  <c r="U547" i="3" l="1"/>
  <c r="Y546" i="3"/>
  <c r="T548" i="3"/>
  <c r="E548" i="3" l="1"/>
  <c r="H548" i="3" s="1"/>
  <c r="K548" i="3" s="1"/>
  <c r="AE548" i="3" s="1"/>
  <c r="D548" i="3"/>
  <c r="AG548" i="3"/>
  <c r="AH548" i="3"/>
  <c r="V548" i="3" l="1"/>
  <c r="A549" i="3"/>
  <c r="B549" i="3" s="1"/>
  <c r="F548" i="3"/>
  <c r="G548" i="3"/>
  <c r="I548" i="3" l="1"/>
  <c r="W548" i="3" s="1"/>
  <c r="J548" i="3"/>
  <c r="AD548" i="3" s="1"/>
  <c r="M548" i="3"/>
  <c r="N548" i="3" s="1"/>
  <c r="P549" i="3"/>
  <c r="Q549" i="3" s="1"/>
  <c r="R549" i="3" s="1"/>
  <c r="S549" i="3" s="1"/>
  <c r="AC549" i="3"/>
  <c r="AA549" i="3"/>
  <c r="Z549" i="3"/>
  <c r="T549" i="3" l="1"/>
  <c r="L548" i="3"/>
  <c r="AH549" i="3" l="1"/>
  <c r="U548" i="3"/>
  <c r="E549" i="3" s="1"/>
  <c r="H549" i="3" s="1"/>
  <c r="AG549" i="3"/>
  <c r="Y547" i="3"/>
  <c r="K549" i="3" l="1"/>
  <c r="AE549" i="3" s="1"/>
  <c r="D549" i="3"/>
  <c r="V549" i="3" l="1"/>
  <c r="A550" i="3"/>
  <c r="B550" i="3" s="1"/>
  <c r="F549" i="3"/>
  <c r="G549" i="3"/>
  <c r="I549" i="3" l="1"/>
  <c r="W549" i="3" s="1"/>
  <c r="J549" i="3"/>
  <c r="AD549" i="3" s="1"/>
  <c r="M549" i="3"/>
  <c r="N549" i="3" s="1"/>
  <c r="P550" i="3"/>
  <c r="Q550" i="3" s="1"/>
  <c r="R550" i="3" s="1"/>
  <c r="S550" i="3" s="1"/>
  <c r="AA550" i="3"/>
  <c r="AC550" i="3"/>
  <c r="Z550" i="3"/>
  <c r="T550" i="3" l="1"/>
  <c r="L549" i="3"/>
  <c r="U549" i="3" l="1"/>
  <c r="D550" i="3" s="1"/>
  <c r="AH550" i="3"/>
  <c r="AG550" i="3"/>
  <c r="Y548" i="3"/>
  <c r="E550" i="3" l="1"/>
  <c r="H550" i="3" s="1"/>
  <c r="K550" i="3" s="1"/>
  <c r="AE550" i="3" s="1"/>
  <c r="G550" i="3"/>
  <c r="F550" i="3" l="1"/>
  <c r="I550" i="3"/>
  <c r="J550" i="3"/>
  <c r="AD550" i="3" s="1"/>
  <c r="M550" i="3"/>
  <c r="N550" i="3" s="1"/>
  <c r="V550" i="3"/>
  <c r="A551" i="3"/>
  <c r="B551" i="3" s="1"/>
  <c r="W550" i="3" l="1"/>
  <c r="L550" i="3"/>
  <c r="P551" i="3"/>
  <c r="Q551" i="3" s="1"/>
  <c r="R551" i="3" s="1"/>
  <c r="S551" i="3" s="1"/>
  <c r="AC551" i="3"/>
  <c r="AA551" i="3"/>
  <c r="Z551" i="3"/>
  <c r="T551" i="3" l="1"/>
  <c r="AG551" i="3" s="1"/>
  <c r="U550" i="3"/>
  <c r="Y549" i="3"/>
  <c r="D551" i="3" l="1"/>
  <c r="G551" i="3" s="1"/>
  <c r="AH551" i="3"/>
  <c r="E551" i="3"/>
  <c r="H551" i="3" s="1"/>
  <c r="F551" i="3" l="1"/>
  <c r="I551" i="3"/>
  <c r="J551" i="3"/>
  <c r="AD551" i="3" s="1"/>
  <c r="M551" i="3"/>
  <c r="N551" i="3" s="1"/>
  <c r="K551" i="3"/>
  <c r="AE551" i="3" s="1"/>
  <c r="V551" i="3" l="1"/>
  <c r="W551" i="3" s="1"/>
  <c r="A552" i="3"/>
  <c r="B552" i="3" s="1"/>
  <c r="L551" i="3"/>
  <c r="U551" i="3" l="1"/>
  <c r="Y550" i="3"/>
  <c r="AA552" i="3"/>
  <c r="P552" i="3"/>
  <c r="Q552" i="3" s="1"/>
  <c r="R552" i="3" s="1"/>
  <c r="S552" i="3" s="1"/>
  <c r="AC552" i="3"/>
  <c r="Z552" i="3"/>
  <c r="T552" i="3" l="1"/>
  <c r="D552" i="3" s="1"/>
  <c r="AG552" i="3" l="1"/>
  <c r="AH552" i="3"/>
  <c r="E552" i="3"/>
  <c r="H552" i="3" s="1"/>
  <c r="K552" i="3" s="1"/>
  <c r="AE552" i="3" s="1"/>
  <c r="G552" i="3"/>
  <c r="F552" i="3" l="1"/>
  <c r="I552" i="3"/>
  <c r="J552" i="3"/>
  <c r="AD552" i="3" s="1"/>
  <c r="M552" i="3"/>
  <c r="N552" i="3" s="1"/>
  <c r="V552" i="3"/>
  <c r="A553" i="3"/>
  <c r="B553" i="3" s="1"/>
  <c r="W552" i="3" l="1"/>
  <c r="L552" i="3"/>
  <c r="P553" i="3"/>
  <c r="Q553" i="3" s="1"/>
  <c r="R553" i="3" s="1"/>
  <c r="S553" i="3" s="1"/>
  <c r="Z553" i="3"/>
  <c r="AC553" i="3"/>
  <c r="AA553" i="3"/>
  <c r="T553" i="3" l="1"/>
  <c r="U552" i="3"/>
  <c r="Y551" i="3"/>
  <c r="D553" i="3" l="1"/>
  <c r="G553" i="3" s="1"/>
  <c r="AH553" i="3"/>
  <c r="AG553" i="3"/>
  <c r="E553" i="3"/>
  <c r="H553" i="3" s="1"/>
  <c r="K553" i="3" l="1"/>
  <c r="AE553" i="3" s="1"/>
  <c r="F553" i="3"/>
  <c r="I553" i="3"/>
  <c r="J553" i="3"/>
  <c r="AD553" i="3" s="1"/>
  <c r="M553" i="3"/>
  <c r="N553" i="3" s="1"/>
  <c r="V553" i="3" l="1"/>
  <c r="W553" i="3" s="1"/>
  <c r="A554" i="3"/>
  <c r="B554" i="3" s="1"/>
  <c r="L553" i="3"/>
  <c r="U553" i="3" l="1"/>
  <c r="Y552" i="3"/>
  <c r="AA554" i="3"/>
  <c r="AC554" i="3"/>
  <c r="P554" i="3"/>
  <c r="Q554" i="3" s="1"/>
  <c r="R554" i="3" s="1"/>
  <c r="S554" i="3" s="1"/>
  <c r="Z554" i="3"/>
  <c r="T554" i="3" l="1"/>
  <c r="AH554" i="3" s="1"/>
  <c r="E554" i="3" l="1"/>
  <c r="H554" i="3" s="1"/>
  <c r="K554" i="3" s="1"/>
  <c r="AE554" i="3" s="1"/>
  <c r="AG554" i="3"/>
  <c r="D554" i="3"/>
  <c r="V554" i="3" l="1"/>
  <c r="A555" i="3"/>
  <c r="B555" i="3" s="1"/>
  <c r="F554" i="3"/>
  <c r="G554" i="3"/>
  <c r="I554" i="3" l="1"/>
  <c r="W554" i="3" s="1"/>
  <c r="J554" i="3"/>
  <c r="AD554" i="3" s="1"/>
  <c r="M554" i="3"/>
  <c r="N554" i="3" s="1"/>
  <c r="AA555" i="3"/>
  <c r="Z555" i="3"/>
  <c r="AC555" i="3"/>
  <c r="P555" i="3"/>
  <c r="Q555" i="3" s="1"/>
  <c r="R555" i="3" s="1"/>
  <c r="S555" i="3" s="1"/>
  <c r="L554" i="3" l="1"/>
  <c r="T555" i="3"/>
  <c r="U554" i="3" l="1"/>
  <c r="E555" i="3" s="1"/>
  <c r="H555" i="3" s="1"/>
  <c r="AG555" i="3"/>
  <c r="AH555" i="3"/>
  <c r="Y553" i="3"/>
  <c r="K555" i="3" l="1"/>
  <c r="AE555" i="3" s="1"/>
  <c r="D555" i="3"/>
  <c r="F555" i="3" l="1"/>
  <c r="G555" i="3"/>
  <c r="V555" i="3"/>
  <c r="A556" i="3"/>
  <c r="B556" i="3" s="1"/>
  <c r="P556" i="3" l="1"/>
  <c r="Q556" i="3" s="1"/>
  <c r="R556" i="3" s="1"/>
  <c r="S556" i="3" s="1"/>
  <c r="AA556" i="3"/>
  <c r="Z556" i="3"/>
  <c r="AC556" i="3"/>
  <c r="I555" i="3"/>
  <c r="W555" i="3" s="1"/>
  <c r="J555" i="3"/>
  <c r="AD555" i="3" s="1"/>
  <c r="M555" i="3"/>
  <c r="N555" i="3" s="1"/>
  <c r="T556" i="3" l="1"/>
  <c r="L555" i="3"/>
  <c r="AH556" i="3" l="1"/>
  <c r="U555" i="3"/>
  <c r="D556" i="3" s="1"/>
  <c r="AG556" i="3"/>
  <c r="Y554" i="3"/>
  <c r="E556" i="3" l="1"/>
  <c r="H556" i="3" s="1"/>
  <c r="K556" i="3" s="1"/>
  <c r="AE556" i="3" s="1"/>
  <c r="G556" i="3"/>
  <c r="F556" i="3" l="1"/>
  <c r="I556" i="3"/>
  <c r="J556" i="3"/>
  <c r="AD556" i="3" s="1"/>
  <c r="M556" i="3"/>
  <c r="N556" i="3" s="1"/>
  <c r="V556" i="3"/>
  <c r="A557" i="3"/>
  <c r="B557" i="3" s="1"/>
  <c r="W556" i="3" l="1"/>
  <c r="L556" i="3"/>
  <c r="P557" i="3"/>
  <c r="Q557" i="3" s="1"/>
  <c r="R557" i="3" s="1"/>
  <c r="S557" i="3" s="1"/>
  <c r="AA557" i="3"/>
  <c r="AC557" i="3"/>
  <c r="Z557" i="3"/>
  <c r="U556" i="3" l="1"/>
  <c r="Y555" i="3"/>
  <c r="T557" i="3"/>
  <c r="AH557" i="3" s="1"/>
  <c r="D557" i="3" l="1"/>
  <c r="G557" i="3" s="1"/>
  <c r="AG557" i="3"/>
  <c r="E557" i="3"/>
  <c r="H557" i="3" s="1"/>
  <c r="K557" i="3" s="1"/>
  <c r="AE557" i="3" s="1"/>
  <c r="F557" i="3" l="1"/>
  <c r="I557" i="3"/>
  <c r="J557" i="3"/>
  <c r="AD557" i="3" s="1"/>
  <c r="M557" i="3"/>
  <c r="N557" i="3" s="1"/>
  <c r="V557" i="3"/>
  <c r="A558" i="3"/>
  <c r="B558" i="3" s="1"/>
  <c r="W557" i="3" l="1"/>
  <c r="L557" i="3"/>
  <c r="AA558" i="3"/>
  <c r="P558" i="3"/>
  <c r="Q558" i="3" s="1"/>
  <c r="R558" i="3" s="1"/>
  <c r="S558" i="3" s="1"/>
  <c r="Z558" i="3"/>
  <c r="AC558" i="3"/>
  <c r="T558" i="3" l="1"/>
  <c r="AG558" i="3" s="1"/>
  <c r="U557" i="3"/>
  <c r="Y556" i="3"/>
  <c r="E558" i="3" l="1"/>
  <c r="H558" i="3" s="1"/>
  <c r="AH558" i="3"/>
  <c r="D558" i="3"/>
  <c r="F558" i="3" l="1"/>
  <c r="G558" i="3"/>
  <c r="K558" i="3"/>
  <c r="AE558" i="3" s="1"/>
  <c r="I558" i="3" l="1"/>
  <c r="J558" i="3"/>
  <c r="AD558" i="3" s="1"/>
  <c r="M558" i="3"/>
  <c r="N558" i="3" s="1"/>
  <c r="V558" i="3"/>
  <c r="A559" i="3"/>
  <c r="B559" i="3" s="1"/>
  <c r="W558" i="3" l="1"/>
  <c r="L558" i="3"/>
  <c r="AC559" i="3"/>
  <c r="P559" i="3"/>
  <c r="Q559" i="3" s="1"/>
  <c r="R559" i="3" s="1"/>
  <c r="S559" i="3" s="1"/>
  <c r="AA559" i="3"/>
  <c r="Z559" i="3"/>
  <c r="T559" i="3" l="1"/>
  <c r="U558" i="3"/>
  <c r="Y557" i="3"/>
  <c r="E559" i="3" l="1"/>
  <c r="H559" i="3" s="1"/>
  <c r="K559" i="3" s="1"/>
  <c r="AE559" i="3" s="1"/>
  <c r="AH559" i="3"/>
  <c r="AG559" i="3"/>
  <c r="D559" i="3"/>
  <c r="V559" i="3" l="1"/>
  <c r="A560" i="3"/>
  <c r="B560" i="3" s="1"/>
  <c r="F559" i="3"/>
  <c r="G559" i="3"/>
  <c r="I559" i="3" l="1"/>
  <c r="W559" i="3" s="1"/>
  <c r="J559" i="3"/>
  <c r="AD559" i="3" s="1"/>
  <c r="M559" i="3"/>
  <c r="N559" i="3" s="1"/>
  <c r="Z560" i="3"/>
  <c r="AC560" i="3"/>
  <c r="AA560" i="3"/>
  <c r="P560" i="3"/>
  <c r="Q560" i="3" s="1"/>
  <c r="R560" i="3" s="1"/>
  <c r="S560" i="3" s="1"/>
  <c r="T560" i="3" l="1"/>
  <c r="L559" i="3"/>
  <c r="AG560" i="3" l="1"/>
  <c r="U559" i="3"/>
  <c r="D560" i="3" s="1"/>
  <c r="AH560" i="3"/>
  <c r="Y558" i="3"/>
  <c r="E560" i="3" l="1"/>
  <c r="H560" i="3" s="1"/>
  <c r="K560" i="3" s="1"/>
  <c r="AE560" i="3" s="1"/>
  <c r="G560" i="3"/>
  <c r="F560" i="3" l="1"/>
  <c r="V560" i="3"/>
  <c r="A561" i="3"/>
  <c r="B561" i="3" s="1"/>
  <c r="I560" i="3"/>
  <c r="J560" i="3"/>
  <c r="AD560" i="3" s="1"/>
  <c r="M560" i="3"/>
  <c r="N560" i="3" s="1"/>
  <c r="W560" i="3" l="1"/>
  <c r="L560" i="3"/>
  <c r="AA561" i="3"/>
  <c r="P561" i="3"/>
  <c r="Q561" i="3" s="1"/>
  <c r="R561" i="3" s="1"/>
  <c r="S561" i="3" s="1"/>
  <c r="Z561" i="3"/>
  <c r="AC561" i="3"/>
  <c r="U560" i="3" l="1"/>
  <c r="Y559" i="3"/>
  <c r="T561" i="3"/>
  <c r="E561" i="3" l="1"/>
  <c r="H561" i="3" s="1"/>
  <c r="K561" i="3" s="1"/>
  <c r="AE561" i="3" s="1"/>
  <c r="D561" i="3"/>
  <c r="AH561" i="3"/>
  <c r="AG561" i="3"/>
  <c r="F561" i="3" l="1"/>
  <c r="G561" i="3"/>
  <c r="M561" i="3" s="1"/>
  <c r="N561" i="3" s="1"/>
  <c r="V561" i="3"/>
  <c r="A562" i="3"/>
  <c r="B562" i="3" s="1"/>
  <c r="I561" i="3" l="1"/>
  <c r="W561" i="3" s="1"/>
  <c r="J561" i="3"/>
  <c r="Z562" i="3"/>
  <c r="AA562" i="3"/>
  <c r="P562" i="3"/>
  <c r="Q562" i="3" s="1"/>
  <c r="R562" i="3" s="1"/>
  <c r="S562" i="3" s="1"/>
  <c r="AC562" i="3"/>
  <c r="L561" i="3" l="1"/>
  <c r="U561" i="3" s="1"/>
  <c r="AD561" i="3"/>
  <c r="T562" i="3"/>
  <c r="AH562" i="3" l="1"/>
  <c r="Y560" i="3"/>
  <c r="AG562" i="3"/>
  <c r="E562" i="3"/>
  <c r="H562" i="3" s="1"/>
  <c r="K562" i="3" s="1"/>
  <c r="AE562" i="3" s="1"/>
  <c r="D562" i="3"/>
  <c r="F562" i="3" l="1"/>
  <c r="G562" i="3"/>
  <c r="J562" i="3" s="1"/>
  <c r="AD562" i="3" s="1"/>
  <c r="V562" i="3"/>
  <c r="A563" i="3"/>
  <c r="B563" i="3" s="1"/>
  <c r="M562" i="3" l="1"/>
  <c r="N562" i="3" s="1"/>
  <c r="I562" i="3"/>
  <c r="W562" i="3" s="1"/>
  <c r="L562" i="3"/>
  <c r="Z563" i="3"/>
  <c r="P563" i="3"/>
  <c r="Q563" i="3" s="1"/>
  <c r="R563" i="3" s="1"/>
  <c r="S563" i="3" s="1"/>
  <c r="AC563" i="3"/>
  <c r="AA563" i="3"/>
  <c r="U562" i="3" l="1"/>
  <c r="Y561" i="3"/>
  <c r="T563" i="3"/>
  <c r="AH563" i="3" s="1"/>
  <c r="AG563" i="3" l="1"/>
  <c r="D563" i="3"/>
  <c r="E563" i="3"/>
  <c r="H563" i="3" s="1"/>
  <c r="K563" i="3" s="1"/>
  <c r="AE563" i="3" s="1"/>
  <c r="F563" i="3" l="1"/>
  <c r="G563" i="3"/>
  <c r="M563" i="3" s="1"/>
  <c r="N563" i="3" s="1"/>
  <c r="V563" i="3"/>
  <c r="A564" i="3"/>
  <c r="B564" i="3" s="1"/>
  <c r="I563" i="3" l="1"/>
  <c r="W563" i="3" s="1"/>
  <c r="J563" i="3"/>
  <c r="Z564" i="3"/>
  <c r="P564" i="3"/>
  <c r="Q564" i="3" s="1"/>
  <c r="R564" i="3" s="1"/>
  <c r="S564" i="3" s="1"/>
  <c r="AC564" i="3"/>
  <c r="AA564" i="3"/>
  <c r="L563" i="3" l="1"/>
  <c r="U563" i="3" s="1"/>
  <c r="AD563" i="3"/>
  <c r="T564" i="3"/>
  <c r="AH564" i="3" l="1"/>
  <c r="Y562" i="3"/>
  <c r="D564" i="3"/>
  <c r="E564" i="3"/>
  <c r="H564" i="3" s="1"/>
  <c r="AG564" i="3"/>
  <c r="K564" i="3" l="1"/>
  <c r="AE564" i="3" s="1"/>
  <c r="F564" i="3"/>
  <c r="G564" i="3"/>
  <c r="V564" i="3" l="1"/>
  <c r="A565" i="3"/>
  <c r="B565" i="3" s="1"/>
  <c r="I564" i="3"/>
  <c r="J564" i="3"/>
  <c r="AD564" i="3" s="1"/>
  <c r="M564" i="3"/>
  <c r="N564" i="3" s="1"/>
  <c r="W564" i="3" l="1"/>
  <c r="L564" i="3"/>
  <c r="Z565" i="3"/>
  <c r="AC565" i="3"/>
  <c r="P565" i="3"/>
  <c r="Q565" i="3" s="1"/>
  <c r="R565" i="3" s="1"/>
  <c r="S565" i="3" s="1"/>
  <c r="AA565" i="3"/>
  <c r="U564" i="3" l="1"/>
  <c r="Y563" i="3"/>
  <c r="T565" i="3"/>
  <c r="E565" i="3" l="1"/>
  <c r="H565" i="3" s="1"/>
  <c r="K565" i="3" s="1"/>
  <c r="AE565" i="3" s="1"/>
  <c r="D565" i="3"/>
  <c r="AG565" i="3"/>
  <c r="AH565" i="3"/>
  <c r="V565" i="3" l="1"/>
  <c r="A566" i="3"/>
  <c r="B566" i="3" s="1"/>
  <c r="F565" i="3"/>
  <c r="G565" i="3"/>
  <c r="I565" i="3" l="1"/>
  <c r="W565" i="3" s="1"/>
  <c r="J565" i="3"/>
  <c r="AD565" i="3" s="1"/>
  <c r="M565" i="3"/>
  <c r="N565" i="3" s="1"/>
  <c r="Z566" i="3"/>
  <c r="AA566" i="3"/>
  <c r="P566" i="3"/>
  <c r="Q566" i="3" s="1"/>
  <c r="R566" i="3" s="1"/>
  <c r="S566" i="3" s="1"/>
  <c r="AC566" i="3"/>
  <c r="L565" i="3" l="1"/>
  <c r="T566" i="3"/>
  <c r="AG566" i="3" l="1"/>
  <c r="AH566" i="3"/>
  <c r="U565" i="3"/>
  <c r="D566" i="3" s="1"/>
  <c r="Y564" i="3"/>
  <c r="G566" i="3" l="1"/>
  <c r="E566" i="3"/>
  <c r="H566" i="3" s="1"/>
  <c r="F566" i="3" l="1"/>
  <c r="I566" i="3"/>
  <c r="J566" i="3"/>
  <c r="AD566" i="3" s="1"/>
  <c r="M566" i="3"/>
  <c r="N566" i="3" s="1"/>
  <c r="K566" i="3"/>
  <c r="AE566" i="3" s="1"/>
  <c r="V566" i="3" l="1"/>
  <c r="W566" i="3" s="1"/>
  <c r="A567" i="3"/>
  <c r="B567" i="3" s="1"/>
  <c r="L566" i="3"/>
  <c r="U566" i="3" l="1"/>
  <c r="Y565" i="3"/>
  <c r="P567" i="3"/>
  <c r="Q567" i="3" s="1"/>
  <c r="R567" i="3" s="1"/>
  <c r="S567" i="3" s="1"/>
  <c r="AA567" i="3"/>
  <c r="Z567" i="3"/>
  <c r="AC567" i="3"/>
  <c r="T567" i="3" l="1"/>
  <c r="AG567" i="3" s="1"/>
  <c r="AH567" i="3" l="1"/>
  <c r="E567" i="3"/>
  <c r="H567" i="3" s="1"/>
  <c r="K567" i="3" s="1"/>
  <c r="AE567" i="3" s="1"/>
  <c r="D567" i="3"/>
  <c r="G567" i="3" s="1"/>
  <c r="F567" i="3" l="1"/>
  <c r="I567" i="3"/>
  <c r="J567" i="3"/>
  <c r="AD567" i="3" s="1"/>
  <c r="M567" i="3"/>
  <c r="N567" i="3" s="1"/>
  <c r="V567" i="3"/>
  <c r="A568" i="3"/>
  <c r="B568" i="3" s="1"/>
  <c r="W567" i="3" l="1"/>
  <c r="L567" i="3"/>
  <c r="AC568" i="3"/>
  <c r="P568" i="3"/>
  <c r="Q568" i="3" s="1"/>
  <c r="R568" i="3" s="1"/>
  <c r="S568" i="3" s="1"/>
  <c r="AA568" i="3"/>
  <c r="Z568" i="3"/>
  <c r="U567" i="3" l="1"/>
  <c r="Y566" i="3"/>
  <c r="T568" i="3"/>
  <c r="AG568" i="3" s="1"/>
  <c r="D568" i="3" l="1"/>
  <c r="G568" i="3" s="1"/>
  <c r="E568" i="3"/>
  <c r="H568" i="3" s="1"/>
  <c r="K568" i="3" s="1"/>
  <c r="AE568" i="3" s="1"/>
  <c r="AH568" i="3"/>
  <c r="F568" i="3" l="1"/>
  <c r="V568" i="3"/>
  <c r="A569" i="3"/>
  <c r="B569" i="3" s="1"/>
  <c r="I568" i="3"/>
  <c r="J568" i="3"/>
  <c r="AD568" i="3" s="1"/>
  <c r="M568" i="3"/>
  <c r="N568" i="3" s="1"/>
  <c r="L568" i="3" l="1"/>
  <c r="W568" i="3"/>
  <c r="AA569" i="3"/>
  <c r="P569" i="3"/>
  <c r="Q569" i="3" s="1"/>
  <c r="R569" i="3" s="1"/>
  <c r="S569" i="3" s="1"/>
  <c r="AC569" i="3"/>
  <c r="Z569" i="3"/>
  <c r="T569" i="3" l="1"/>
  <c r="AH569" i="3" s="1"/>
  <c r="U568" i="3"/>
  <c r="Y567" i="3"/>
  <c r="D569" i="3" l="1"/>
  <c r="G569" i="3" s="1"/>
  <c r="AG569" i="3"/>
  <c r="E569" i="3"/>
  <c r="H569" i="3" s="1"/>
  <c r="F569" i="3" l="1"/>
  <c r="I569" i="3"/>
  <c r="J569" i="3"/>
  <c r="AD569" i="3" s="1"/>
  <c r="M569" i="3"/>
  <c r="N569" i="3" s="1"/>
  <c r="K569" i="3"/>
  <c r="AE569" i="3" s="1"/>
  <c r="L569" i="3" l="1"/>
  <c r="V569" i="3"/>
  <c r="W569" i="3" s="1"/>
  <c r="A570" i="3"/>
  <c r="B570" i="3" s="1"/>
  <c r="AC570" i="3" l="1"/>
  <c r="P570" i="3"/>
  <c r="Q570" i="3" s="1"/>
  <c r="R570" i="3" s="1"/>
  <c r="S570" i="3" s="1"/>
  <c r="Z570" i="3"/>
  <c r="AA570" i="3"/>
  <c r="U569" i="3"/>
  <c r="Y568" i="3"/>
  <c r="T570" i="3" l="1"/>
  <c r="D570" i="3" l="1"/>
  <c r="E570" i="3"/>
  <c r="H570" i="3" s="1"/>
  <c r="AG570" i="3"/>
  <c r="AH570" i="3"/>
  <c r="F570" i="3" l="1"/>
  <c r="G570" i="3"/>
  <c r="K570" i="3"/>
  <c r="AE570" i="3" s="1"/>
  <c r="V570" i="3" l="1"/>
  <c r="A571" i="3"/>
  <c r="B571" i="3" s="1"/>
  <c r="I570" i="3"/>
  <c r="J570" i="3"/>
  <c r="AD570" i="3" s="1"/>
  <c r="M570" i="3"/>
  <c r="N570" i="3" s="1"/>
  <c r="W570" i="3" l="1"/>
  <c r="L570" i="3"/>
  <c r="P571" i="3"/>
  <c r="Q571" i="3" s="1"/>
  <c r="R571" i="3" s="1"/>
  <c r="S571" i="3" s="1"/>
  <c r="AA571" i="3"/>
  <c r="Z571" i="3"/>
  <c r="AC571" i="3"/>
  <c r="U570" i="3" l="1"/>
  <c r="Y569" i="3"/>
  <c r="T571" i="3"/>
  <c r="D571" i="3" l="1"/>
  <c r="G571" i="3" s="1"/>
  <c r="AG571" i="3"/>
  <c r="AH571" i="3"/>
  <c r="E571" i="3"/>
  <c r="H571" i="3" s="1"/>
  <c r="K571" i="3" s="1"/>
  <c r="AE571" i="3" s="1"/>
  <c r="F571" i="3" l="1"/>
  <c r="V571" i="3"/>
  <c r="A572" i="3"/>
  <c r="B572" i="3" s="1"/>
  <c r="I571" i="3"/>
  <c r="J571" i="3"/>
  <c r="AD571" i="3" s="1"/>
  <c r="M571" i="3"/>
  <c r="N571" i="3" s="1"/>
  <c r="W571" i="3" l="1"/>
  <c r="L571" i="3"/>
  <c r="AC572" i="3"/>
  <c r="P572" i="3"/>
  <c r="Q572" i="3" s="1"/>
  <c r="R572" i="3" s="1"/>
  <c r="S572" i="3" s="1"/>
  <c r="AA572" i="3"/>
  <c r="Z572" i="3"/>
  <c r="T572" i="3" l="1"/>
  <c r="AH572" i="3" s="1"/>
  <c r="U571" i="3"/>
  <c r="Y570" i="3"/>
  <c r="E572" i="3" l="1"/>
  <c r="H572" i="3" s="1"/>
  <c r="AG572" i="3"/>
  <c r="D572" i="3"/>
  <c r="F572" i="3" l="1"/>
  <c r="G572" i="3"/>
  <c r="K572" i="3"/>
  <c r="AE572" i="3" s="1"/>
  <c r="V572" i="3" l="1"/>
  <c r="A573" i="3"/>
  <c r="B573" i="3" s="1"/>
  <c r="I572" i="3"/>
  <c r="J572" i="3"/>
  <c r="AD572" i="3" s="1"/>
  <c r="M572" i="3"/>
  <c r="N572" i="3" s="1"/>
  <c r="W572" i="3" l="1"/>
  <c r="L572" i="3"/>
  <c r="P573" i="3"/>
  <c r="Q573" i="3" s="1"/>
  <c r="R573" i="3" s="1"/>
  <c r="S573" i="3" s="1"/>
  <c r="Z573" i="3"/>
  <c r="AC573" i="3"/>
  <c r="AA573" i="3"/>
  <c r="U572" i="3" l="1"/>
  <c r="Y571" i="3"/>
  <c r="T573" i="3"/>
  <c r="E573" i="3" l="1"/>
  <c r="H573" i="3" s="1"/>
  <c r="K573" i="3" s="1"/>
  <c r="AE573" i="3" s="1"/>
  <c r="D573" i="3"/>
  <c r="AH573" i="3"/>
  <c r="AG573" i="3"/>
  <c r="F573" i="3" l="1"/>
  <c r="G573" i="3"/>
  <c r="I573" i="3" s="1"/>
  <c r="V573" i="3"/>
  <c r="A574" i="3"/>
  <c r="B574" i="3" s="1"/>
  <c r="J573" i="3" l="1"/>
  <c r="M573" i="3"/>
  <c r="N573" i="3" s="1"/>
  <c r="W573" i="3"/>
  <c r="AA574" i="3"/>
  <c r="Z574" i="3"/>
  <c r="P574" i="3"/>
  <c r="Q574" i="3" s="1"/>
  <c r="R574" i="3" s="1"/>
  <c r="S574" i="3" s="1"/>
  <c r="AC574" i="3"/>
  <c r="L573" i="3" l="1"/>
  <c r="U573" i="3" s="1"/>
  <c r="AD573" i="3"/>
  <c r="T574" i="3"/>
  <c r="AH574" i="3" l="1"/>
  <c r="Y572" i="3"/>
  <c r="D574" i="3"/>
  <c r="G574" i="3" s="1"/>
  <c r="AG574" i="3"/>
  <c r="E574" i="3"/>
  <c r="H574" i="3" s="1"/>
  <c r="K574" i="3" l="1"/>
  <c r="AE574" i="3" s="1"/>
  <c r="I574" i="3"/>
  <c r="J574" i="3"/>
  <c r="AD574" i="3" s="1"/>
  <c r="M574" i="3"/>
  <c r="N574" i="3" s="1"/>
  <c r="F574" i="3"/>
  <c r="V574" i="3" l="1"/>
  <c r="W574" i="3" s="1"/>
  <c r="A575" i="3"/>
  <c r="B575" i="3" s="1"/>
  <c r="L574" i="3"/>
  <c r="U574" i="3" l="1"/>
  <c r="Y573" i="3"/>
  <c r="P575" i="3"/>
  <c r="Q575" i="3" s="1"/>
  <c r="R575" i="3" s="1"/>
  <c r="S575" i="3" s="1"/>
  <c r="Z575" i="3"/>
  <c r="AC575" i="3"/>
  <c r="AA575" i="3"/>
  <c r="T575" i="3" l="1"/>
  <c r="AH575" i="3" s="1"/>
  <c r="AG575" i="3" l="1"/>
  <c r="E575" i="3"/>
  <c r="H575" i="3" s="1"/>
  <c r="D575" i="3"/>
  <c r="K575" i="3" l="1"/>
  <c r="AE575" i="3" s="1"/>
  <c r="F575" i="3"/>
  <c r="G575" i="3"/>
  <c r="V575" i="3" l="1"/>
  <c r="A576" i="3"/>
  <c r="B576" i="3" s="1"/>
  <c r="I575" i="3"/>
  <c r="J575" i="3"/>
  <c r="AD575" i="3" s="1"/>
  <c r="M575" i="3"/>
  <c r="N575" i="3" s="1"/>
  <c r="W575" i="3" l="1"/>
  <c r="L575" i="3"/>
  <c r="AA576" i="3"/>
  <c r="P576" i="3"/>
  <c r="Q576" i="3" s="1"/>
  <c r="R576" i="3" s="1"/>
  <c r="S576" i="3" s="1"/>
  <c r="Z576" i="3"/>
  <c r="AC576" i="3"/>
  <c r="U575" i="3" l="1"/>
  <c r="Y574" i="3"/>
  <c r="T576" i="3"/>
  <c r="E576" i="3" l="1"/>
  <c r="H576" i="3" s="1"/>
  <c r="K576" i="3" s="1"/>
  <c r="AE576" i="3" s="1"/>
  <c r="AH576" i="3"/>
  <c r="D576" i="3"/>
  <c r="G576" i="3" s="1"/>
  <c r="AG576" i="3"/>
  <c r="F576" i="3" l="1"/>
  <c r="V576" i="3"/>
  <c r="A577" i="3"/>
  <c r="B577" i="3" s="1"/>
  <c r="I576" i="3"/>
  <c r="J576" i="3"/>
  <c r="AD576" i="3" s="1"/>
  <c r="M576" i="3"/>
  <c r="N576" i="3" s="1"/>
  <c r="W576" i="3" l="1"/>
  <c r="L576" i="3"/>
  <c r="P577" i="3"/>
  <c r="Q577" i="3" s="1"/>
  <c r="R577" i="3" s="1"/>
  <c r="S577" i="3" s="1"/>
  <c r="AC577" i="3"/>
  <c r="AA577" i="3"/>
  <c r="Z577" i="3"/>
  <c r="U576" i="3" l="1"/>
  <c r="Y575" i="3"/>
  <c r="T577" i="3"/>
  <c r="AH577" i="3" s="1"/>
  <c r="E577" i="3" l="1"/>
  <c r="H577" i="3" s="1"/>
  <c r="K577" i="3" s="1"/>
  <c r="AE577" i="3" s="1"/>
  <c r="AG577" i="3"/>
  <c r="D577" i="3"/>
  <c r="F577" i="3" l="1"/>
  <c r="G577" i="3"/>
  <c r="J577" i="3" s="1"/>
  <c r="AD577" i="3" s="1"/>
  <c r="V577" i="3"/>
  <c r="A578" i="3"/>
  <c r="B578" i="3" s="1"/>
  <c r="M577" i="3" l="1"/>
  <c r="N577" i="3" s="1"/>
  <c r="I577" i="3"/>
  <c r="W577" i="3" s="1"/>
  <c r="L577" i="3"/>
  <c r="AC578" i="3"/>
  <c r="P578" i="3"/>
  <c r="Q578" i="3" s="1"/>
  <c r="R578" i="3" s="1"/>
  <c r="S578" i="3" s="1"/>
  <c r="Z578" i="3"/>
  <c r="AA578" i="3"/>
  <c r="U577" i="3" l="1"/>
  <c r="Y576" i="3"/>
  <c r="T578" i="3"/>
  <c r="AG578" i="3" s="1"/>
  <c r="D578" i="3" l="1"/>
  <c r="G578" i="3" s="1"/>
  <c r="AH578" i="3"/>
  <c r="E578" i="3"/>
  <c r="H578" i="3" s="1"/>
  <c r="K578" i="3" s="1"/>
  <c r="AE578" i="3" s="1"/>
  <c r="F578" i="3" l="1"/>
  <c r="I578" i="3"/>
  <c r="J578" i="3"/>
  <c r="AD578" i="3" s="1"/>
  <c r="M578" i="3"/>
  <c r="N578" i="3" s="1"/>
  <c r="V578" i="3"/>
  <c r="A579" i="3"/>
  <c r="B579" i="3" s="1"/>
  <c r="W578" i="3" l="1"/>
  <c r="L578" i="3"/>
  <c r="AC579" i="3"/>
  <c r="Z579" i="3"/>
  <c r="P579" i="3"/>
  <c r="Q579" i="3" s="1"/>
  <c r="R579" i="3" s="1"/>
  <c r="S579" i="3" s="1"/>
  <c r="AA579" i="3"/>
  <c r="U578" i="3" l="1"/>
  <c r="Y577" i="3"/>
  <c r="T579" i="3"/>
  <c r="AG579" i="3" s="1"/>
  <c r="E579" i="3" l="1"/>
  <c r="H579" i="3" s="1"/>
  <c r="K579" i="3" s="1"/>
  <c r="AE579" i="3" s="1"/>
  <c r="AH579" i="3"/>
  <c r="D579" i="3"/>
  <c r="F579" i="3" l="1"/>
  <c r="G579" i="3"/>
  <c r="M579" i="3" s="1"/>
  <c r="N579" i="3" s="1"/>
  <c r="V579" i="3"/>
  <c r="A580" i="3"/>
  <c r="B580" i="3" s="1"/>
  <c r="I579" i="3" l="1"/>
  <c r="W579" i="3" s="1"/>
  <c r="J579" i="3"/>
  <c r="P580" i="3"/>
  <c r="Q580" i="3" s="1"/>
  <c r="R580" i="3" s="1"/>
  <c r="S580" i="3" s="1"/>
  <c r="AA580" i="3"/>
  <c r="AC580" i="3"/>
  <c r="Z580" i="3"/>
  <c r="L579" i="3" l="1"/>
  <c r="Y578" i="3" s="1"/>
  <c r="AD579" i="3"/>
  <c r="T580" i="3"/>
  <c r="AH580" i="3" l="1"/>
  <c r="U579" i="3"/>
  <c r="E580" i="3" s="1"/>
  <c r="H580" i="3" s="1"/>
  <c r="AG580" i="3"/>
  <c r="D580" i="3" l="1"/>
  <c r="G580" i="3" s="1"/>
  <c r="K580" i="3"/>
  <c r="AE580" i="3" s="1"/>
  <c r="F580" i="3" l="1"/>
  <c r="I580" i="3"/>
  <c r="J580" i="3"/>
  <c r="AD580" i="3" s="1"/>
  <c r="M580" i="3"/>
  <c r="N580" i="3" s="1"/>
  <c r="V580" i="3"/>
  <c r="A581" i="3"/>
  <c r="B581" i="3" s="1"/>
  <c r="W580" i="3" l="1"/>
  <c r="P581" i="3"/>
  <c r="Q581" i="3" s="1"/>
  <c r="R581" i="3" s="1"/>
  <c r="S581" i="3" s="1"/>
  <c r="Z581" i="3"/>
  <c r="AA581" i="3"/>
  <c r="AC581" i="3"/>
  <c r="L580" i="3"/>
  <c r="T581" i="3" l="1"/>
  <c r="AH581" i="3" s="1"/>
  <c r="U580" i="3"/>
  <c r="Y579" i="3"/>
  <c r="D581" i="3" l="1"/>
  <c r="G581" i="3" s="1"/>
  <c r="AG581" i="3"/>
  <c r="E581" i="3"/>
  <c r="H581" i="3" s="1"/>
  <c r="I581" i="3" l="1"/>
  <c r="J581" i="3"/>
  <c r="AD581" i="3" s="1"/>
  <c r="M581" i="3"/>
  <c r="N581" i="3" s="1"/>
  <c r="F581" i="3"/>
  <c r="K581" i="3"/>
  <c r="AE581" i="3" s="1"/>
  <c r="L581" i="3" l="1"/>
  <c r="V581" i="3"/>
  <c r="W581" i="3" s="1"/>
  <c r="A582" i="3"/>
  <c r="B582" i="3" s="1"/>
  <c r="P582" i="3" l="1"/>
  <c r="Q582" i="3" s="1"/>
  <c r="R582" i="3" s="1"/>
  <c r="S582" i="3" s="1"/>
  <c r="Z582" i="3"/>
  <c r="AC582" i="3"/>
  <c r="AA582" i="3"/>
  <c r="U581" i="3"/>
  <c r="Y580" i="3"/>
  <c r="T582" i="3" l="1"/>
  <c r="AH582" i="3" s="1"/>
  <c r="E582" i="3" l="1"/>
  <c r="H582" i="3" s="1"/>
  <c r="K582" i="3" s="1"/>
  <c r="AE582" i="3" s="1"/>
  <c r="AG582" i="3"/>
  <c r="D582" i="3"/>
  <c r="V582" i="3" l="1"/>
  <c r="A583" i="3"/>
  <c r="B583" i="3" s="1"/>
  <c r="F582" i="3"/>
  <c r="G582" i="3"/>
  <c r="I582" i="3" l="1"/>
  <c r="W582" i="3" s="1"/>
  <c r="J582" i="3"/>
  <c r="AD582" i="3" s="1"/>
  <c r="M582" i="3"/>
  <c r="N582" i="3" s="1"/>
  <c r="AA583" i="3"/>
  <c r="Z583" i="3"/>
  <c r="P583" i="3"/>
  <c r="Q583" i="3" s="1"/>
  <c r="R583" i="3" s="1"/>
  <c r="S583" i="3" s="1"/>
  <c r="AC583" i="3"/>
  <c r="T583" i="3" l="1"/>
  <c r="L582" i="3"/>
  <c r="U582" i="3" l="1"/>
  <c r="E583" i="3" s="1"/>
  <c r="H583" i="3" s="1"/>
  <c r="AG583" i="3"/>
  <c r="AH583" i="3"/>
  <c r="Y581" i="3"/>
  <c r="D583" i="3" l="1"/>
  <c r="G583" i="3" s="1"/>
  <c r="K583" i="3"/>
  <c r="AE583" i="3" s="1"/>
  <c r="F583" i="3" l="1"/>
  <c r="V583" i="3"/>
  <c r="A584" i="3"/>
  <c r="B584" i="3" s="1"/>
  <c r="I583" i="3"/>
  <c r="J583" i="3"/>
  <c r="AD583" i="3" s="1"/>
  <c r="M583" i="3"/>
  <c r="N583" i="3" s="1"/>
  <c r="W583" i="3" l="1"/>
  <c r="L583" i="3"/>
  <c r="AC584" i="3"/>
  <c r="P584" i="3"/>
  <c r="Q584" i="3" s="1"/>
  <c r="R584" i="3" s="1"/>
  <c r="S584" i="3" s="1"/>
  <c r="AA584" i="3"/>
  <c r="Z584" i="3"/>
  <c r="U583" i="3" l="1"/>
  <c r="Y582" i="3"/>
  <c r="T584" i="3"/>
  <c r="AG584" i="3" s="1"/>
  <c r="E584" i="3" l="1"/>
  <c r="H584" i="3" s="1"/>
  <c r="K584" i="3" s="1"/>
  <c r="AE584" i="3" s="1"/>
  <c r="AH584" i="3"/>
  <c r="D584" i="3"/>
  <c r="V584" i="3" l="1"/>
  <c r="A585" i="3"/>
  <c r="B585" i="3" s="1"/>
  <c r="F584" i="3"/>
  <c r="G584" i="3"/>
  <c r="Z585" i="3" l="1"/>
  <c r="AA585" i="3"/>
  <c r="P585" i="3"/>
  <c r="Q585" i="3" s="1"/>
  <c r="R585" i="3" s="1"/>
  <c r="S585" i="3" s="1"/>
  <c r="AD585" i="3"/>
  <c r="AC585" i="3"/>
  <c r="I584" i="3"/>
  <c r="W584" i="3" s="1"/>
  <c r="J584" i="3"/>
  <c r="AD584" i="3" s="1"/>
  <c r="M584" i="3"/>
  <c r="N584" i="3" s="1"/>
  <c r="T585" i="3" l="1"/>
  <c r="L584" i="3"/>
  <c r="AG585" i="3" l="1"/>
  <c r="U584" i="3"/>
  <c r="D585" i="3" s="1"/>
  <c r="AH585" i="3"/>
  <c r="Y583" i="3"/>
  <c r="G585" i="3" l="1"/>
  <c r="E585" i="3"/>
  <c r="H585" i="3" s="1"/>
  <c r="F585" i="3" l="1"/>
  <c r="I585" i="3"/>
  <c r="J585" i="3"/>
  <c r="M585" i="3"/>
  <c r="N585" i="3" s="1"/>
  <c r="K585" i="3"/>
  <c r="AE585" i="3" s="1"/>
  <c r="V585" i="3" l="1"/>
  <c r="W585" i="3" s="1"/>
  <c r="A586" i="3"/>
  <c r="B586" i="3" s="1"/>
  <c r="L585" i="3"/>
  <c r="U585" i="3" l="1"/>
  <c r="Y584" i="3"/>
  <c r="P586" i="3"/>
  <c r="Q586" i="3" s="1"/>
  <c r="R586" i="3" s="1"/>
  <c r="S586" i="3" s="1"/>
  <c r="AA586" i="3"/>
  <c r="Z586" i="3"/>
  <c r="AD586" i="3"/>
  <c r="AC586" i="3"/>
  <c r="T586" i="3" l="1"/>
  <c r="E586" i="3" s="1"/>
  <c r="H586" i="3" s="1"/>
  <c r="AH586" i="3" l="1"/>
  <c r="K586" i="3"/>
  <c r="AE586" i="3" s="1"/>
  <c r="AG586" i="3"/>
  <c r="D586" i="3"/>
  <c r="F586" i="3" l="1"/>
  <c r="G586" i="3"/>
  <c r="V586" i="3"/>
  <c r="A587" i="3"/>
  <c r="B587" i="3" s="1"/>
  <c r="AA587" i="3" l="1"/>
  <c r="Z587" i="3"/>
  <c r="AC587" i="3"/>
  <c r="P587" i="3"/>
  <c r="Q587" i="3" s="1"/>
  <c r="R587" i="3" s="1"/>
  <c r="S587" i="3" s="1"/>
  <c r="I586" i="3"/>
  <c r="W586" i="3" s="1"/>
  <c r="J586" i="3"/>
  <c r="M586" i="3"/>
  <c r="N586" i="3" s="1"/>
  <c r="T587" i="3" l="1"/>
  <c r="L586" i="3"/>
  <c r="AH587" i="3" l="1"/>
  <c r="U586" i="3"/>
  <c r="D587" i="3" s="1"/>
  <c r="AG587" i="3"/>
  <c r="Y585" i="3"/>
  <c r="G587" i="3" l="1"/>
  <c r="E587" i="3"/>
  <c r="H587" i="3" s="1"/>
  <c r="F587" i="3" l="1"/>
  <c r="K587" i="3"/>
  <c r="AE587" i="3" s="1"/>
  <c r="I587" i="3"/>
  <c r="J587" i="3"/>
  <c r="AD587" i="3" s="1"/>
  <c r="M587" i="3"/>
  <c r="N587" i="3" s="1"/>
  <c r="L587" i="3" l="1"/>
  <c r="V587" i="3"/>
  <c r="W587" i="3" s="1"/>
  <c r="A588" i="3"/>
  <c r="B588" i="3" s="1"/>
  <c r="U587" i="3" l="1"/>
  <c r="Y586" i="3"/>
  <c r="P588" i="3"/>
  <c r="Q588" i="3" s="1"/>
  <c r="R588" i="3" s="1"/>
  <c r="S588" i="3" s="1"/>
  <c r="Z588" i="3"/>
  <c r="AC588" i="3"/>
  <c r="AA588" i="3"/>
  <c r="T588" i="3" l="1"/>
  <c r="AH588" i="3" s="1"/>
  <c r="E588" i="3" l="1"/>
  <c r="H588" i="3" s="1"/>
  <c r="K588" i="3" s="1"/>
  <c r="AE588" i="3" s="1"/>
  <c r="AG588" i="3"/>
  <c r="D588" i="3"/>
  <c r="G588" i="3" s="1"/>
  <c r="F588" i="3" l="1"/>
  <c r="I588" i="3"/>
  <c r="J588" i="3"/>
  <c r="AD588" i="3" s="1"/>
  <c r="M588" i="3"/>
  <c r="N588" i="3" s="1"/>
  <c r="V588" i="3"/>
  <c r="A589" i="3"/>
  <c r="B589" i="3" s="1"/>
  <c r="W588" i="3" l="1"/>
  <c r="L588" i="3"/>
  <c r="AA589" i="3"/>
  <c r="Z589" i="3"/>
  <c r="AC589" i="3"/>
  <c r="P589" i="3"/>
  <c r="Q589" i="3" s="1"/>
  <c r="R589" i="3" s="1"/>
  <c r="S589" i="3" s="1"/>
  <c r="AD589" i="3"/>
  <c r="T589" i="3" l="1"/>
  <c r="AG589" i="3" s="1"/>
  <c r="U588" i="3"/>
  <c r="Y587" i="3"/>
  <c r="AH589" i="3" l="1"/>
  <c r="D589" i="3"/>
  <c r="E589" i="3"/>
  <c r="H589" i="3" s="1"/>
  <c r="F589" i="3" l="1"/>
  <c r="G589" i="3"/>
  <c r="K589" i="3"/>
  <c r="AE589" i="3" s="1"/>
  <c r="I589" i="3" l="1"/>
  <c r="J589" i="3"/>
  <c r="M589" i="3"/>
  <c r="N589" i="3" s="1"/>
  <c r="V589" i="3"/>
  <c r="A590" i="3"/>
  <c r="B590" i="3" s="1"/>
  <c r="W589" i="3" l="1"/>
  <c r="L589" i="3"/>
  <c r="P590" i="3"/>
  <c r="Q590" i="3" s="1"/>
  <c r="R590" i="3" s="1"/>
  <c r="S590" i="3" s="1"/>
  <c r="AC590" i="3"/>
  <c r="AA590" i="3"/>
  <c r="Z590" i="3"/>
  <c r="AD590" i="3"/>
  <c r="U589" i="3" l="1"/>
  <c r="Y588" i="3"/>
  <c r="T590" i="3"/>
  <c r="AH590" i="3" s="1"/>
  <c r="D590" i="3" l="1"/>
  <c r="G590" i="3" s="1"/>
  <c r="E590" i="3"/>
  <c r="H590" i="3" s="1"/>
  <c r="K590" i="3" s="1"/>
  <c r="AE590" i="3" s="1"/>
  <c r="AG590" i="3"/>
  <c r="F590" i="3" l="1"/>
  <c r="V590" i="3"/>
  <c r="A591" i="3"/>
  <c r="B591" i="3" s="1"/>
  <c r="I590" i="3"/>
  <c r="J590" i="3"/>
  <c r="M590" i="3"/>
  <c r="N590" i="3" s="1"/>
  <c r="W590" i="3" l="1"/>
  <c r="L590" i="3"/>
  <c r="AC591" i="3"/>
  <c r="P591" i="3"/>
  <c r="Q591" i="3" s="1"/>
  <c r="R591" i="3" s="1"/>
  <c r="S591" i="3" s="1"/>
  <c r="Z591" i="3"/>
  <c r="AA591" i="3"/>
  <c r="AD591" i="3"/>
  <c r="U590" i="3" l="1"/>
  <c r="Y589" i="3"/>
  <c r="T591" i="3"/>
  <c r="AG591" i="3" s="1"/>
  <c r="D591" i="3" l="1"/>
  <c r="G591" i="3" s="1"/>
  <c r="E591" i="3"/>
  <c r="H591" i="3" s="1"/>
  <c r="K591" i="3" s="1"/>
  <c r="AE591" i="3" s="1"/>
  <c r="AH591" i="3"/>
  <c r="F591" i="3" l="1"/>
  <c r="I591" i="3"/>
  <c r="J591" i="3"/>
  <c r="M591" i="3"/>
  <c r="N591" i="3" s="1"/>
  <c r="V591" i="3"/>
  <c r="A592" i="3"/>
  <c r="B592" i="3" s="1"/>
  <c r="W591" i="3" l="1"/>
  <c r="L591" i="3"/>
  <c r="AA592" i="3"/>
  <c r="AC592" i="3"/>
  <c r="Z592" i="3"/>
  <c r="AD592" i="3"/>
  <c r="P592" i="3"/>
  <c r="Q592" i="3" s="1"/>
  <c r="R592" i="3" s="1"/>
  <c r="S592" i="3" s="1"/>
  <c r="U591" i="3" l="1"/>
  <c r="Y590" i="3"/>
  <c r="T592" i="3"/>
  <c r="D592" i="3" l="1"/>
  <c r="G592" i="3" s="1"/>
  <c r="AH592" i="3"/>
  <c r="AG592" i="3"/>
  <c r="E592" i="3"/>
  <c r="H592" i="3" s="1"/>
  <c r="K592" i="3" s="1"/>
  <c r="AE592" i="3" s="1"/>
  <c r="F592" i="3" l="1"/>
  <c r="I592" i="3"/>
  <c r="J592" i="3"/>
  <c r="M592" i="3"/>
  <c r="N592" i="3" s="1"/>
  <c r="V592" i="3"/>
  <c r="A593" i="3"/>
  <c r="B593" i="3" s="1"/>
  <c r="W592" i="3" l="1"/>
  <c r="L592" i="3"/>
  <c r="Z593" i="3"/>
  <c r="P593" i="3"/>
  <c r="Q593" i="3" s="1"/>
  <c r="R593" i="3" s="1"/>
  <c r="S593" i="3" s="1"/>
  <c r="AD593" i="3"/>
  <c r="AA593" i="3"/>
  <c r="AC593" i="3"/>
  <c r="U592" i="3" l="1"/>
  <c r="Y591" i="3"/>
  <c r="T593" i="3"/>
  <c r="E593" i="3" l="1"/>
  <c r="H593" i="3" s="1"/>
  <c r="K593" i="3" s="1"/>
  <c r="AE593" i="3" s="1"/>
  <c r="D593" i="3"/>
  <c r="G593" i="3" s="1"/>
  <c r="AH593" i="3"/>
  <c r="AG593" i="3"/>
  <c r="F593" i="3" l="1"/>
  <c r="I593" i="3"/>
  <c r="J593" i="3"/>
  <c r="M593" i="3"/>
  <c r="N593" i="3" s="1"/>
  <c r="V593" i="3"/>
  <c r="A594" i="3"/>
  <c r="B594" i="3" s="1"/>
  <c r="W593" i="3" l="1"/>
  <c r="L593" i="3"/>
  <c r="Z594" i="3"/>
  <c r="AA594" i="3"/>
  <c r="P594" i="3"/>
  <c r="Q594" i="3" s="1"/>
  <c r="R594" i="3" s="1"/>
  <c r="S594" i="3" s="1"/>
  <c r="AC594" i="3"/>
  <c r="U593" i="3" l="1"/>
  <c r="Y592" i="3"/>
  <c r="T594" i="3"/>
  <c r="AG594" i="3" s="1"/>
  <c r="AH594" i="3" l="1"/>
  <c r="E594" i="3"/>
  <c r="H594" i="3" s="1"/>
  <c r="K594" i="3" s="1"/>
  <c r="AE594" i="3" s="1"/>
  <c r="D594" i="3"/>
  <c r="V594" i="3" l="1"/>
  <c r="A595" i="3"/>
  <c r="B595" i="3" s="1"/>
  <c r="F594" i="3"/>
  <c r="G594" i="3"/>
  <c r="I594" i="3" l="1"/>
  <c r="W594" i="3" s="1"/>
  <c r="J594" i="3"/>
  <c r="AD594" i="3" s="1"/>
  <c r="M594" i="3"/>
  <c r="N594" i="3" s="1"/>
  <c r="AC595" i="3"/>
  <c r="AA595" i="3"/>
  <c r="P595" i="3"/>
  <c r="Q595" i="3" s="1"/>
  <c r="R595" i="3" s="1"/>
  <c r="S595" i="3" s="1"/>
  <c r="Z595" i="3"/>
  <c r="T595" i="3" l="1"/>
  <c r="L594" i="3"/>
  <c r="AH595" i="3" l="1"/>
  <c r="U594" i="3"/>
  <c r="E595" i="3" s="1"/>
  <c r="H595" i="3" s="1"/>
  <c r="AG595" i="3"/>
  <c r="Y593" i="3"/>
  <c r="D595" i="3" l="1"/>
  <c r="G595" i="3" s="1"/>
  <c r="K595" i="3"/>
  <c r="AE595" i="3" s="1"/>
  <c r="F595" i="3" l="1"/>
  <c r="V595" i="3"/>
  <c r="A596" i="3"/>
  <c r="B596" i="3" s="1"/>
  <c r="I595" i="3"/>
  <c r="J595" i="3"/>
  <c r="AD595" i="3" s="1"/>
  <c r="M595" i="3"/>
  <c r="N595" i="3" s="1"/>
  <c r="W595" i="3" l="1"/>
  <c r="L595" i="3"/>
  <c r="P596" i="3"/>
  <c r="Q596" i="3" s="1"/>
  <c r="R596" i="3" s="1"/>
  <c r="S596" i="3" s="1"/>
  <c r="AA596" i="3"/>
  <c r="AC596" i="3"/>
  <c r="Z596" i="3"/>
  <c r="T596" i="3" l="1"/>
  <c r="AG596" i="3" s="1"/>
  <c r="U595" i="3"/>
  <c r="Y594" i="3"/>
  <c r="D596" i="3" l="1"/>
  <c r="E596" i="3"/>
  <c r="H596" i="3" s="1"/>
  <c r="AH596" i="3"/>
  <c r="F596" i="3" l="1"/>
  <c r="G596" i="3"/>
  <c r="K596" i="3"/>
  <c r="AE596" i="3" s="1"/>
  <c r="V596" i="3" l="1"/>
  <c r="A597" i="3"/>
  <c r="B597" i="3" s="1"/>
  <c r="I596" i="3"/>
  <c r="J596" i="3"/>
  <c r="AD596" i="3" s="1"/>
  <c r="M596" i="3"/>
  <c r="N596" i="3" s="1"/>
  <c r="W596" i="3" l="1"/>
  <c r="L596" i="3"/>
  <c r="Z597" i="3"/>
  <c r="P597" i="3"/>
  <c r="Q597" i="3" s="1"/>
  <c r="R597" i="3" s="1"/>
  <c r="S597" i="3" s="1"/>
  <c r="AA597" i="3"/>
  <c r="AC597" i="3"/>
  <c r="U596" i="3" l="1"/>
  <c r="Y595" i="3"/>
  <c r="T597" i="3"/>
  <c r="E597" i="3" l="1"/>
  <c r="H597" i="3" s="1"/>
  <c r="K597" i="3" s="1"/>
  <c r="AE597" i="3" s="1"/>
  <c r="AH597" i="3"/>
  <c r="AG597" i="3"/>
  <c r="D597" i="3"/>
  <c r="G597" i="3" s="1"/>
  <c r="F597" i="3" l="1"/>
  <c r="I597" i="3"/>
  <c r="J597" i="3"/>
  <c r="AD597" i="3" s="1"/>
  <c r="M597" i="3"/>
  <c r="N597" i="3" s="1"/>
  <c r="V597" i="3"/>
  <c r="A598" i="3"/>
  <c r="B598" i="3" s="1"/>
  <c r="W597" i="3" l="1"/>
  <c r="L597" i="3"/>
  <c r="AC598" i="3"/>
  <c r="P598" i="3"/>
  <c r="Q598" i="3" s="1"/>
  <c r="R598" i="3" s="1"/>
  <c r="S598" i="3" s="1"/>
  <c r="Z598" i="3"/>
  <c r="AA598" i="3"/>
  <c r="U597" i="3" l="1"/>
  <c r="Y596" i="3"/>
  <c r="T598" i="3"/>
  <c r="AG598" i="3" s="1"/>
  <c r="AH598" i="3" l="1"/>
  <c r="E598" i="3"/>
  <c r="H598" i="3" s="1"/>
  <c r="K598" i="3" s="1"/>
  <c r="AE598" i="3" s="1"/>
  <c r="D598" i="3"/>
  <c r="V598" i="3" l="1"/>
  <c r="A599" i="3"/>
  <c r="B599" i="3" s="1"/>
  <c r="F598" i="3"/>
  <c r="G598" i="3"/>
  <c r="I598" i="3" l="1"/>
  <c r="W598" i="3" s="1"/>
  <c r="J598" i="3"/>
  <c r="AD598" i="3" s="1"/>
  <c r="M598" i="3"/>
  <c r="N598" i="3" s="1"/>
  <c r="AC599" i="3"/>
  <c r="AA599" i="3"/>
  <c r="P599" i="3"/>
  <c r="Q599" i="3" s="1"/>
  <c r="R599" i="3" s="1"/>
  <c r="S599" i="3" s="1"/>
  <c r="Z599" i="3"/>
  <c r="T599" i="3" l="1"/>
  <c r="L598" i="3"/>
  <c r="U598" i="3" l="1"/>
  <c r="D599" i="3" s="1"/>
  <c r="AG599" i="3"/>
  <c r="AH599" i="3"/>
  <c r="Y597" i="3"/>
  <c r="G599" i="3" l="1"/>
  <c r="E599" i="3"/>
  <c r="H599" i="3" s="1"/>
  <c r="I599" i="3" l="1"/>
  <c r="J599" i="3"/>
  <c r="AD599" i="3" s="1"/>
  <c r="M599" i="3"/>
  <c r="N599" i="3" s="1"/>
  <c r="K599" i="3"/>
  <c r="AE599" i="3" s="1"/>
  <c r="F599" i="3"/>
  <c r="V599" i="3" l="1"/>
  <c r="W599" i="3" s="1"/>
  <c r="A600" i="3"/>
  <c r="B600" i="3" s="1"/>
  <c r="L599" i="3"/>
  <c r="U599" i="3" l="1"/>
  <c r="Y598" i="3"/>
  <c r="AC600" i="3"/>
  <c r="P600" i="3"/>
  <c r="Q600" i="3" s="1"/>
  <c r="R600" i="3" s="1"/>
  <c r="S600" i="3" s="1"/>
  <c r="Z600" i="3"/>
  <c r="AA600" i="3"/>
  <c r="T600" i="3" l="1"/>
  <c r="E600" i="3" s="1"/>
  <c r="H600" i="3" s="1"/>
  <c r="AH600" i="3" l="1"/>
  <c r="K600" i="3"/>
  <c r="AE600" i="3" s="1"/>
  <c r="AG600" i="3"/>
  <c r="D600" i="3"/>
  <c r="V600" i="3" l="1"/>
  <c r="A601" i="3"/>
  <c r="B601" i="3" s="1"/>
  <c r="F600" i="3"/>
  <c r="G600" i="3"/>
  <c r="I600" i="3" l="1"/>
  <c r="W600" i="3" s="1"/>
  <c r="J600" i="3"/>
  <c r="AD600" i="3" s="1"/>
  <c r="M600" i="3"/>
  <c r="N600" i="3" s="1"/>
  <c r="P601" i="3"/>
  <c r="Q601" i="3" s="1"/>
  <c r="R601" i="3" s="1"/>
  <c r="S601" i="3" s="1"/>
  <c r="AA601" i="3"/>
  <c r="AC601" i="3"/>
  <c r="Z601" i="3"/>
  <c r="T601" i="3" l="1"/>
  <c r="L600" i="3"/>
  <c r="AH601" i="3" l="1"/>
  <c r="U600" i="3"/>
  <c r="D601" i="3" s="1"/>
  <c r="AG601" i="3"/>
  <c r="Y599" i="3"/>
  <c r="E601" i="3" l="1"/>
  <c r="H601" i="3" s="1"/>
  <c r="K601" i="3" s="1"/>
  <c r="AE601" i="3" s="1"/>
  <c r="G601" i="3"/>
  <c r="F601" i="3" l="1"/>
  <c r="I601" i="3"/>
  <c r="J601" i="3"/>
  <c r="AD601" i="3" s="1"/>
  <c r="M601" i="3"/>
  <c r="N601" i="3" s="1"/>
  <c r="V601" i="3"/>
  <c r="A602" i="3"/>
  <c r="B602" i="3" s="1"/>
  <c r="W601" i="3" l="1"/>
  <c r="L601" i="3"/>
  <c r="P602" i="3"/>
  <c r="Q602" i="3" s="1"/>
  <c r="R602" i="3" s="1"/>
  <c r="S602" i="3" s="1"/>
  <c r="Z602" i="3"/>
  <c r="AC602" i="3"/>
  <c r="AA602" i="3"/>
  <c r="U601" i="3" l="1"/>
  <c r="Y600" i="3"/>
  <c r="T602" i="3"/>
  <c r="AG602" i="3" s="1"/>
  <c r="D602" i="3" l="1"/>
  <c r="E602" i="3"/>
  <c r="H602" i="3" s="1"/>
  <c r="AH602" i="3"/>
  <c r="K602" i="3" l="1"/>
  <c r="AE602" i="3" s="1"/>
  <c r="F602" i="3"/>
  <c r="G602" i="3"/>
  <c r="I602" i="3" l="1"/>
  <c r="J602" i="3"/>
  <c r="AD602" i="3" s="1"/>
  <c r="M602" i="3"/>
  <c r="N602" i="3" s="1"/>
  <c r="V602" i="3"/>
  <c r="A603" i="3"/>
  <c r="B603" i="3" s="1"/>
  <c r="W602" i="3" l="1"/>
  <c r="L602" i="3"/>
  <c r="AA603" i="3"/>
  <c r="AC603" i="3"/>
  <c r="Z603" i="3"/>
  <c r="P603" i="3"/>
  <c r="Q603" i="3" s="1"/>
  <c r="R603" i="3" s="1"/>
  <c r="S603" i="3" s="1"/>
  <c r="U602" i="3" l="1"/>
  <c r="Y601" i="3"/>
  <c r="T603" i="3"/>
  <c r="AG603" i="3" s="1"/>
  <c r="AH603" i="3" l="1"/>
  <c r="D603" i="3"/>
  <c r="G603" i="3" s="1"/>
  <c r="E603" i="3"/>
  <c r="H603" i="3" s="1"/>
  <c r="K603" i="3" s="1"/>
  <c r="AE603" i="3" s="1"/>
  <c r="F603" i="3" l="1"/>
  <c r="I603" i="3"/>
  <c r="J603" i="3"/>
  <c r="AD603" i="3" s="1"/>
  <c r="M603" i="3"/>
  <c r="N603" i="3" s="1"/>
  <c r="V603" i="3"/>
  <c r="A604" i="3"/>
  <c r="B604" i="3" s="1"/>
  <c r="W603" i="3" l="1"/>
  <c r="L603" i="3"/>
  <c r="AC604" i="3"/>
  <c r="Z604" i="3"/>
  <c r="AA604" i="3"/>
  <c r="P604" i="3"/>
  <c r="Q604" i="3" s="1"/>
  <c r="R604" i="3" s="1"/>
  <c r="S604" i="3" s="1"/>
  <c r="U603" i="3" l="1"/>
  <c r="Y602" i="3"/>
  <c r="T604" i="3"/>
  <c r="AH604" i="3" s="1"/>
  <c r="D604" i="3" l="1"/>
  <c r="E604" i="3"/>
  <c r="H604" i="3" s="1"/>
  <c r="AG604" i="3"/>
  <c r="F604" i="3" l="1"/>
  <c r="G604" i="3"/>
  <c r="K604" i="3"/>
  <c r="AE604" i="3" s="1"/>
  <c r="V604" i="3" l="1"/>
  <c r="A605" i="3"/>
  <c r="B605" i="3" s="1"/>
  <c r="I604" i="3"/>
  <c r="J604" i="3"/>
  <c r="AD604" i="3" s="1"/>
  <c r="M604" i="3"/>
  <c r="N604" i="3" s="1"/>
  <c r="W604" i="3" l="1"/>
  <c r="L604" i="3"/>
  <c r="P605" i="3"/>
  <c r="Q605" i="3" s="1"/>
  <c r="R605" i="3" s="1"/>
  <c r="S605" i="3" s="1"/>
  <c r="Z605" i="3"/>
  <c r="AA605" i="3"/>
  <c r="AD605" i="3"/>
  <c r="AC605" i="3"/>
  <c r="U604" i="3" l="1"/>
  <c r="Y603" i="3"/>
  <c r="T605" i="3"/>
  <c r="AG605" i="3" s="1"/>
  <c r="AH605" i="3" l="1"/>
  <c r="D605" i="3"/>
  <c r="E605" i="3"/>
  <c r="H605" i="3" s="1"/>
  <c r="K605" i="3" s="1"/>
  <c r="AE605" i="3" s="1"/>
  <c r="F605" i="3" l="1"/>
  <c r="G605" i="3"/>
  <c r="M605" i="3" s="1"/>
  <c r="N605" i="3" s="1"/>
  <c r="V605" i="3"/>
  <c r="A606" i="3"/>
  <c r="B606" i="3" s="1"/>
  <c r="I605" i="3" l="1"/>
  <c r="W605" i="3" s="1"/>
  <c r="J605" i="3"/>
  <c r="L605" i="3" s="1"/>
  <c r="P606" i="3"/>
  <c r="Q606" i="3" s="1"/>
  <c r="R606" i="3" s="1"/>
  <c r="S606" i="3" s="1"/>
  <c r="AC606" i="3"/>
  <c r="AD606" i="3"/>
  <c r="AA606" i="3"/>
  <c r="Z606" i="3"/>
  <c r="U605" i="3" l="1"/>
  <c r="Y604" i="3"/>
  <c r="T606" i="3"/>
  <c r="AG606" i="3" s="1"/>
  <c r="E606" i="3" l="1"/>
  <c r="H606" i="3" s="1"/>
  <c r="AH606" i="3"/>
  <c r="D606" i="3"/>
  <c r="F606" i="3" l="1"/>
  <c r="G606" i="3"/>
  <c r="K606" i="3"/>
  <c r="AE606" i="3" s="1"/>
  <c r="I606" i="3" l="1"/>
  <c r="J606" i="3"/>
  <c r="M606" i="3"/>
  <c r="N606" i="3" s="1"/>
  <c r="V606" i="3"/>
  <c r="A607" i="3"/>
  <c r="B607" i="3" s="1"/>
  <c r="W606" i="3" l="1"/>
  <c r="L606" i="3"/>
  <c r="Z607" i="3"/>
  <c r="AC607" i="3"/>
  <c r="P607" i="3"/>
  <c r="Q607" i="3" s="1"/>
  <c r="R607" i="3" s="1"/>
  <c r="S607" i="3" s="1"/>
  <c r="AA607" i="3"/>
  <c r="U606" i="3" l="1"/>
  <c r="Y605" i="3"/>
  <c r="T607" i="3"/>
  <c r="AH607" i="3" s="1"/>
  <c r="E607" i="3" l="1"/>
  <c r="H607" i="3" s="1"/>
  <c r="K607" i="3" s="1"/>
  <c r="AE607" i="3" s="1"/>
  <c r="D607" i="3"/>
  <c r="AG607" i="3"/>
  <c r="V607" i="3" l="1"/>
  <c r="A608" i="3"/>
  <c r="B608" i="3" s="1"/>
  <c r="F607" i="3"/>
  <c r="G607" i="3"/>
  <c r="I607" i="3" l="1"/>
  <c r="W607" i="3" s="1"/>
  <c r="J607" i="3"/>
  <c r="AD607" i="3" s="1"/>
  <c r="M607" i="3"/>
  <c r="N607" i="3" s="1"/>
  <c r="AA608" i="3"/>
  <c r="P608" i="3"/>
  <c r="Q608" i="3" s="1"/>
  <c r="R608" i="3" s="1"/>
  <c r="S608" i="3" s="1"/>
  <c r="Z608" i="3"/>
  <c r="AC608" i="3"/>
  <c r="T608" i="3" l="1"/>
  <c r="L607" i="3"/>
  <c r="AH608" i="3" l="1"/>
  <c r="AG608" i="3"/>
  <c r="U607" i="3"/>
  <c r="E608" i="3" s="1"/>
  <c r="H608" i="3" s="1"/>
  <c r="Y606" i="3"/>
  <c r="D608" i="3" l="1"/>
  <c r="G608" i="3" s="1"/>
  <c r="K608" i="3"/>
  <c r="AE608" i="3" s="1"/>
  <c r="F608" i="3" l="1"/>
  <c r="I608" i="3"/>
  <c r="J608" i="3"/>
  <c r="AD608" i="3" s="1"/>
  <c r="M608" i="3"/>
  <c r="N608" i="3" s="1"/>
  <c r="V608" i="3"/>
  <c r="A609" i="3"/>
  <c r="B609" i="3" s="1"/>
  <c r="L608" i="3" l="1"/>
  <c r="W608" i="3"/>
  <c r="Z609" i="3"/>
  <c r="P609" i="3"/>
  <c r="Q609" i="3" s="1"/>
  <c r="R609" i="3" s="1"/>
  <c r="S609" i="3" s="1"/>
  <c r="AC609" i="3"/>
  <c r="AA609" i="3"/>
  <c r="AD609" i="3"/>
  <c r="U608" i="3" l="1"/>
  <c r="Y607" i="3"/>
  <c r="T609" i="3"/>
  <c r="AG609" i="3" s="1"/>
  <c r="E609" i="3" l="1"/>
  <c r="H609" i="3" s="1"/>
  <c r="D609" i="3"/>
  <c r="AH609" i="3"/>
  <c r="K609" i="3" l="1"/>
  <c r="AE609" i="3" s="1"/>
  <c r="F609" i="3"/>
  <c r="G609" i="3"/>
  <c r="I609" i="3" l="1"/>
  <c r="J609" i="3"/>
  <c r="M609" i="3"/>
  <c r="N609" i="3" s="1"/>
  <c r="V609" i="3"/>
  <c r="A610" i="3"/>
  <c r="B610" i="3" s="1"/>
  <c r="L609" i="3" l="1"/>
  <c r="W609" i="3"/>
  <c r="AA610" i="3"/>
  <c r="P610" i="3"/>
  <c r="Q610" i="3" s="1"/>
  <c r="R610" i="3" s="1"/>
  <c r="S610" i="3" s="1"/>
  <c r="Z610" i="3"/>
  <c r="AC610" i="3"/>
  <c r="AD610" i="3"/>
  <c r="U609" i="3" l="1"/>
  <c r="Y608" i="3"/>
  <c r="T610" i="3"/>
  <c r="AG610" i="3" s="1"/>
  <c r="AH610" i="3" l="1"/>
  <c r="D610" i="3"/>
  <c r="G610" i="3" s="1"/>
  <c r="E610" i="3"/>
  <c r="H610" i="3" s="1"/>
  <c r="K610" i="3" s="1"/>
  <c r="AE610" i="3" s="1"/>
  <c r="F610" i="3" l="1"/>
  <c r="I610" i="3"/>
  <c r="J610" i="3"/>
  <c r="M610" i="3"/>
  <c r="N610" i="3" s="1"/>
  <c r="V610" i="3"/>
  <c r="A611" i="3"/>
  <c r="B611" i="3" s="1"/>
  <c r="W610" i="3" l="1"/>
  <c r="L610" i="3"/>
  <c r="AA611" i="3"/>
  <c r="P611" i="3"/>
  <c r="Q611" i="3" s="1"/>
  <c r="R611" i="3" s="1"/>
  <c r="S611" i="3" s="1"/>
  <c r="AC611" i="3"/>
  <c r="AD611" i="3"/>
  <c r="Z611" i="3"/>
  <c r="T611" i="3" l="1"/>
  <c r="U610" i="3"/>
  <c r="Y609" i="3"/>
  <c r="E611" i="3" l="1"/>
  <c r="H611" i="3" s="1"/>
  <c r="K611" i="3" s="1"/>
  <c r="AE611" i="3" s="1"/>
  <c r="AH611" i="3"/>
  <c r="AG611" i="3"/>
  <c r="D611" i="3"/>
  <c r="V611" i="3" l="1"/>
  <c r="A612" i="3"/>
  <c r="B612" i="3" s="1"/>
  <c r="F611" i="3"/>
  <c r="G611" i="3"/>
  <c r="I611" i="3" l="1"/>
  <c r="W611" i="3" s="1"/>
  <c r="J611" i="3"/>
  <c r="M611" i="3"/>
  <c r="N611" i="3" s="1"/>
  <c r="Z612" i="3"/>
  <c r="P612" i="3"/>
  <c r="Q612" i="3" s="1"/>
  <c r="R612" i="3" s="1"/>
  <c r="S612" i="3" s="1"/>
  <c r="AD612" i="3"/>
  <c r="AC612" i="3"/>
  <c r="AA612" i="3"/>
  <c r="T612" i="3" l="1"/>
  <c r="L611" i="3"/>
  <c r="U611" i="3" l="1"/>
  <c r="E612" i="3" s="1"/>
  <c r="H612" i="3" s="1"/>
  <c r="AH612" i="3"/>
  <c r="AG612" i="3"/>
  <c r="Y610" i="3"/>
  <c r="D612" i="3" l="1"/>
  <c r="G612" i="3" s="1"/>
  <c r="K612" i="3"/>
  <c r="AE612" i="3" s="1"/>
  <c r="F612" i="3" l="1"/>
  <c r="V612" i="3"/>
  <c r="A613" i="3"/>
  <c r="B613" i="3" s="1"/>
  <c r="I612" i="3"/>
  <c r="J612" i="3"/>
  <c r="M612" i="3"/>
  <c r="N612" i="3" s="1"/>
  <c r="W612" i="3" l="1"/>
  <c r="L612" i="3"/>
  <c r="P613" i="3"/>
  <c r="Q613" i="3" s="1"/>
  <c r="R613" i="3" s="1"/>
  <c r="S613" i="3" s="1"/>
  <c r="AD613" i="3"/>
  <c r="AA613" i="3"/>
  <c r="Z613" i="3"/>
  <c r="AC613" i="3"/>
  <c r="U612" i="3" l="1"/>
  <c r="Y611" i="3"/>
  <c r="T613" i="3"/>
  <c r="AG613" i="3" s="1"/>
  <c r="D613" i="3" l="1"/>
  <c r="AH613" i="3"/>
  <c r="E613" i="3"/>
  <c r="H613" i="3" s="1"/>
  <c r="F613" i="3" l="1"/>
  <c r="G613" i="3"/>
  <c r="K613" i="3"/>
  <c r="AE613" i="3" s="1"/>
  <c r="V613" i="3" l="1"/>
  <c r="A614" i="3"/>
  <c r="B614" i="3" s="1"/>
  <c r="I613" i="3"/>
  <c r="J613" i="3"/>
  <c r="M613" i="3"/>
  <c r="N613" i="3" s="1"/>
  <c r="W613" i="3" l="1"/>
  <c r="L613" i="3"/>
  <c r="AC614" i="3"/>
  <c r="AA614" i="3"/>
  <c r="Z614" i="3"/>
  <c r="P614" i="3"/>
  <c r="Q614" i="3" s="1"/>
  <c r="R614" i="3" s="1"/>
  <c r="S614" i="3" s="1"/>
  <c r="U613" i="3" l="1"/>
  <c r="Y612" i="3"/>
  <c r="T614" i="3"/>
  <c r="AG614" i="3" s="1"/>
  <c r="D614" i="3" l="1"/>
  <c r="G614" i="3" s="1"/>
  <c r="E614" i="3"/>
  <c r="H614" i="3" s="1"/>
  <c r="K614" i="3" s="1"/>
  <c r="AE614" i="3" s="1"/>
  <c r="AH614" i="3"/>
  <c r="F614" i="3" l="1"/>
  <c r="I614" i="3"/>
  <c r="J614" i="3"/>
  <c r="AD614" i="3" s="1"/>
  <c r="M614" i="3"/>
  <c r="N614" i="3" s="1"/>
  <c r="V614" i="3"/>
  <c r="A615" i="3"/>
  <c r="B615" i="3" s="1"/>
  <c r="L614" i="3" l="1"/>
  <c r="W614" i="3"/>
  <c r="P615" i="3"/>
  <c r="Q615" i="3" s="1"/>
  <c r="R615" i="3" s="1"/>
  <c r="S615" i="3" s="1"/>
  <c r="AC615" i="3"/>
  <c r="Z615" i="3"/>
  <c r="AA615" i="3"/>
  <c r="AD615" i="3"/>
  <c r="U614" i="3" l="1"/>
  <c r="Y613" i="3"/>
  <c r="T615" i="3"/>
  <c r="AH615" i="3" s="1"/>
  <c r="E615" i="3" l="1"/>
  <c r="H615" i="3" s="1"/>
  <c r="K615" i="3" s="1"/>
  <c r="AE615" i="3" s="1"/>
  <c r="AG615" i="3"/>
  <c r="D615" i="3"/>
  <c r="F615" i="3" l="1"/>
  <c r="G615" i="3"/>
  <c r="V615" i="3"/>
  <c r="A616" i="3"/>
  <c r="B616" i="3" s="1"/>
  <c r="AD616" i="3" l="1"/>
  <c r="P616" i="3"/>
  <c r="Q616" i="3" s="1"/>
  <c r="R616" i="3" s="1"/>
  <c r="S616" i="3" s="1"/>
  <c r="Z616" i="3"/>
  <c r="AC616" i="3"/>
  <c r="AA616" i="3"/>
  <c r="I615" i="3"/>
  <c r="W615" i="3" s="1"/>
  <c r="J615" i="3"/>
  <c r="M615" i="3"/>
  <c r="N615" i="3" s="1"/>
  <c r="L615" i="3" l="1"/>
  <c r="T616" i="3"/>
  <c r="U615" i="3" l="1"/>
  <c r="D616" i="3" s="1"/>
  <c r="AH616" i="3"/>
  <c r="AG616" i="3"/>
  <c r="Y614" i="3"/>
  <c r="E616" i="3" l="1"/>
  <c r="H616" i="3" s="1"/>
  <c r="K616" i="3" s="1"/>
  <c r="AE616" i="3" s="1"/>
  <c r="G616" i="3"/>
  <c r="F616" i="3" l="1"/>
  <c r="I616" i="3"/>
  <c r="J616" i="3"/>
  <c r="M616" i="3"/>
  <c r="N616" i="3" s="1"/>
  <c r="V616" i="3"/>
  <c r="A617" i="3"/>
  <c r="B617" i="3" s="1"/>
  <c r="W616" i="3" l="1"/>
  <c r="L616" i="3"/>
  <c r="Z617" i="3"/>
  <c r="AC617" i="3"/>
  <c r="P617" i="3"/>
  <c r="Q617" i="3" s="1"/>
  <c r="R617" i="3" s="1"/>
  <c r="S617" i="3" s="1"/>
  <c r="AA617" i="3"/>
  <c r="U616" i="3" l="1"/>
  <c r="Y615" i="3"/>
  <c r="T617" i="3"/>
  <c r="AG617" i="3" s="1"/>
  <c r="D617" i="3" l="1"/>
  <c r="G617" i="3" s="1"/>
  <c r="E617" i="3"/>
  <c r="H617" i="3" s="1"/>
  <c r="K617" i="3" s="1"/>
  <c r="AE617" i="3" s="1"/>
  <c r="AH617" i="3"/>
  <c r="F617" i="3" l="1"/>
  <c r="I617" i="3"/>
  <c r="J617" i="3"/>
  <c r="AD617" i="3" s="1"/>
  <c r="M617" i="3"/>
  <c r="N617" i="3" s="1"/>
  <c r="V617" i="3"/>
  <c r="A618" i="3"/>
  <c r="B618" i="3" s="1"/>
  <c r="W617" i="3" l="1"/>
  <c r="L617" i="3"/>
  <c r="P618" i="3"/>
  <c r="Q618" i="3" s="1"/>
  <c r="R618" i="3" s="1"/>
  <c r="S618" i="3" s="1"/>
  <c r="Z618" i="3"/>
  <c r="AC618" i="3"/>
  <c r="AA618" i="3"/>
  <c r="U617" i="3" l="1"/>
  <c r="Y616" i="3"/>
  <c r="T618" i="3"/>
  <c r="E618" i="3" l="1"/>
  <c r="H618" i="3" s="1"/>
  <c r="K618" i="3" s="1"/>
  <c r="AE618" i="3" s="1"/>
  <c r="AG618" i="3"/>
  <c r="D618" i="3"/>
  <c r="AH618" i="3"/>
  <c r="F618" i="3" l="1"/>
  <c r="G618" i="3"/>
  <c r="V618" i="3"/>
  <c r="A619" i="3"/>
  <c r="B619" i="3" s="1"/>
  <c r="P619" i="3" l="1"/>
  <c r="Q619" i="3" s="1"/>
  <c r="R619" i="3" s="1"/>
  <c r="S619" i="3" s="1"/>
  <c r="AD619" i="3"/>
  <c r="AA619" i="3"/>
  <c r="AC619" i="3"/>
  <c r="Z619" i="3"/>
  <c r="I618" i="3"/>
  <c r="W618" i="3" s="1"/>
  <c r="J618" i="3"/>
  <c r="AD618" i="3" s="1"/>
  <c r="M618" i="3"/>
  <c r="N618" i="3" s="1"/>
  <c r="T619" i="3" l="1"/>
  <c r="L618" i="3"/>
  <c r="AH619" i="3" l="1"/>
  <c r="AG619" i="3"/>
  <c r="U618" i="3"/>
  <c r="D619" i="3" s="1"/>
  <c r="Y617" i="3"/>
  <c r="E619" i="3" l="1"/>
  <c r="H619" i="3" s="1"/>
  <c r="K619" i="3" s="1"/>
  <c r="AE619" i="3" s="1"/>
  <c r="G619" i="3"/>
  <c r="F619" i="3" l="1"/>
  <c r="I619" i="3"/>
  <c r="J619" i="3"/>
  <c r="M619" i="3"/>
  <c r="N619" i="3" s="1"/>
  <c r="V619" i="3"/>
  <c r="A620" i="3"/>
  <c r="B620" i="3" s="1"/>
  <c r="W619" i="3" l="1"/>
  <c r="L619" i="3"/>
  <c r="AC620" i="3"/>
  <c r="AD620" i="3"/>
  <c r="P620" i="3"/>
  <c r="Q620" i="3" s="1"/>
  <c r="R620" i="3" s="1"/>
  <c r="S620" i="3" s="1"/>
  <c r="AA620" i="3"/>
  <c r="Z620" i="3"/>
  <c r="T620" i="3" l="1"/>
  <c r="AH620" i="3" s="1"/>
  <c r="U619" i="3"/>
  <c r="Y618" i="3"/>
  <c r="E620" i="3" l="1"/>
  <c r="H620" i="3" s="1"/>
  <c r="K620" i="3" s="1"/>
  <c r="AE620" i="3" s="1"/>
  <c r="D620" i="3"/>
  <c r="G620" i="3" s="1"/>
  <c r="AG620" i="3"/>
  <c r="F620" i="3" l="1"/>
  <c r="I620" i="3"/>
  <c r="J620" i="3"/>
  <c r="M620" i="3"/>
  <c r="N620" i="3" s="1"/>
  <c r="V620" i="3"/>
  <c r="A621" i="3"/>
  <c r="B621" i="3" s="1"/>
  <c r="W620" i="3" l="1"/>
  <c r="L620" i="3"/>
  <c r="AD621" i="3"/>
  <c r="AC621" i="3"/>
  <c r="AA621" i="3"/>
  <c r="P621" i="3"/>
  <c r="Q621" i="3" s="1"/>
  <c r="R621" i="3" s="1"/>
  <c r="S621" i="3" s="1"/>
  <c r="Z621" i="3"/>
  <c r="U620" i="3" l="1"/>
  <c r="Y619" i="3"/>
  <c r="T621" i="3"/>
  <c r="D621" i="3" l="1"/>
  <c r="G621" i="3" s="1"/>
  <c r="AH621" i="3"/>
  <c r="E621" i="3"/>
  <c r="H621" i="3" s="1"/>
  <c r="AG621" i="3"/>
  <c r="F621" i="3" l="1"/>
  <c r="I621" i="3"/>
  <c r="J621" i="3"/>
  <c r="M621" i="3"/>
  <c r="N621" i="3" s="1"/>
  <c r="K621" i="3"/>
  <c r="AE621" i="3" s="1"/>
  <c r="V621" i="3" l="1"/>
  <c r="W621" i="3" s="1"/>
  <c r="A622" i="3"/>
  <c r="B622" i="3" s="1"/>
  <c r="L621" i="3"/>
  <c r="U621" i="3" l="1"/>
  <c r="Y620" i="3"/>
  <c r="AA622" i="3"/>
  <c r="AC622" i="3"/>
  <c r="P622" i="3"/>
  <c r="Q622" i="3" s="1"/>
  <c r="R622" i="3" s="1"/>
  <c r="S622" i="3" s="1"/>
  <c r="Z622" i="3"/>
  <c r="AD622" i="3"/>
  <c r="T622" i="3" l="1"/>
  <c r="AG622" i="3" s="1"/>
  <c r="D622" i="3" l="1"/>
  <c r="E622" i="3"/>
  <c r="H622" i="3" s="1"/>
  <c r="K622" i="3" s="1"/>
  <c r="AE622" i="3" s="1"/>
  <c r="AH622" i="3"/>
  <c r="F622" i="3" l="1"/>
  <c r="G622" i="3"/>
  <c r="I622" i="3" s="1"/>
  <c r="V622" i="3"/>
  <c r="A623" i="3"/>
  <c r="B623" i="3" s="1"/>
  <c r="M622" i="3" l="1"/>
  <c r="N622" i="3" s="1"/>
  <c r="J622" i="3"/>
  <c r="L622" i="3" s="1"/>
  <c r="W622" i="3"/>
  <c r="P623" i="3"/>
  <c r="Q623" i="3" s="1"/>
  <c r="R623" i="3" s="1"/>
  <c r="S623" i="3" s="1"/>
  <c r="Z623" i="3"/>
  <c r="AD623" i="3"/>
  <c r="AA623" i="3"/>
  <c r="AC623" i="3"/>
  <c r="U622" i="3" l="1"/>
  <c r="Y621" i="3"/>
  <c r="T623" i="3"/>
  <c r="D623" i="3" l="1"/>
  <c r="G623" i="3" s="1"/>
  <c r="AH623" i="3"/>
  <c r="AG623" i="3"/>
  <c r="E623" i="3"/>
  <c r="H623" i="3" s="1"/>
  <c r="K623" i="3" l="1"/>
  <c r="AE623" i="3" s="1"/>
  <c r="I623" i="3"/>
  <c r="J623" i="3"/>
  <c r="M623" i="3"/>
  <c r="N623" i="3" s="1"/>
  <c r="F623" i="3"/>
  <c r="L623" i="3" l="1"/>
  <c r="V623" i="3"/>
  <c r="W623" i="3" s="1"/>
  <c r="A624" i="3"/>
  <c r="B624" i="3" s="1"/>
  <c r="U623" i="3" l="1"/>
  <c r="Y622" i="3"/>
  <c r="AA624" i="3"/>
  <c r="Z624" i="3"/>
  <c r="AC624" i="3"/>
  <c r="P624" i="3"/>
  <c r="Q624" i="3" s="1"/>
  <c r="R624" i="3" s="1"/>
  <c r="S624" i="3" s="1"/>
  <c r="T624" i="3" l="1"/>
  <c r="D624" i="3" s="1"/>
  <c r="AG624" i="3" l="1"/>
  <c r="AH624" i="3"/>
  <c r="E624" i="3"/>
  <c r="H624" i="3" s="1"/>
  <c r="K624" i="3" s="1"/>
  <c r="AE624" i="3" s="1"/>
  <c r="G624" i="3"/>
  <c r="F624" i="3" l="1"/>
  <c r="I624" i="3"/>
  <c r="J624" i="3"/>
  <c r="AD624" i="3" s="1"/>
  <c r="M624" i="3"/>
  <c r="N624" i="3" s="1"/>
  <c r="V624" i="3"/>
  <c r="A625" i="3"/>
  <c r="B625" i="3" s="1"/>
  <c r="W624" i="3" l="1"/>
  <c r="L624" i="3"/>
  <c r="P625" i="3"/>
  <c r="Q625" i="3" s="1"/>
  <c r="R625" i="3" s="1"/>
  <c r="S625" i="3" s="1"/>
  <c r="AD625" i="3"/>
  <c r="AA625" i="3"/>
  <c r="Z625" i="3"/>
  <c r="AC625" i="3"/>
  <c r="U624" i="3" l="1"/>
  <c r="Y623" i="3"/>
  <c r="T625" i="3"/>
  <c r="D625" i="3" l="1"/>
  <c r="G625" i="3" s="1"/>
  <c r="E625" i="3"/>
  <c r="H625" i="3" s="1"/>
  <c r="AH625" i="3"/>
  <c r="AG625" i="3"/>
  <c r="F625" i="3" l="1"/>
  <c r="I625" i="3"/>
  <c r="J625" i="3"/>
  <c r="M625" i="3"/>
  <c r="N625" i="3" s="1"/>
  <c r="K625" i="3"/>
  <c r="AE625" i="3" s="1"/>
  <c r="V625" i="3" l="1"/>
  <c r="W625" i="3" s="1"/>
  <c r="A626" i="3"/>
  <c r="B626" i="3" s="1"/>
  <c r="L625" i="3"/>
  <c r="U625" i="3" l="1"/>
  <c r="Y624" i="3"/>
  <c r="AD626" i="3"/>
  <c r="Z626" i="3"/>
  <c r="AC626" i="3"/>
  <c r="P626" i="3"/>
  <c r="Q626" i="3" s="1"/>
  <c r="R626" i="3" s="1"/>
  <c r="S626" i="3" s="1"/>
  <c r="AA626" i="3"/>
  <c r="T626" i="3" l="1"/>
  <c r="E626" i="3" s="1"/>
  <c r="H626" i="3" s="1"/>
  <c r="AG626" i="3" l="1"/>
  <c r="K626" i="3"/>
  <c r="AE626" i="3" s="1"/>
  <c r="D626" i="3"/>
  <c r="AH626" i="3"/>
  <c r="V626" i="3" l="1"/>
  <c r="A627" i="3"/>
  <c r="B627" i="3" s="1"/>
  <c r="F626" i="3"/>
  <c r="G626" i="3"/>
  <c r="I626" i="3" l="1"/>
  <c r="W626" i="3" s="1"/>
  <c r="J626" i="3"/>
  <c r="M626" i="3"/>
  <c r="N626" i="3" s="1"/>
  <c r="Z627" i="3"/>
  <c r="P627" i="3"/>
  <c r="Q627" i="3" s="1"/>
  <c r="R627" i="3" s="1"/>
  <c r="S627" i="3" s="1"/>
  <c r="AC627" i="3"/>
  <c r="AA627" i="3"/>
  <c r="L626" i="3" l="1"/>
  <c r="T627" i="3"/>
  <c r="AG627" i="3" l="1"/>
  <c r="U626" i="3"/>
  <c r="D627" i="3" s="1"/>
  <c r="AH627" i="3"/>
  <c r="Y625" i="3"/>
  <c r="G627" i="3" l="1"/>
  <c r="E627" i="3"/>
  <c r="H627" i="3" s="1"/>
  <c r="K627" i="3" l="1"/>
  <c r="AE627" i="3" s="1"/>
  <c r="I627" i="3"/>
  <c r="J627" i="3"/>
  <c r="AD627" i="3" s="1"/>
  <c r="M627" i="3"/>
  <c r="N627" i="3" s="1"/>
  <c r="F627" i="3"/>
  <c r="L627" i="3" l="1"/>
  <c r="V627" i="3"/>
  <c r="W627" i="3" s="1"/>
  <c r="A628" i="3"/>
  <c r="B628" i="3" s="1"/>
  <c r="Z628" i="3" l="1"/>
  <c r="AA628" i="3"/>
  <c r="P628" i="3"/>
  <c r="Q628" i="3" s="1"/>
  <c r="R628" i="3" s="1"/>
  <c r="S628" i="3" s="1"/>
  <c r="AC628" i="3"/>
  <c r="U627" i="3"/>
  <c r="Y626" i="3"/>
  <c r="T628" i="3" l="1"/>
  <c r="D628" i="3" l="1"/>
  <c r="E628" i="3"/>
  <c r="H628" i="3" s="1"/>
  <c r="AG628" i="3"/>
  <c r="AH628" i="3"/>
  <c r="F628" i="3" l="1"/>
  <c r="G628" i="3"/>
  <c r="K628" i="3"/>
  <c r="AE628" i="3" s="1"/>
  <c r="I628" i="3" l="1"/>
  <c r="J628" i="3"/>
  <c r="AD628" i="3" s="1"/>
  <c r="M628" i="3"/>
  <c r="N628" i="3" s="1"/>
  <c r="V628" i="3"/>
  <c r="A629" i="3"/>
  <c r="B629" i="3" s="1"/>
  <c r="W628" i="3" l="1"/>
  <c r="L628" i="3"/>
  <c r="AC629" i="3"/>
  <c r="AA629" i="3"/>
  <c r="P629" i="3"/>
  <c r="Q629" i="3" s="1"/>
  <c r="R629" i="3" s="1"/>
  <c r="S629" i="3" s="1"/>
  <c r="AD629" i="3"/>
  <c r="Z629" i="3"/>
  <c r="T629" i="3" l="1"/>
  <c r="U628" i="3"/>
  <c r="Y627" i="3"/>
  <c r="E629" i="3" l="1"/>
  <c r="H629" i="3" s="1"/>
  <c r="K629" i="3" s="1"/>
  <c r="AE629" i="3" s="1"/>
  <c r="AH629" i="3"/>
  <c r="AG629" i="3"/>
  <c r="D629" i="3"/>
  <c r="F629" i="3" l="1"/>
  <c r="G629" i="3"/>
  <c r="V629" i="3"/>
  <c r="A630" i="3"/>
  <c r="B630" i="3" s="1"/>
  <c r="I629" i="3" l="1"/>
  <c r="W629" i="3" s="1"/>
  <c r="J629" i="3"/>
  <c r="M629" i="3"/>
  <c r="N629" i="3" s="1"/>
  <c r="AD630" i="3"/>
  <c r="P630" i="3"/>
  <c r="Q630" i="3" s="1"/>
  <c r="R630" i="3" s="1"/>
  <c r="S630" i="3" s="1"/>
  <c r="AC630" i="3"/>
  <c r="AA630" i="3"/>
  <c r="Z630" i="3"/>
  <c r="T630" i="3" l="1"/>
  <c r="L629" i="3"/>
  <c r="U629" i="3" l="1"/>
  <c r="D630" i="3" s="1"/>
  <c r="AH630" i="3"/>
  <c r="AG630" i="3"/>
  <c r="Y628" i="3"/>
  <c r="G630" i="3" l="1"/>
  <c r="E630" i="3"/>
  <c r="H630" i="3" s="1"/>
  <c r="F630" i="3" l="1"/>
  <c r="K630" i="3"/>
  <c r="AE630" i="3" s="1"/>
  <c r="I630" i="3"/>
  <c r="J630" i="3"/>
  <c r="M630" i="3"/>
  <c r="N630" i="3" s="1"/>
  <c r="V630" i="3" l="1"/>
  <c r="W630" i="3" s="1"/>
  <c r="A631" i="3"/>
  <c r="B631" i="3" s="1"/>
  <c r="L630" i="3"/>
  <c r="U630" i="3" l="1"/>
  <c r="Y629" i="3"/>
  <c r="AD631" i="3"/>
  <c r="P631" i="3"/>
  <c r="Q631" i="3" s="1"/>
  <c r="R631" i="3" s="1"/>
  <c r="S631" i="3" s="1"/>
  <c r="AC631" i="3"/>
  <c r="AA631" i="3"/>
  <c r="Z631" i="3"/>
  <c r="T631" i="3" l="1"/>
  <c r="D631" i="3" s="1"/>
  <c r="AH631" i="3" l="1"/>
  <c r="E631" i="3"/>
  <c r="H631" i="3" s="1"/>
  <c r="K631" i="3" s="1"/>
  <c r="AE631" i="3" s="1"/>
  <c r="G631" i="3"/>
  <c r="AG631" i="3"/>
  <c r="F631" i="3" l="1"/>
  <c r="I631" i="3"/>
  <c r="J631" i="3"/>
  <c r="M631" i="3"/>
  <c r="N631" i="3" s="1"/>
  <c r="V631" i="3"/>
  <c r="A632" i="3"/>
  <c r="B632" i="3" s="1"/>
  <c r="L631" i="3" l="1"/>
  <c r="W631" i="3"/>
  <c r="AC632" i="3"/>
  <c r="AA632" i="3"/>
  <c r="Z632" i="3"/>
  <c r="P632" i="3"/>
  <c r="Q632" i="3" s="1"/>
  <c r="R632" i="3" s="1"/>
  <c r="S632" i="3" s="1"/>
  <c r="AD632" i="3"/>
  <c r="T632" i="3" l="1"/>
  <c r="U631" i="3"/>
  <c r="Y630" i="3"/>
  <c r="D632" i="3" l="1"/>
  <c r="G632" i="3" s="1"/>
  <c r="E632" i="3"/>
  <c r="H632" i="3" s="1"/>
  <c r="K632" i="3" s="1"/>
  <c r="AE632" i="3" s="1"/>
  <c r="AG632" i="3"/>
  <c r="AH632" i="3"/>
  <c r="F632" i="3" l="1"/>
  <c r="I632" i="3"/>
  <c r="J632" i="3"/>
  <c r="M632" i="3"/>
  <c r="N632" i="3" s="1"/>
  <c r="V632" i="3"/>
  <c r="A633" i="3"/>
  <c r="B633" i="3" s="1"/>
  <c r="W632" i="3" l="1"/>
  <c r="L632" i="3"/>
  <c r="AD633" i="3"/>
  <c r="Z633" i="3"/>
  <c r="AC633" i="3"/>
  <c r="P633" i="3"/>
  <c r="Q633" i="3" s="1"/>
  <c r="R633" i="3" s="1"/>
  <c r="S633" i="3" s="1"/>
  <c r="AA633" i="3"/>
  <c r="U632" i="3" l="1"/>
  <c r="Y631" i="3"/>
  <c r="T633" i="3"/>
  <c r="AG633" i="3" s="1"/>
  <c r="D633" i="3" l="1"/>
  <c r="G633" i="3" s="1"/>
  <c r="E633" i="3"/>
  <c r="H633" i="3" s="1"/>
  <c r="K633" i="3" s="1"/>
  <c r="AE633" i="3" s="1"/>
  <c r="AH633" i="3"/>
  <c r="F633" i="3" l="1"/>
  <c r="V633" i="3"/>
  <c r="A634" i="3"/>
  <c r="B634" i="3" s="1"/>
  <c r="I633" i="3"/>
  <c r="J633" i="3"/>
  <c r="M633" i="3"/>
  <c r="N633" i="3" s="1"/>
  <c r="L633" i="3" l="1"/>
  <c r="W633" i="3"/>
  <c r="P634" i="3"/>
  <c r="Q634" i="3" s="1"/>
  <c r="R634" i="3" s="1"/>
  <c r="S634" i="3" s="1"/>
  <c r="AA634" i="3"/>
  <c r="AC634" i="3"/>
  <c r="Z634" i="3"/>
  <c r="U633" i="3" l="1"/>
  <c r="Y632" i="3"/>
  <c r="T634" i="3"/>
  <c r="AH634" i="3" s="1"/>
  <c r="E634" i="3" l="1"/>
  <c r="H634" i="3" s="1"/>
  <c r="K634" i="3" s="1"/>
  <c r="AE634" i="3" s="1"/>
  <c r="AG634" i="3"/>
  <c r="D634" i="3"/>
  <c r="F634" i="3" l="1"/>
  <c r="G634" i="3"/>
  <c r="V634" i="3"/>
  <c r="A635" i="3"/>
  <c r="B635" i="3" s="1"/>
  <c r="Z635" i="3" l="1"/>
  <c r="AA635" i="3"/>
  <c r="P635" i="3"/>
  <c r="Q635" i="3" s="1"/>
  <c r="R635" i="3" s="1"/>
  <c r="S635" i="3" s="1"/>
  <c r="AD635" i="3"/>
  <c r="AC635" i="3"/>
  <c r="I634" i="3"/>
  <c r="W634" i="3" s="1"/>
  <c r="J634" i="3"/>
  <c r="AD634" i="3" s="1"/>
  <c r="M634" i="3"/>
  <c r="N634" i="3" s="1"/>
  <c r="T635" i="3" l="1"/>
  <c r="L634" i="3"/>
  <c r="AH635" i="3" l="1"/>
  <c r="U634" i="3"/>
  <c r="D635" i="3" s="1"/>
  <c r="AG635" i="3"/>
  <c r="Y633" i="3"/>
  <c r="E635" i="3" l="1"/>
  <c r="H635" i="3" s="1"/>
  <c r="K635" i="3" s="1"/>
  <c r="AE635" i="3" s="1"/>
  <c r="G635" i="3"/>
  <c r="F635" i="3" l="1"/>
  <c r="I635" i="3"/>
  <c r="J635" i="3"/>
  <c r="M635" i="3"/>
  <c r="N635" i="3" s="1"/>
  <c r="V635" i="3"/>
  <c r="A636" i="3"/>
  <c r="B636" i="3" s="1"/>
  <c r="W635" i="3" l="1"/>
  <c r="L635" i="3"/>
  <c r="AC636" i="3"/>
  <c r="AD636" i="3"/>
  <c r="AA636" i="3"/>
  <c r="P636" i="3"/>
  <c r="Q636" i="3" s="1"/>
  <c r="R636" i="3" s="1"/>
  <c r="S636" i="3" s="1"/>
  <c r="Z636" i="3"/>
  <c r="U635" i="3" l="1"/>
  <c r="Y634" i="3"/>
  <c r="T636" i="3"/>
  <c r="AG636" i="3" s="1"/>
  <c r="AH636" i="3" l="1"/>
  <c r="D636" i="3"/>
  <c r="E636" i="3"/>
  <c r="H636" i="3" s="1"/>
  <c r="F636" i="3" l="1"/>
  <c r="G636" i="3"/>
  <c r="K636" i="3"/>
  <c r="AE636" i="3" s="1"/>
  <c r="I636" i="3" l="1"/>
  <c r="J636" i="3"/>
  <c r="M636" i="3"/>
  <c r="N636" i="3" s="1"/>
  <c r="V636" i="3"/>
  <c r="A637" i="3"/>
  <c r="B637" i="3" s="1"/>
  <c r="W636" i="3" l="1"/>
  <c r="L636" i="3"/>
  <c r="Z637" i="3"/>
  <c r="P637" i="3"/>
  <c r="Q637" i="3" s="1"/>
  <c r="R637" i="3" s="1"/>
  <c r="S637" i="3" s="1"/>
  <c r="AC637" i="3"/>
  <c r="AA637" i="3"/>
  <c r="U636" i="3" l="1"/>
  <c r="Y635" i="3"/>
  <c r="T637" i="3"/>
  <c r="AG637" i="3" s="1"/>
  <c r="D637" i="3" l="1"/>
  <c r="AH637" i="3"/>
  <c r="E637" i="3"/>
  <c r="H637" i="3" s="1"/>
  <c r="F637" i="3" l="1"/>
  <c r="G637" i="3"/>
  <c r="K637" i="3"/>
  <c r="AE637" i="3" s="1"/>
  <c r="I637" i="3" l="1"/>
  <c r="J637" i="3"/>
  <c r="AD637" i="3" s="1"/>
  <c r="M637" i="3"/>
  <c r="N637" i="3" s="1"/>
  <c r="V637" i="3"/>
  <c r="A638" i="3"/>
  <c r="B638" i="3" s="1"/>
  <c r="W637" i="3" l="1"/>
  <c r="L637" i="3"/>
  <c r="P638" i="3"/>
  <c r="Q638" i="3" s="1"/>
  <c r="R638" i="3" s="1"/>
  <c r="S638" i="3" s="1"/>
  <c r="AC638" i="3"/>
  <c r="AA638" i="3"/>
  <c r="Z638" i="3"/>
  <c r="T638" i="3" l="1"/>
  <c r="AG638" i="3" s="1"/>
  <c r="U637" i="3"/>
  <c r="Y636" i="3"/>
  <c r="D638" i="3" l="1"/>
  <c r="G638" i="3" s="1"/>
  <c r="E638" i="3"/>
  <c r="H638" i="3" s="1"/>
  <c r="AH638" i="3"/>
  <c r="F638" i="3" l="1"/>
  <c r="I638" i="3"/>
  <c r="J638" i="3"/>
  <c r="AD638" i="3" s="1"/>
  <c r="M638" i="3"/>
  <c r="N638" i="3" s="1"/>
  <c r="K638" i="3"/>
  <c r="AE638" i="3" s="1"/>
  <c r="V638" i="3" l="1"/>
  <c r="W638" i="3" s="1"/>
  <c r="A639" i="3"/>
  <c r="B639" i="3" s="1"/>
  <c r="L638" i="3"/>
  <c r="U638" i="3" l="1"/>
  <c r="Y637" i="3"/>
  <c r="AC639" i="3"/>
  <c r="P639" i="3"/>
  <c r="Q639" i="3" s="1"/>
  <c r="R639" i="3" s="1"/>
  <c r="S639" i="3" s="1"/>
  <c r="AA639" i="3"/>
  <c r="AD639" i="3"/>
  <c r="Z639" i="3"/>
  <c r="T639" i="3" l="1"/>
  <c r="D639" i="3" s="1"/>
  <c r="AG639" i="3" l="1"/>
  <c r="E639" i="3"/>
  <c r="H639" i="3" s="1"/>
  <c r="K639" i="3" s="1"/>
  <c r="AE639" i="3" s="1"/>
  <c r="AH639" i="3"/>
  <c r="G639" i="3"/>
  <c r="F639" i="3" l="1"/>
  <c r="V639" i="3"/>
  <c r="A640" i="3"/>
  <c r="B640" i="3" s="1"/>
  <c r="I639" i="3"/>
  <c r="J639" i="3"/>
  <c r="M639" i="3"/>
  <c r="N639" i="3" s="1"/>
  <c r="W639" i="3" l="1"/>
  <c r="L639" i="3"/>
  <c r="AD640" i="3"/>
  <c r="P640" i="3"/>
  <c r="Q640" i="3" s="1"/>
  <c r="R640" i="3" s="1"/>
  <c r="S640" i="3" s="1"/>
  <c r="AA640" i="3"/>
  <c r="AC640" i="3"/>
  <c r="Z640" i="3"/>
  <c r="U639" i="3" l="1"/>
  <c r="Y638" i="3"/>
  <c r="T640" i="3"/>
  <c r="E640" i="3" l="1"/>
  <c r="H640" i="3" s="1"/>
  <c r="K640" i="3" s="1"/>
  <c r="AE640" i="3" s="1"/>
  <c r="D640" i="3"/>
  <c r="AG640" i="3"/>
  <c r="AH640" i="3"/>
  <c r="F640" i="3" l="1"/>
  <c r="G640" i="3"/>
  <c r="V640" i="3"/>
  <c r="A641" i="3"/>
  <c r="B641" i="3" s="1"/>
  <c r="AC641" i="3" l="1"/>
  <c r="AA641" i="3"/>
  <c r="AD641" i="3"/>
  <c r="Z641" i="3"/>
  <c r="P641" i="3"/>
  <c r="Q641" i="3" s="1"/>
  <c r="R641" i="3" s="1"/>
  <c r="S641" i="3" s="1"/>
  <c r="I640" i="3"/>
  <c r="W640" i="3" s="1"/>
  <c r="J640" i="3"/>
  <c r="M640" i="3"/>
  <c r="N640" i="3" s="1"/>
  <c r="L640" i="3" l="1"/>
  <c r="T641" i="3"/>
  <c r="U640" i="3" l="1"/>
  <c r="E641" i="3" s="1"/>
  <c r="H641" i="3" s="1"/>
  <c r="AG641" i="3"/>
  <c r="AH641" i="3"/>
  <c r="Y639" i="3"/>
  <c r="K641" i="3" l="1"/>
  <c r="AE641" i="3" s="1"/>
  <c r="D641" i="3"/>
  <c r="V641" i="3" l="1"/>
  <c r="A642" i="3"/>
  <c r="B642" i="3" s="1"/>
  <c r="F641" i="3"/>
  <c r="G641" i="3"/>
  <c r="I641" i="3" l="1"/>
  <c r="W641" i="3" s="1"/>
  <c r="J641" i="3"/>
  <c r="M641" i="3"/>
  <c r="N641" i="3" s="1"/>
  <c r="Z642" i="3"/>
  <c r="AD642" i="3"/>
  <c r="P642" i="3"/>
  <c r="Q642" i="3" s="1"/>
  <c r="R642" i="3" s="1"/>
  <c r="S642" i="3" s="1"/>
  <c r="AC642" i="3"/>
  <c r="AA642" i="3"/>
  <c r="T642" i="3" l="1"/>
  <c r="L641" i="3"/>
  <c r="U641" i="3" l="1"/>
  <c r="D642" i="3" s="1"/>
  <c r="AG642" i="3"/>
  <c r="AH642" i="3"/>
  <c r="Y640" i="3"/>
  <c r="E642" i="3" l="1"/>
  <c r="H642" i="3" s="1"/>
  <c r="K642" i="3" s="1"/>
  <c r="AE642" i="3" s="1"/>
  <c r="G642" i="3"/>
  <c r="F642" i="3" l="1"/>
  <c r="I642" i="3"/>
  <c r="J642" i="3"/>
  <c r="M642" i="3"/>
  <c r="N642" i="3" s="1"/>
  <c r="V642" i="3"/>
  <c r="A643" i="3"/>
  <c r="B643" i="3" s="1"/>
  <c r="W642" i="3" l="1"/>
  <c r="L642" i="3"/>
  <c r="AA643" i="3"/>
  <c r="AD643" i="3"/>
  <c r="AC643" i="3"/>
  <c r="P643" i="3"/>
  <c r="Q643" i="3" s="1"/>
  <c r="R643" i="3" s="1"/>
  <c r="S643" i="3" s="1"/>
  <c r="Z643" i="3"/>
  <c r="U642" i="3" l="1"/>
  <c r="Y641" i="3"/>
  <c r="T643" i="3"/>
  <c r="AH643" i="3" s="1"/>
  <c r="AG643" i="3" l="1"/>
  <c r="E643" i="3"/>
  <c r="H643" i="3" s="1"/>
  <c r="K643" i="3" s="1"/>
  <c r="AE643" i="3" s="1"/>
  <c r="D643" i="3"/>
  <c r="F643" i="3" l="1"/>
  <c r="G643" i="3"/>
  <c r="M643" i="3" s="1"/>
  <c r="N643" i="3" s="1"/>
  <c r="V643" i="3"/>
  <c r="A644" i="3"/>
  <c r="B644" i="3" s="1"/>
  <c r="I643" i="3" l="1"/>
  <c r="W643" i="3" s="1"/>
  <c r="J643" i="3"/>
  <c r="L643" i="3" s="1"/>
  <c r="P644" i="3"/>
  <c r="Q644" i="3" s="1"/>
  <c r="R644" i="3" s="1"/>
  <c r="S644" i="3" s="1"/>
  <c r="AA644" i="3"/>
  <c r="AC644" i="3"/>
  <c r="Z644" i="3"/>
  <c r="U643" i="3" l="1"/>
  <c r="Y642" i="3"/>
  <c r="T644" i="3"/>
  <c r="AG644" i="3" s="1"/>
  <c r="AH644" i="3" l="1"/>
  <c r="D644" i="3"/>
  <c r="E644" i="3"/>
  <c r="H644" i="3" s="1"/>
  <c r="K644" i="3" l="1"/>
  <c r="AE644" i="3" s="1"/>
  <c r="F644" i="3"/>
  <c r="G644" i="3"/>
  <c r="I644" i="3" l="1"/>
  <c r="J644" i="3"/>
  <c r="AD644" i="3" s="1"/>
  <c r="M644" i="3"/>
  <c r="N644" i="3" s="1"/>
  <c r="V644" i="3"/>
  <c r="A645" i="3"/>
  <c r="B645" i="3" s="1"/>
  <c r="L644" i="3" l="1"/>
  <c r="W644" i="3"/>
  <c r="Z645" i="3"/>
  <c r="P645" i="3"/>
  <c r="Q645" i="3" s="1"/>
  <c r="R645" i="3" s="1"/>
  <c r="S645" i="3" s="1"/>
  <c r="AD645" i="3"/>
  <c r="AA645" i="3"/>
  <c r="AC645" i="3"/>
  <c r="U644" i="3" l="1"/>
  <c r="Y643" i="3"/>
  <c r="T645" i="3"/>
  <c r="AG645" i="3" s="1"/>
  <c r="D645" i="3" l="1"/>
  <c r="AH645" i="3"/>
  <c r="E645" i="3"/>
  <c r="H645" i="3" s="1"/>
  <c r="F645" i="3" l="1"/>
  <c r="G645" i="3"/>
  <c r="K645" i="3"/>
  <c r="AE645" i="3" s="1"/>
  <c r="I645" i="3" l="1"/>
  <c r="J645" i="3"/>
  <c r="M645" i="3"/>
  <c r="N645" i="3" s="1"/>
  <c r="V645" i="3"/>
  <c r="A646" i="3"/>
  <c r="B646" i="3" s="1"/>
  <c r="W645" i="3" l="1"/>
  <c r="L645" i="3"/>
  <c r="AA646" i="3"/>
  <c r="Z646" i="3"/>
  <c r="AC646" i="3"/>
  <c r="AD646" i="3"/>
  <c r="P646" i="3"/>
  <c r="Q646" i="3" s="1"/>
  <c r="R646" i="3" s="1"/>
  <c r="S646" i="3" s="1"/>
  <c r="U645" i="3" l="1"/>
  <c r="Y644" i="3"/>
  <c r="T646" i="3"/>
  <c r="AG646" i="3" s="1"/>
  <c r="E646" i="3" l="1"/>
  <c r="H646" i="3" s="1"/>
  <c r="D646" i="3"/>
  <c r="AH646" i="3"/>
  <c r="F646" i="3" l="1"/>
  <c r="G646" i="3"/>
  <c r="K646" i="3"/>
  <c r="AE646" i="3" s="1"/>
  <c r="I646" i="3" l="1"/>
  <c r="J646" i="3"/>
  <c r="M646" i="3"/>
  <c r="N646" i="3" s="1"/>
  <c r="V646" i="3"/>
  <c r="A647" i="3"/>
  <c r="B647" i="3" s="1"/>
  <c r="L646" i="3" l="1"/>
  <c r="W646" i="3"/>
  <c r="P647" i="3"/>
  <c r="Q647" i="3" s="1"/>
  <c r="R647" i="3" s="1"/>
  <c r="S647" i="3" s="1"/>
  <c r="AC647" i="3"/>
  <c r="AA647" i="3"/>
  <c r="Z647" i="3"/>
  <c r="U646" i="3" l="1"/>
  <c r="Y645" i="3"/>
  <c r="T647" i="3"/>
  <c r="AG647" i="3" s="1"/>
  <c r="E647" i="3" l="1"/>
  <c r="H647" i="3" s="1"/>
  <c r="D647" i="3"/>
  <c r="AH647" i="3"/>
  <c r="F647" i="3" l="1"/>
  <c r="G647" i="3"/>
  <c r="K647" i="3"/>
  <c r="AE647" i="3" s="1"/>
  <c r="V647" i="3" l="1"/>
  <c r="A648" i="3"/>
  <c r="B648" i="3" s="1"/>
  <c r="I647" i="3"/>
  <c r="J647" i="3"/>
  <c r="AD647" i="3" s="1"/>
  <c r="M647" i="3"/>
  <c r="N647" i="3" s="1"/>
  <c r="W647" i="3" l="1"/>
  <c r="L647" i="3"/>
  <c r="AC648" i="3"/>
  <c r="AA648" i="3"/>
  <c r="P648" i="3"/>
  <c r="Q648" i="3" s="1"/>
  <c r="R648" i="3" s="1"/>
  <c r="S648" i="3" s="1"/>
  <c r="Z648" i="3"/>
  <c r="T648" i="3" l="1"/>
  <c r="AH648" i="3" s="1"/>
  <c r="U647" i="3"/>
  <c r="Y646" i="3"/>
  <c r="D648" i="3" l="1"/>
  <c r="AG648" i="3"/>
  <c r="E648" i="3"/>
  <c r="H648" i="3" s="1"/>
  <c r="F648" i="3" l="1"/>
  <c r="G648" i="3"/>
  <c r="K648" i="3"/>
  <c r="AE648" i="3" s="1"/>
  <c r="I648" i="3" l="1"/>
  <c r="J648" i="3"/>
  <c r="AD648" i="3" s="1"/>
  <c r="M648" i="3"/>
  <c r="N648" i="3" s="1"/>
  <c r="V648" i="3"/>
  <c r="A649" i="3"/>
  <c r="B649" i="3" s="1"/>
  <c r="W648" i="3" l="1"/>
  <c r="L648" i="3"/>
  <c r="AC649" i="3"/>
  <c r="AA649" i="3"/>
  <c r="AD649" i="3"/>
  <c r="P649" i="3"/>
  <c r="Q649" i="3" s="1"/>
  <c r="R649" i="3" s="1"/>
  <c r="S649" i="3" s="1"/>
  <c r="Z649" i="3"/>
  <c r="U648" i="3" l="1"/>
  <c r="Y647" i="3"/>
  <c r="T649" i="3"/>
  <c r="E649" i="3" l="1"/>
  <c r="H649" i="3" s="1"/>
  <c r="K649" i="3" s="1"/>
  <c r="AE649" i="3" s="1"/>
  <c r="D649" i="3"/>
  <c r="AH649" i="3"/>
  <c r="AG649" i="3"/>
  <c r="V649" i="3" l="1"/>
  <c r="A650" i="3"/>
  <c r="B650" i="3" s="1"/>
  <c r="F649" i="3"/>
  <c r="G649" i="3"/>
  <c r="I649" i="3" l="1"/>
  <c r="W649" i="3" s="1"/>
  <c r="J649" i="3"/>
  <c r="M649" i="3"/>
  <c r="N649" i="3" s="1"/>
  <c r="AA650" i="3"/>
  <c r="P650" i="3"/>
  <c r="Q650" i="3" s="1"/>
  <c r="R650" i="3" s="1"/>
  <c r="S650" i="3" s="1"/>
  <c r="Z650" i="3"/>
  <c r="AD650" i="3"/>
  <c r="AC650" i="3"/>
  <c r="L649" i="3" l="1"/>
  <c r="T650" i="3"/>
  <c r="U649" i="3" l="1"/>
  <c r="E650" i="3" s="1"/>
  <c r="H650" i="3" s="1"/>
  <c r="AG650" i="3"/>
  <c r="AH650" i="3"/>
  <c r="Y648" i="3"/>
  <c r="K650" i="3" l="1"/>
  <c r="AE650" i="3" s="1"/>
  <c r="D650" i="3"/>
  <c r="V650" i="3" l="1"/>
  <c r="A651" i="3"/>
  <c r="B651" i="3" s="1"/>
  <c r="F650" i="3"/>
  <c r="G650" i="3"/>
  <c r="I650" i="3" l="1"/>
  <c r="W650" i="3" s="1"/>
  <c r="J650" i="3"/>
  <c r="M650" i="3"/>
  <c r="N650" i="3" s="1"/>
  <c r="Z651" i="3"/>
  <c r="AC651" i="3"/>
  <c r="P651" i="3"/>
  <c r="Q651" i="3" s="1"/>
  <c r="R651" i="3" s="1"/>
  <c r="S651" i="3" s="1"/>
  <c r="AA651" i="3"/>
  <c r="AD651" i="3"/>
  <c r="T651" i="3" l="1"/>
  <c r="L650" i="3"/>
  <c r="AH651" i="3" l="1"/>
  <c r="U650" i="3"/>
  <c r="E651" i="3" s="1"/>
  <c r="H651" i="3" s="1"/>
  <c r="AG651" i="3"/>
  <c r="Y649" i="3"/>
  <c r="D651" i="3" l="1"/>
  <c r="G651" i="3" s="1"/>
  <c r="K651" i="3"/>
  <c r="AE651" i="3" s="1"/>
  <c r="F651" i="3" l="1"/>
  <c r="I651" i="3"/>
  <c r="J651" i="3"/>
  <c r="M651" i="3"/>
  <c r="N651" i="3" s="1"/>
  <c r="V651" i="3"/>
  <c r="A652" i="3"/>
  <c r="B652" i="3" s="1"/>
  <c r="W651" i="3" l="1"/>
  <c r="L651" i="3"/>
  <c r="P652" i="3"/>
  <c r="Q652" i="3" s="1"/>
  <c r="R652" i="3" s="1"/>
  <c r="S652" i="3" s="1"/>
  <c r="AC652" i="3"/>
  <c r="AA652" i="3"/>
  <c r="Z652" i="3"/>
  <c r="AD652" i="3"/>
  <c r="U651" i="3" l="1"/>
  <c r="Y650" i="3"/>
  <c r="T652" i="3"/>
  <c r="E652" i="3" l="1"/>
  <c r="H652" i="3" s="1"/>
  <c r="K652" i="3" s="1"/>
  <c r="AE652" i="3" s="1"/>
  <c r="AH652" i="3"/>
  <c r="AG652" i="3"/>
  <c r="D652" i="3"/>
  <c r="G652" i="3" s="1"/>
  <c r="F652" i="3" l="1"/>
  <c r="V652" i="3"/>
  <c r="A653" i="3"/>
  <c r="B653" i="3" s="1"/>
  <c r="I652" i="3"/>
  <c r="J652" i="3"/>
  <c r="M652" i="3"/>
  <c r="N652" i="3" s="1"/>
  <c r="W652" i="3" l="1"/>
  <c r="L652" i="3"/>
  <c r="Z653" i="3"/>
  <c r="AA653" i="3"/>
  <c r="P653" i="3"/>
  <c r="Q653" i="3" s="1"/>
  <c r="R653" i="3" s="1"/>
  <c r="S653" i="3" s="1"/>
  <c r="AD653" i="3"/>
  <c r="AC653" i="3"/>
  <c r="T653" i="3" l="1"/>
  <c r="AG653" i="3" s="1"/>
  <c r="U652" i="3"/>
  <c r="Y651" i="3"/>
  <c r="AH653" i="3" l="1"/>
  <c r="E653" i="3"/>
  <c r="H653" i="3" s="1"/>
  <c r="D653" i="3"/>
  <c r="K653" i="3" l="1"/>
  <c r="AE653" i="3" s="1"/>
  <c r="F653" i="3"/>
  <c r="G653" i="3"/>
  <c r="V653" i="3" l="1"/>
  <c r="A654" i="3"/>
  <c r="B654" i="3" s="1"/>
  <c r="I653" i="3"/>
  <c r="J653" i="3"/>
  <c r="M653" i="3"/>
  <c r="N653" i="3" s="1"/>
  <c r="W653" i="3" l="1"/>
  <c r="L653" i="3"/>
  <c r="Z654" i="3"/>
  <c r="P654" i="3"/>
  <c r="Q654" i="3" s="1"/>
  <c r="R654" i="3" s="1"/>
  <c r="S654" i="3" s="1"/>
  <c r="AC654" i="3"/>
  <c r="AA654" i="3"/>
  <c r="T654" i="3" l="1"/>
  <c r="AG654" i="3" s="1"/>
  <c r="U653" i="3"/>
  <c r="Y652" i="3"/>
  <c r="AH654" i="3" l="1"/>
  <c r="E654" i="3"/>
  <c r="H654" i="3" s="1"/>
  <c r="D654" i="3"/>
  <c r="K654" i="3" l="1"/>
  <c r="AE654" i="3" s="1"/>
  <c r="F654" i="3"/>
  <c r="G654" i="3"/>
  <c r="V654" i="3" l="1"/>
  <c r="A655" i="3"/>
  <c r="B655" i="3" s="1"/>
  <c r="I654" i="3"/>
  <c r="J654" i="3"/>
  <c r="AD654" i="3" s="1"/>
  <c r="M654" i="3"/>
  <c r="N654" i="3" s="1"/>
  <c r="L654" i="3" l="1"/>
  <c r="AD655" i="3"/>
  <c r="AC655" i="3"/>
  <c r="P655" i="3"/>
  <c r="Q655" i="3" s="1"/>
  <c r="R655" i="3" s="1"/>
  <c r="S655" i="3" s="1"/>
  <c r="Z655" i="3"/>
  <c r="AA655" i="3"/>
  <c r="W654" i="3"/>
  <c r="U654" i="3" l="1"/>
  <c r="Y653" i="3"/>
  <c r="T655" i="3"/>
  <c r="AH655" i="3" s="1"/>
  <c r="AG655" i="3" l="1"/>
  <c r="D655" i="3"/>
  <c r="E655" i="3"/>
  <c r="H655" i="3" s="1"/>
  <c r="K655" i="3" l="1"/>
  <c r="AE655" i="3" s="1"/>
  <c r="F655" i="3"/>
  <c r="G655" i="3"/>
  <c r="V655" i="3" l="1"/>
  <c r="A656" i="3"/>
  <c r="B656" i="3" s="1"/>
  <c r="I655" i="3"/>
  <c r="J655" i="3"/>
  <c r="M655" i="3"/>
  <c r="N655" i="3" s="1"/>
  <c r="W655" i="3" l="1"/>
  <c r="L655" i="3"/>
  <c r="Z656" i="3"/>
  <c r="AA656" i="3"/>
  <c r="AD656" i="3"/>
  <c r="AC656" i="3"/>
  <c r="P656" i="3"/>
  <c r="Q656" i="3" s="1"/>
  <c r="R656" i="3" s="1"/>
  <c r="S656" i="3" s="1"/>
  <c r="T656" i="3" l="1"/>
  <c r="U655" i="3"/>
  <c r="Y654" i="3"/>
  <c r="E656" i="3" l="1"/>
  <c r="H656" i="3" s="1"/>
  <c r="K656" i="3" s="1"/>
  <c r="AE656" i="3" s="1"/>
  <c r="AH656" i="3"/>
  <c r="D656" i="3"/>
  <c r="AG656" i="3"/>
  <c r="F656" i="3" l="1"/>
  <c r="G656" i="3"/>
  <c r="V656" i="3"/>
  <c r="A657" i="3"/>
  <c r="B657" i="3" s="1"/>
  <c r="I656" i="3" l="1"/>
  <c r="W656" i="3" s="1"/>
  <c r="J656" i="3"/>
  <c r="M656" i="3"/>
  <c r="N656" i="3" s="1"/>
  <c r="AC657" i="3"/>
  <c r="P657" i="3"/>
  <c r="Q657" i="3" s="1"/>
  <c r="R657" i="3" s="1"/>
  <c r="S657" i="3" s="1"/>
  <c r="AA657" i="3"/>
  <c r="Z657" i="3"/>
  <c r="L656" i="3" l="1"/>
  <c r="T657" i="3"/>
  <c r="AH657" i="3" l="1"/>
  <c r="U656" i="3"/>
  <c r="E657" i="3" s="1"/>
  <c r="H657" i="3" s="1"/>
  <c r="AG657" i="3"/>
  <c r="Y655" i="3"/>
  <c r="D657" i="3" l="1"/>
  <c r="G657" i="3" s="1"/>
  <c r="K657" i="3"/>
  <c r="AE657" i="3" s="1"/>
  <c r="F657" i="3" l="1"/>
  <c r="I657" i="3"/>
  <c r="J657" i="3"/>
  <c r="AD657" i="3" s="1"/>
  <c r="M657" i="3"/>
  <c r="N657" i="3" s="1"/>
  <c r="V657" i="3"/>
  <c r="A658" i="3"/>
  <c r="B658" i="3" s="1"/>
  <c r="W657" i="3" l="1"/>
  <c r="L657" i="3"/>
  <c r="AC658" i="3"/>
  <c r="Z658" i="3"/>
  <c r="AA658" i="3"/>
  <c r="P658" i="3"/>
  <c r="Q658" i="3" s="1"/>
  <c r="R658" i="3" s="1"/>
  <c r="S658" i="3" s="1"/>
  <c r="U657" i="3" l="1"/>
  <c r="Y656" i="3"/>
  <c r="T658" i="3"/>
  <c r="AG658" i="3" s="1"/>
  <c r="E658" i="3" l="1"/>
  <c r="H658" i="3" s="1"/>
  <c r="D658" i="3"/>
  <c r="AH658" i="3"/>
  <c r="K658" i="3" l="1"/>
  <c r="AE658" i="3" s="1"/>
  <c r="F658" i="3"/>
  <c r="G658" i="3"/>
  <c r="I658" i="3" l="1"/>
  <c r="J658" i="3"/>
  <c r="AD658" i="3" s="1"/>
  <c r="M658" i="3"/>
  <c r="N658" i="3" s="1"/>
  <c r="V658" i="3"/>
  <c r="A659" i="3"/>
  <c r="B659" i="3" s="1"/>
  <c r="W658" i="3" l="1"/>
  <c r="L658" i="3"/>
  <c r="AA659" i="3"/>
  <c r="P659" i="3"/>
  <c r="Q659" i="3" s="1"/>
  <c r="R659" i="3" s="1"/>
  <c r="S659" i="3" s="1"/>
  <c r="Z659" i="3"/>
  <c r="AD659" i="3"/>
  <c r="AC659" i="3"/>
  <c r="U658" i="3" l="1"/>
  <c r="Y657" i="3"/>
  <c r="T659" i="3"/>
  <c r="AH659" i="3" s="1"/>
  <c r="E659" i="3" l="1"/>
  <c r="H659" i="3" s="1"/>
  <c r="K659" i="3" s="1"/>
  <c r="AE659" i="3" s="1"/>
  <c r="AG659" i="3"/>
  <c r="D659" i="3"/>
  <c r="G659" i="3" s="1"/>
  <c r="F659" i="3" l="1"/>
  <c r="I659" i="3"/>
  <c r="J659" i="3"/>
  <c r="M659" i="3"/>
  <c r="N659" i="3" s="1"/>
  <c r="V659" i="3"/>
  <c r="A660" i="3"/>
  <c r="B660" i="3" s="1"/>
  <c r="W659" i="3" l="1"/>
  <c r="L659" i="3"/>
  <c r="AA660" i="3"/>
  <c r="P660" i="3"/>
  <c r="Q660" i="3" s="1"/>
  <c r="R660" i="3" s="1"/>
  <c r="S660" i="3" s="1"/>
  <c r="AC660" i="3"/>
  <c r="AD660" i="3"/>
  <c r="Z660" i="3"/>
  <c r="T660" i="3" l="1"/>
  <c r="AH660" i="3" s="1"/>
  <c r="U659" i="3"/>
  <c r="Y658" i="3"/>
  <c r="AG660" i="3" l="1"/>
  <c r="D660" i="3"/>
  <c r="E660" i="3"/>
  <c r="H660" i="3" s="1"/>
  <c r="K660" i="3" l="1"/>
  <c r="AE660" i="3" s="1"/>
  <c r="F660" i="3"/>
  <c r="G660" i="3"/>
  <c r="I660" i="3" l="1"/>
  <c r="J660" i="3"/>
  <c r="M660" i="3"/>
  <c r="N660" i="3" s="1"/>
  <c r="V660" i="3"/>
  <c r="A661" i="3"/>
  <c r="B661" i="3" s="1"/>
  <c r="L660" i="3" l="1"/>
  <c r="W660" i="3"/>
  <c r="Z661" i="3"/>
  <c r="P661" i="3"/>
  <c r="Q661" i="3" s="1"/>
  <c r="R661" i="3" s="1"/>
  <c r="S661" i="3" s="1"/>
  <c r="AA661" i="3"/>
  <c r="AD661" i="3"/>
  <c r="AC661" i="3"/>
  <c r="T661" i="3" l="1"/>
  <c r="U660" i="3"/>
  <c r="Y659" i="3"/>
  <c r="E661" i="3" l="1"/>
  <c r="H661" i="3" s="1"/>
  <c r="K661" i="3" s="1"/>
  <c r="AE661" i="3" s="1"/>
  <c r="D661" i="3"/>
  <c r="AH661" i="3"/>
  <c r="AG661" i="3"/>
  <c r="V661" i="3" l="1"/>
  <c r="A662" i="3"/>
  <c r="B662" i="3" s="1"/>
  <c r="F661" i="3"/>
  <c r="G661" i="3"/>
  <c r="I661" i="3" l="1"/>
  <c r="W661" i="3" s="1"/>
  <c r="J661" i="3"/>
  <c r="M661" i="3"/>
  <c r="N661" i="3" s="1"/>
  <c r="P662" i="3"/>
  <c r="Q662" i="3" s="1"/>
  <c r="R662" i="3" s="1"/>
  <c r="S662" i="3" s="1"/>
  <c r="Z662" i="3"/>
  <c r="AD662" i="3"/>
  <c r="AA662" i="3"/>
  <c r="AC662" i="3"/>
  <c r="T662" i="3" l="1"/>
  <c r="L661" i="3"/>
  <c r="AH662" i="3" l="1"/>
  <c r="AG662" i="3"/>
  <c r="U661" i="3"/>
  <c r="E662" i="3" s="1"/>
  <c r="H662" i="3" s="1"/>
  <c r="Y660" i="3"/>
  <c r="D662" i="3" l="1"/>
  <c r="F662" i="3" s="1"/>
  <c r="K662" i="3"/>
  <c r="AE662" i="3" s="1"/>
  <c r="G662" i="3" l="1"/>
  <c r="I662" i="3" s="1"/>
  <c r="V662" i="3"/>
  <c r="A663" i="3"/>
  <c r="B663" i="3" s="1"/>
  <c r="J662" i="3" l="1"/>
  <c r="L662" i="3" s="1"/>
  <c r="M662" i="3"/>
  <c r="N662" i="3" s="1"/>
  <c r="W662" i="3"/>
  <c r="AA663" i="3"/>
  <c r="Z663" i="3"/>
  <c r="P663" i="3"/>
  <c r="Q663" i="3" s="1"/>
  <c r="R663" i="3" s="1"/>
  <c r="S663" i="3" s="1"/>
  <c r="AC663" i="3"/>
  <c r="AD663" i="3"/>
  <c r="U662" i="3" l="1"/>
  <c r="Y661" i="3"/>
  <c r="T663" i="3"/>
  <c r="E663" i="3" l="1"/>
  <c r="H663" i="3" s="1"/>
  <c r="K663" i="3" s="1"/>
  <c r="AE663" i="3" s="1"/>
  <c r="AG663" i="3"/>
  <c r="AH663" i="3"/>
  <c r="D663" i="3"/>
  <c r="F663" i="3" l="1"/>
  <c r="G663" i="3"/>
  <c r="V663" i="3"/>
  <c r="A664" i="3"/>
  <c r="B664" i="3" s="1"/>
  <c r="P664" i="3" l="1"/>
  <c r="Q664" i="3" s="1"/>
  <c r="R664" i="3" s="1"/>
  <c r="S664" i="3" s="1"/>
  <c r="AA664" i="3"/>
  <c r="AC664" i="3"/>
  <c r="Z664" i="3"/>
  <c r="I663" i="3"/>
  <c r="W663" i="3" s="1"/>
  <c r="J663" i="3"/>
  <c r="M663" i="3"/>
  <c r="N663" i="3" s="1"/>
  <c r="T664" i="3" l="1"/>
  <c r="L663" i="3"/>
  <c r="AH664" i="3" l="1"/>
  <c r="U663" i="3"/>
  <c r="E664" i="3" s="1"/>
  <c r="H664" i="3" s="1"/>
  <c r="AG664" i="3"/>
  <c r="Y662" i="3"/>
  <c r="D664" i="3" l="1"/>
  <c r="G664" i="3" s="1"/>
  <c r="K664" i="3"/>
  <c r="AE664" i="3" s="1"/>
  <c r="F664" i="3" l="1"/>
  <c r="I664" i="3"/>
  <c r="J664" i="3"/>
  <c r="AD664" i="3" s="1"/>
  <c r="M664" i="3"/>
  <c r="N664" i="3" s="1"/>
  <c r="V664" i="3"/>
  <c r="A665" i="3"/>
  <c r="B665" i="3" s="1"/>
  <c r="W664" i="3" l="1"/>
  <c r="L664" i="3"/>
  <c r="AC665" i="3"/>
  <c r="P665" i="3"/>
  <c r="Q665" i="3" s="1"/>
  <c r="R665" i="3" s="1"/>
  <c r="S665" i="3" s="1"/>
  <c r="AA665" i="3"/>
  <c r="Z665" i="3"/>
  <c r="AD665" i="3"/>
  <c r="U664" i="3" l="1"/>
  <c r="Y663" i="3"/>
  <c r="T665" i="3"/>
  <c r="D665" i="3" l="1"/>
  <c r="G665" i="3" s="1"/>
  <c r="AG665" i="3"/>
  <c r="E665" i="3"/>
  <c r="H665" i="3" s="1"/>
  <c r="AH665" i="3"/>
  <c r="F665" i="3" l="1"/>
  <c r="I665" i="3"/>
  <c r="J665" i="3"/>
  <c r="M665" i="3"/>
  <c r="N665" i="3" s="1"/>
  <c r="K665" i="3"/>
  <c r="AE665" i="3" s="1"/>
  <c r="L665" i="3" l="1"/>
  <c r="V665" i="3"/>
  <c r="W665" i="3" s="1"/>
  <c r="A666" i="3"/>
  <c r="B666" i="3" s="1"/>
  <c r="U665" i="3" l="1"/>
  <c r="Y664" i="3"/>
  <c r="AA666" i="3"/>
  <c r="AD666" i="3"/>
  <c r="P666" i="3"/>
  <c r="Q666" i="3" s="1"/>
  <c r="R666" i="3" s="1"/>
  <c r="S666" i="3" s="1"/>
  <c r="Z666" i="3"/>
  <c r="AC666" i="3"/>
  <c r="T666" i="3" l="1"/>
  <c r="D666" i="3" s="1"/>
  <c r="AG666" i="3" l="1"/>
  <c r="E666" i="3"/>
  <c r="H666" i="3" s="1"/>
  <c r="K666" i="3" s="1"/>
  <c r="AE666" i="3" s="1"/>
  <c r="AH666" i="3"/>
  <c r="G666" i="3"/>
  <c r="F666" i="3" l="1"/>
  <c r="I666" i="3"/>
  <c r="J666" i="3"/>
  <c r="M666" i="3"/>
  <c r="N666" i="3" s="1"/>
  <c r="V666" i="3"/>
  <c r="A667" i="3"/>
  <c r="B667" i="3" s="1"/>
  <c r="L666" i="3" l="1"/>
  <c r="W666" i="3"/>
  <c r="AC667" i="3"/>
  <c r="Z667" i="3"/>
  <c r="P667" i="3"/>
  <c r="Q667" i="3" s="1"/>
  <c r="R667" i="3" s="1"/>
  <c r="S667" i="3" s="1"/>
  <c r="AA667" i="3"/>
  <c r="U666" i="3" l="1"/>
  <c r="Y665" i="3"/>
  <c r="T667" i="3"/>
  <c r="AG667" i="3" s="1"/>
  <c r="D667" i="3" l="1"/>
  <c r="E667" i="3"/>
  <c r="H667" i="3" s="1"/>
  <c r="AH667" i="3"/>
  <c r="F667" i="3" l="1"/>
  <c r="G667" i="3"/>
  <c r="K667" i="3"/>
  <c r="AE667" i="3" s="1"/>
  <c r="I667" i="3" l="1"/>
  <c r="J667" i="3"/>
  <c r="AD667" i="3" s="1"/>
  <c r="M667" i="3"/>
  <c r="N667" i="3" s="1"/>
  <c r="V667" i="3"/>
  <c r="A668" i="3"/>
  <c r="B668" i="3" s="1"/>
  <c r="W667" i="3" l="1"/>
  <c r="L667" i="3"/>
  <c r="Z668" i="3"/>
  <c r="P668" i="3"/>
  <c r="Q668" i="3" s="1"/>
  <c r="R668" i="3" s="1"/>
  <c r="S668" i="3" s="1"/>
  <c r="AC668" i="3"/>
  <c r="AA668" i="3"/>
  <c r="T668" i="3" l="1"/>
  <c r="AH668" i="3" s="1"/>
  <c r="U667" i="3"/>
  <c r="Y666" i="3"/>
  <c r="D668" i="3" l="1"/>
  <c r="G668" i="3" s="1"/>
  <c r="AG668" i="3"/>
  <c r="E668" i="3"/>
  <c r="H668" i="3" s="1"/>
  <c r="F668" i="3" l="1"/>
  <c r="I668" i="3"/>
  <c r="J668" i="3"/>
  <c r="AD668" i="3" s="1"/>
  <c r="M668" i="3"/>
  <c r="N668" i="3" s="1"/>
  <c r="K668" i="3"/>
  <c r="AE668" i="3" s="1"/>
  <c r="L668" i="3" l="1"/>
  <c r="V668" i="3"/>
  <c r="W668" i="3" s="1"/>
  <c r="A669" i="3"/>
  <c r="B669" i="3" s="1"/>
  <c r="AA669" i="3" l="1"/>
  <c r="P669" i="3"/>
  <c r="Q669" i="3" s="1"/>
  <c r="R669" i="3" s="1"/>
  <c r="S669" i="3" s="1"/>
  <c r="AD669" i="3"/>
  <c r="AC669" i="3"/>
  <c r="Z669" i="3"/>
  <c r="U668" i="3"/>
  <c r="Y667" i="3"/>
  <c r="T669" i="3" l="1"/>
  <c r="AH669" i="3" l="1"/>
  <c r="AG669" i="3"/>
  <c r="D669" i="3"/>
  <c r="E669" i="3"/>
  <c r="H669" i="3" s="1"/>
  <c r="F669" i="3" l="1"/>
  <c r="G669" i="3"/>
  <c r="K669" i="3"/>
  <c r="AE669" i="3" s="1"/>
  <c r="V669" i="3" l="1"/>
  <c r="A670" i="3"/>
  <c r="B670" i="3" s="1"/>
  <c r="I669" i="3"/>
  <c r="J669" i="3"/>
  <c r="M669" i="3"/>
  <c r="N669" i="3" s="1"/>
  <c r="L669" i="3" l="1"/>
  <c r="W669" i="3"/>
  <c r="AD670" i="3"/>
  <c r="P670" i="3"/>
  <c r="Q670" i="3" s="1"/>
  <c r="R670" i="3" s="1"/>
  <c r="S670" i="3" s="1"/>
  <c r="AA670" i="3"/>
  <c r="Z670" i="3"/>
  <c r="AC670" i="3"/>
  <c r="T670" i="3" l="1"/>
  <c r="U669" i="3"/>
  <c r="Y668" i="3"/>
  <c r="E670" i="3" l="1"/>
  <c r="H670" i="3" s="1"/>
  <c r="K670" i="3" s="1"/>
  <c r="AE670" i="3" s="1"/>
  <c r="AH670" i="3"/>
  <c r="AG670" i="3"/>
  <c r="D670" i="3"/>
  <c r="V670" i="3" l="1"/>
  <c r="A671" i="3"/>
  <c r="B671" i="3" s="1"/>
  <c r="F670" i="3"/>
  <c r="G670" i="3"/>
  <c r="I670" i="3" l="1"/>
  <c r="W670" i="3" s="1"/>
  <c r="J670" i="3"/>
  <c r="M670" i="3"/>
  <c r="N670" i="3" s="1"/>
  <c r="AC671" i="3"/>
  <c r="Z671" i="3"/>
  <c r="AD671" i="3"/>
  <c r="AA671" i="3"/>
  <c r="P671" i="3"/>
  <c r="Q671" i="3" s="1"/>
  <c r="R671" i="3" s="1"/>
  <c r="S671" i="3" s="1"/>
  <c r="T671" i="3" l="1"/>
  <c r="L670" i="3"/>
  <c r="U670" i="3" l="1"/>
  <c r="E671" i="3" s="1"/>
  <c r="H671" i="3" s="1"/>
  <c r="AG671" i="3"/>
  <c r="AH671" i="3"/>
  <c r="Y669" i="3"/>
  <c r="D671" i="3" l="1"/>
  <c r="G671" i="3" s="1"/>
  <c r="K671" i="3"/>
  <c r="AE671" i="3" s="1"/>
  <c r="F671" i="3" l="1"/>
  <c r="V671" i="3"/>
  <c r="A672" i="3"/>
  <c r="B672" i="3" s="1"/>
  <c r="I671" i="3"/>
  <c r="J671" i="3"/>
  <c r="M671" i="3"/>
  <c r="N671" i="3" s="1"/>
  <c r="W671" i="3" l="1"/>
  <c r="L671" i="3"/>
  <c r="AD672" i="3"/>
  <c r="P672" i="3"/>
  <c r="Q672" i="3" s="1"/>
  <c r="R672" i="3" s="1"/>
  <c r="S672" i="3" s="1"/>
  <c r="AC672" i="3"/>
  <c r="Z672" i="3"/>
  <c r="AA672" i="3"/>
  <c r="T672" i="3" l="1"/>
  <c r="AG672" i="3" s="1"/>
  <c r="U671" i="3"/>
  <c r="Y670" i="3"/>
  <c r="E672" i="3" l="1"/>
  <c r="H672" i="3" s="1"/>
  <c r="K672" i="3" s="1"/>
  <c r="AE672" i="3" s="1"/>
  <c r="D672" i="3"/>
  <c r="AH672" i="3"/>
  <c r="F672" i="3" l="1"/>
  <c r="G672" i="3"/>
  <c r="V672" i="3"/>
  <c r="A673" i="3"/>
  <c r="B673" i="3" s="1"/>
  <c r="AC673" i="3" l="1"/>
  <c r="AA673" i="3"/>
  <c r="P673" i="3"/>
  <c r="Q673" i="3" s="1"/>
  <c r="R673" i="3" s="1"/>
  <c r="S673" i="3" s="1"/>
  <c r="AD673" i="3"/>
  <c r="Z673" i="3"/>
  <c r="I672" i="3"/>
  <c r="W672" i="3" s="1"/>
  <c r="J672" i="3"/>
  <c r="M672" i="3"/>
  <c r="N672" i="3" s="1"/>
  <c r="L672" i="3" l="1"/>
  <c r="T673" i="3"/>
  <c r="AH673" i="3" l="1"/>
  <c r="AG673" i="3"/>
  <c r="U672" i="3"/>
  <c r="E673" i="3" s="1"/>
  <c r="H673" i="3" s="1"/>
  <c r="Y671" i="3"/>
  <c r="K673" i="3" l="1"/>
  <c r="AE673" i="3" s="1"/>
  <c r="D673" i="3"/>
  <c r="V673" i="3" l="1"/>
  <c r="A674" i="3"/>
  <c r="B674" i="3" s="1"/>
  <c r="F673" i="3"/>
  <c r="G673" i="3"/>
  <c r="I673" i="3" l="1"/>
  <c r="W673" i="3" s="1"/>
  <c r="J673" i="3"/>
  <c r="M673" i="3"/>
  <c r="N673" i="3" s="1"/>
  <c r="P674" i="3"/>
  <c r="Q674" i="3" s="1"/>
  <c r="R674" i="3" s="1"/>
  <c r="S674" i="3" s="1"/>
  <c r="AA674" i="3"/>
  <c r="Z674" i="3"/>
  <c r="AC674" i="3"/>
  <c r="T674" i="3" l="1"/>
  <c r="L673" i="3"/>
  <c r="AH674" i="3" l="1"/>
  <c r="U673" i="3"/>
  <c r="E674" i="3" s="1"/>
  <c r="H674" i="3" s="1"/>
  <c r="AG674" i="3"/>
  <c r="Y672" i="3"/>
  <c r="D674" i="3" l="1"/>
  <c r="G674" i="3" s="1"/>
  <c r="K674" i="3"/>
  <c r="AE674" i="3" s="1"/>
  <c r="F674" i="3" l="1"/>
  <c r="I674" i="3"/>
  <c r="J674" i="3"/>
  <c r="AD674" i="3" s="1"/>
  <c r="M674" i="3"/>
  <c r="N674" i="3" s="1"/>
  <c r="V674" i="3"/>
  <c r="A675" i="3"/>
  <c r="B675" i="3" s="1"/>
  <c r="W674" i="3" l="1"/>
  <c r="L674" i="3"/>
  <c r="P675" i="3"/>
  <c r="Q675" i="3" s="1"/>
  <c r="R675" i="3" s="1"/>
  <c r="S675" i="3" s="1"/>
  <c r="AA675" i="3"/>
  <c r="AC675" i="3"/>
  <c r="Z675" i="3"/>
  <c r="U674" i="3" l="1"/>
  <c r="Y673" i="3"/>
  <c r="T675" i="3"/>
  <c r="AH675" i="3" s="1"/>
  <c r="AG675" i="3" l="1"/>
  <c r="D675" i="3"/>
  <c r="E675" i="3"/>
  <c r="H675" i="3" s="1"/>
  <c r="F675" i="3" l="1"/>
  <c r="G675" i="3"/>
  <c r="K675" i="3"/>
  <c r="AE675" i="3" s="1"/>
  <c r="I675" i="3" l="1"/>
  <c r="J675" i="3"/>
  <c r="AD675" i="3" s="1"/>
  <c r="M675" i="3"/>
  <c r="N675" i="3" s="1"/>
  <c r="V675" i="3"/>
  <c r="A676" i="3"/>
  <c r="B676" i="3" s="1"/>
  <c r="W675" i="3" l="1"/>
  <c r="L675" i="3"/>
  <c r="AC676" i="3"/>
  <c r="P676" i="3"/>
  <c r="Q676" i="3" s="1"/>
  <c r="R676" i="3" s="1"/>
  <c r="S676" i="3" s="1"/>
  <c r="Z676" i="3"/>
  <c r="AA676" i="3"/>
  <c r="T676" i="3" l="1"/>
  <c r="U675" i="3"/>
  <c r="Y674" i="3"/>
  <c r="E676" i="3" l="1"/>
  <c r="H676" i="3" s="1"/>
  <c r="K676" i="3" s="1"/>
  <c r="AE676" i="3" s="1"/>
  <c r="AH676" i="3"/>
  <c r="D676" i="3"/>
  <c r="G676" i="3" s="1"/>
  <c r="AG676" i="3"/>
  <c r="F676" i="3" l="1"/>
  <c r="I676" i="3"/>
  <c r="J676" i="3"/>
  <c r="AD676" i="3" s="1"/>
  <c r="M676" i="3"/>
  <c r="N676" i="3" s="1"/>
  <c r="V676" i="3"/>
  <c r="A677" i="3"/>
  <c r="B677" i="3" s="1"/>
  <c r="W676" i="3" l="1"/>
  <c r="L676" i="3"/>
  <c r="AA677" i="3"/>
  <c r="AC677" i="3"/>
  <c r="Z677" i="3"/>
  <c r="P677" i="3"/>
  <c r="Q677" i="3" s="1"/>
  <c r="R677" i="3" s="1"/>
  <c r="S677" i="3" s="1"/>
  <c r="U676" i="3" l="1"/>
  <c r="Y675" i="3"/>
  <c r="T677" i="3"/>
  <c r="AG677" i="3" s="1"/>
  <c r="D677" i="3" l="1"/>
  <c r="G677" i="3" s="1"/>
  <c r="AH677" i="3"/>
  <c r="E677" i="3"/>
  <c r="H677" i="3" s="1"/>
  <c r="F677" i="3" l="1"/>
  <c r="I677" i="3"/>
  <c r="J677" i="3"/>
  <c r="AD677" i="3" s="1"/>
  <c r="M677" i="3"/>
  <c r="N677" i="3" s="1"/>
  <c r="K677" i="3"/>
  <c r="AE677" i="3" s="1"/>
  <c r="V677" i="3" l="1"/>
  <c r="W677" i="3" s="1"/>
  <c r="A678" i="3"/>
  <c r="B678" i="3" s="1"/>
  <c r="L677" i="3"/>
  <c r="U677" i="3" l="1"/>
  <c r="Y676" i="3"/>
  <c r="P678" i="3"/>
  <c r="Q678" i="3" s="1"/>
  <c r="R678" i="3" s="1"/>
  <c r="S678" i="3" s="1"/>
  <c r="Z678" i="3"/>
  <c r="AC678" i="3"/>
  <c r="AA678" i="3"/>
  <c r="T678" i="3" l="1"/>
  <c r="AH678" i="3" s="1"/>
  <c r="E678" i="3" l="1"/>
  <c r="H678" i="3" s="1"/>
  <c r="K678" i="3" s="1"/>
  <c r="AE678" i="3" s="1"/>
  <c r="D678" i="3"/>
  <c r="AG678" i="3"/>
  <c r="F678" i="3" l="1"/>
  <c r="G678" i="3"/>
  <c r="J678" i="3" s="1"/>
  <c r="AD678" i="3" s="1"/>
  <c r="V678" i="3"/>
  <c r="A679" i="3"/>
  <c r="B679" i="3" s="1"/>
  <c r="M678" i="3" l="1"/>
  <c r="N678" i="3" s="1"/>
  <c r="I678" i="3"/>
  <c r="W678" i="3" s="1"/>
  <c r="L678" i="3"/>
  <c r="P679" i="3"/>
  <c r="Q679" i="3" s="1"/>
  <c r="R679" i="3" s="1"/>
  <c r="S679" i="3" s="1"/>
  <c r="AA679" i="3"/>
  <c r="Z679" i="3"/>
  <c r="AC679" i="3"/>
  <c r="T679" i="3" l="1"/>
  <c r="U678" i="3"/>
  <c r="Y677" i="3"/>
  <c r="E679" i="3" l="1"/>
  <c r="H679" i="3" s="1"/>
  <c r="K679" i="3" s="1"/>
  <c r="AE679" i="3" s="1"/>
  <c r="AH679" i="3"/>
  <c r="AG679" i="3"/>
  <c r="D679" i="3"/>
  <c r="F679" i="3" l="1"/>
  <c r="G679" i="3"/>
  <c r="V679" i="3"/>
  <c r="A680" i="3"/>
  <c r="B680" i="3" s="1"/>
  <c r="AC680" i="3" l="1"/>
  <c r="P680" i="3"/>
  <c r="Q680" i="3" s="1"/>
  <c r="R680" i="3" s="1"/>
  <c r="S680" i="3" s="1"/>
  <c r="AA680" i="3"/>
  <c r="Z680" i="3"/>
  <c r="I679" i="3"/>
  <c r="W679" i="3" s="1"/>
  <c r="J679" i="3"/>
  <c r="AD679" i="3" s="1"/>
  <c r="M679" i="3"/>
  <c r="N679" i="3" s="1"/>
  <c r="L679" i="3" l="1"/>
  <c r="T680" i="3"/>
  <c r="AH680" i="3" l="1"/>
  <c r="U679" i="3"/>
  <c r="E680" i="3" s="1"/>
  <c r="H680" i="3" s="1"/>
  <c r="AG680" i="3"/>
  <c r="Y678" i="3"/>
  <c r="D680" i="3" l="1"/>
  <c r="G680" i="3" s="1"/>
  <c r="K680" i="3"/>
  <c r="AE680" i="3" s="1"/>
  <c r="F680" i="3" l="1"/>
  <c r="I680" i="3"/>
  <c r="J680" i="3"/>
  <c r="AD680" i="3" s="1"/>
  <c r="M680" i="3"/>
  <c r="N680" i="3" s="1"/>
  <c r="V680" i="3"/>
  <c r="A681" i="3"/>
  <c r="B681" i="3" s="1"/>
  <c r="W680" i="3" l="1"/>
  <c r="L680" i="3"/>
  <c r="AA681" i="3"/>
  <c r="P681" i="3"/>
  <c r="Q681" i="3" s="1"/>
  <c r="R681" i="3" s="1"/>
  <c r="S681" i="3" s="1"/>
  <c r="Z681" i="3"/>
  <c r="AC681" i="3"/>
  <c r="U680" i="3" l="1"/>
  <c r="Y679" i="3"/>
  <c r="T681" i="3"/>
  <c r="E681" i="3" l="1"/>
  <c r="H681" i="3" s="1"/>
  <c r="K681" i="3" s="1"/>
  <c r="AE681" i="3" s="1"/>
  <c r="AG681" i="3"/>
  <c r="AH681" i="3"/>
  <c r="D681" i="3"/>
  <c r="F681" i="3" l="1"/>
  <c r="G681" i="3"/>
  <c r="V681" i="3"/>
  <c r="A682" i="3"/>
  <c r="B682" i="3" s="1"/>
  <c r="Z682" i="3" l="1"/>
  <c r="P682" i="3"/>
  <c r="Q682" i="3" s="1"/>
  <c r="R682" i="3" s="1"/>
  <c r="S682" i="3" s="1"/>
  <c r="AC682" i="3"/>
  <c r="AA682" i="3"/>
  <c r="I681" i="3"/>
  <c r="W681" i="3" s="1"/>
  <c r="J681" i="3"/>
  <c r="AD681" i="3" s="1"/>
  <c r="M681" i="3"/>
  <c r="N681" i="3" s="1"/>
  <c r="L681" i="3" l="1"/>
  <c r="T682" i="3"/>
  <c r="U681" i="3" l="1"/>
  <c r="E682" i="3" s="1"/>
  <c r="H682" i="3" s="1"/>
  <c r="AG682" i="3"/>
  <c r="AH682" i="3"/>
  <c r="Y680" i="3"/>
  <c r="D682" i="3" l="1"/>
  <c r="G682" i="3" s="1"/>
  <c r="K682" i="3"/>
  <c r="AE682" i="3" s="1"/>
  <c r="F682" i="3" l="1"/>
  <c r="V682" i="3"/>
  <c r="A683" i="3"/>
  <c r="B683" i="3" s="1"/>
  <c r="I682" i="3"/>
  <c r="J682" i="3"/>
  <c r="AD682" i="3" s="1"/>
  <c r="M682" i="3"/>
  <c r="N682" i="3" s="1"/>
  <c r="W682" i="3" l="1"/>
  <c r="L682" i="3"/>
  <c r="P683" i="3"/>
  <c r="Q683" i="3" s="1"/>
  <c r="R683" i="3" s="1"/>
  <c r="S683" i="3" s="1"/>
  <c r="AC683" i="3"/>
  <c r="AA683" i="3"/>
  <c r="Z683" i="3"/>
  <c r="U682" i="3" l="1"/>
  <c r="Y681" i="3"/>
  <c r="T683" i="3"/>
  <c r="E683" i="3" l="1"/>
  <c r="H683" i="3" s="1"/>
  <c r="K683" i="3" s="1"/>
  <c r="AE683" i="3" s="1"/>
  <c r="AH683" i="3"/>
  <c r="AG683" i="3"/>
  <c r="D683" i="3"/>
  <c r="F683" i="3" l="1"/>
  <c r="G683" i="3"/>
  <c r="V683" i="3"/>
  <c r="A684" i="3"/>
  <c r="B684" i="3" s="1"/>
  <c r="Z684" i="3" l="1"/>
  <c r="AA684" i="3"/>
  <c r="AC684" i="3"/>
  <c r="P684" i="3"/>
  <c r="Q684" i="3" s="1"/>
  <c r="R684" i="3" s="1"/>
  <c r="S684" i="3" s="1"/>
  <c r="I683" i="3"/>
  <c r="W683" i="3" s="1"/>
  <c r="J683" i="3"/>
  <c r="AD683" i="3" s="1"/>
  <c r="M683" i="3"/>
  <c r="N683" i="3" s="1"/>
  <c r="T684" i="3" l="1"/>
  <c r="L683" i="3"/>
  <c r="AH684" i="3" l="1"/>
  <c r="AG684" i="3"/>
  <c r="U683" i="3"/>
  <c r="D684" i="3" s="1"/>
  <c r="Y682" i="3"/>
  <c r="E684" i="3" l="1"/>
  <c r="H684" i="3" s="1"/>
  <c r="K684" i="3" s="1"/>
  <c r="AE684" i="3" s="1"/>
  <c r="G684" i="3"/>
  <c r="F684" i="3" l="1"/>
  <c r="V684" i="3"/>
  <c r="A685" i="3"/>
  <c r="B685" i="3" s="1"/>
  <c r="I684" i="3"/>
  <c r="J684" i="3"/>
  <c r="AD684" i="3" s="1"/>
  <c r="M684" i="3"/>
  <c r="N684" i="3" s="1"/>
  <c r="W684" i="3" l="1"/>
  <c r="L684" i="3"/>
  <c r="P685" i="3"/>
  <c r="Q685" i="3" s="1"/>
  <c r="R685" i="3" s="1"/>
  <c r="S685" i="3" s="1"/>
  <c r="Z685" i="3"/>
  <c r="AC685" i="3"/>
  <c r="AD685" i="3"/>
  <c r="AA685" i="3"/>
  <c r="U684" i="3" l="1"/>
  <c r="Y683" i="3"/>
  <c r="T685" i="3"/>
  <c r="AG685" i="3" s="1"/>
  <c r="D685" i="3" l="1"/>
  <c r="G685" i="3" s="1"/>
  <c r="E685" i="3"/>
  <c r="H685" i="3" s="1"/>
  <c r="AH685" i="3"/>
  <c r="F685" i="3" l="1"/>
  <c r="I685" i="3"/>
  <c r="J685" i="3"/>
  <c r="M685" i="3"/>
  <c r="N685" i="3" s="1"/>
  <c r="K685" i="3"/>
  <c r="AE685" i="3" s="1"/>
  <c r="V685" i="3" l="1"/>
  <c r="W685" i="3" s="1"/>
  <c r="A686" i="3"/>
  <c r="B686" i="3" s="1"/>
  <c r="L685" i="3"/>
  <c r="U685" i="3" l="1"/>
  <c r="Y684" i="3"/>
  <c r="AA686" i="3"/>
  <c r="AC686" i="3"/>
  <c r="AD686" i="3"/>
  <c r="P686" i="3"/>
  <c r="Q686" i="3" s="1"/>
  <c r="R686" i="3" s="1"/>
  <c r="S686" i="3" s="1"/>
  <c r="Z686" i="3"/>
  <c r="T686" i="3" l="1"/>
  <c r="D686" i="3" s="1"/>
  <c r="E686" i="3" l="1"/>
  <c r="H686" i="3" s="1"/>
  <c r="K686" i="3" s="1"/>
  <c r="AE686" i="3" s="1"/>
  <c r="AG686" i="3"/>
  <c r="AH686" i="3"/>
  <c r="G686" i="3"/>
  <c r="F686" i="3" l="1"/>
  <c r="V686" i="3"/>
  <c r="A687" i="3"/>
  <c r="B687" i="3" s="1"/>
  <c r="I686" i="3"/>
  <c r="J686" i="3"/>
  <c r="M686" i="3"/>
  <c r="N686" i="3" s="1"/>
  <c r="L686" i="3" l="1"/>
  <c r="W686" i="3"/>
  <c r="Z687" i="3"/>
  <c r="P687" i="3"/>
  <c r="Q687" i="3" s="1"/>
  <c r="R687" i="3" s="1"/>
  <c r="S687" i="3" s="1"/>
  <c r="AA687" i="3"/>
  <c r="AC687" i="3"/>
  <c r="U686" i="3" l="1"/>
  <c r="Y685" i="3"/>
  <c r="T687" i="3"/>
  <c r="AG687" i="3" s="1"/>
  <c r="AH687" i="3" l="1"/>
  <c r="D687" i="3"/>
  <c r="G687" i="3" s="1"/>
  <c r="E687" i="3"/>
  <c r="H687" i="3" s="1"/>
  <c r="K687" i="3" s="1"/>
  <c r="AE687" i="3" s="1"/>
  <c r="F687" i="3" l="1"/>
  <c r="I687" i="3"/>
  <c r="J687" i="3"/>
  <c r="AD687" i="3" s="1"/>
  <c r="M687" i="3"/>
  <c r="N687" i="3" s="1"/>
  <c r="V687" i="3"/>
  <c r="A688" i="3"/>
  <c r="B688" i="3" s="1"/>
  <c r="W687" i="3" l="1"/>
  <c r="L687" i="3"/>
  <c r="AC688" i="3"/>
  <c r="AA688" i="3"/>
  <c r="P688" i="3"/>
  <c r="Q688" i="3" s="1"/>
  <c r="R688" i="3" s="1"/>
  <c r="S688" i="3" s="1"/>
  <c r="Z688" i="3"/>
  <c r="U687" i="3" l="1"/>
  <c r="Y686" i="3"/>
  <c r="T688" i="3"/>
  <c r="AG688" i="3" s="1"/>
  <c r="E688" i="3" l="1"/>
  <c r="H688" i="3" s="1"/>
  <c r="K688" i="3" s="1"/>
  <c r="AE688" i="3" s="1"/>
  <c r="AH688" i="3"/>
  <c r="D688" i="3"/>
  <c r="F688" i="3" l="1"/>
  <c r="G688" i="3"/>
  <c r="V688" i="3"/>
  <c r="A689" i="3"/>
  <c r="B689" i="3" s="1"/>
  <c r="AA689" i="3" l="1"/>
  <c r="P689" i="3"/>
  <c r="Q689" i="3" s="1"/>
  <c r="R689" i="3" s="1"/>
  <c r="S689" i="3" s="1"/>
  <c r="Z689" i="3"/>
  <c r="AD689" i="3"/>
  <c r="AC689" i="3"/>
  <c r="I688" i="3"/>
  <c r="W688" i="3" s="1"/>
  <c r="J688" i="3"/>
  <c r="AD688" i="3" s="1"/>
  <c r="M688" i="3"/>
  <c r="N688" i="3" s="1"/>
  <c r="T689" i="3" l="1"/>
  <c r="L688" i="3"/>
  <c r="U688" i="3" l="1"/>
  <c r="D689" i="3" s="1"/>
  <c r="AG689" i="3"/>
  <c r="AH689" i="3"/>
  <c r="Y687" i="3"/>
  <c r="E689" i="3" l="1"/>
  <c r="H689" i="3" s="1"/>
  <c r="K689" i="3" s="1"/>
  <c r="AE689" i="3" s="1"/>
  <c r="G689" i="3"/>
  <c r="F689" i="3" l="1"/>
  <c r="I689" i="3"/>
  <c r="J689" i="3"/>
  <c r="M689" i="3"/>
  <c r="N689" i="3" s="1"/>
  <c r="V689" i="3"/>
  <c r="A690" i="3"/>
  <c r="B690" i="3" s="1"/>
  <c r="W689" i="3" l="1"/>
  <c r="L689" i="3"/>
  <c r="AA690" i="3"/>
  <c r="AC690" i="3"/>
  <c r="P690" i="3"/>
  <c r="Q690" i="3" s="1"/>
  <c r="R690" i="3" s="1"/>
  <c r="S690" i="3" s="1"/>
  <c r="AD690" i="3"/>
  <c r="Z690" i="3"/>
  <c r="U689" i="3" l="1"/>
  <c r="Y688" i="3"/>
  <c r="T690" i="3"/>
  <c r="AH690" i="3" s="1"/>
  <c r="D690" i="3" l="1"/>
  <c r="G690" i="3" s="1"/>
  <c r="E690" i="3"/>
  <c r="H690" i="3" s="1"/>
  <c r="K690" i="3" s="1"/>
  <c r="AE690" i="3" s="1"/>
  <c r="AG690" i="3"/>
  <c r="F690" i="3" l="1"/>
  <c r="I690" i="3"/>
  <c r="J690" i="3"/>
  <c r="M690" i="3"/>
  <c r="N690" i="3" s="1"/>
  <c r="V690" i="3"/>
  <c r="A691" i="3"/>
  <c r="B691" i="3" s="1"/>
  <c r="W690" i="3" l="1"/>
  <c r="L690" i="3"/>
  <c r="AA691" i="3"/>
  <c r="Z691" i="3"/>
  <c r="P691" i="3"/>
  <c r="Q691" i="3" s="1"/>
  <c r="R691" i="3" s="1"/>
  <c r="S691" i="3" s="1"/>
  <c r="AD691" i="3"/>
  <c r="AC691" i="3"/>
  <c r="T691" i="3" l="1"/>
  <c r="U690" i="3"/>
  <c r="Y689" i="3"/>
  <c r="D691" i="3" l="1"/>
  <c r="G691" i="3" s="1"/>
  <c r="AH691" i="3"/>
  <c r="E691" i="3"/>
  <c r="H691" i="3" s="1"/>
  <c r="AG691" i="3"/>
  <c r="F691" i="3" l="1"/>
  <c r="I691" i="3"/>
  <c r="J691" i="3"/>
  <c r="M691" i="3"/>
  <c r="N691" i="3" s="1"/>
  <c r="K691" i="3"/>
  <c r="AE691" i="3" s="1"/>
  <c r="V691" i="3" l="1"/>
  <c r="W691" i="3" s="1"/>
  <c r="A692" i="3"/>
  <c r="B692" i="3" s="1"/>
  <c r="L691" i="3"/>
  <c r="U691" i="3" l="1"/>
  <c r="Y690" i="3"/>
  <c r="AC692" i="3"/>
  <c r="AD692" i="3"/>
  <c r="AA692" i="3"/>
  <c r="Z692" i="3"/>
  <c r="P692" i="3"/>
  <c r="Q692" i="3" s="1"/>
  <c r="R692" i="3" s="1"/>
  <c r="S692" i="3" s="1"/>
  <c r="T692" i="3" l="1"/>
  <c r="E692" i="3" s="1"/>
  <c r="H692" i="3" s="1"/>
  <c r="D692" i="3" l="1"/>
  <c r="G692" i="3" s="1"/>
  <c r="AH692" i="3"/>
  <c r="K692" i="3"/>
  <c r="AE692" i="3" s="1"/>
  <c r="AG692" i="3"/>
  <c r="F692" i="3" l="1"/>
  <c r="I692" i="3"/>
  <c r="J692" i="3"/>
  <c r="M692" i="3"/>
  <c r="N692" i="3" s="1"/>
  <c r="V692" i="3"/>
  <c r="A693" i="3"/>
  <c r="B693" i="3" s="1"/>
  <c r="W692" i="3" l="1"/>
  <c r="L692" i="3"/>
  <c r="AC693" i="3"/>
  <c r="AA693" i="3"/>
  <c r="AD693" i="3"/>
  <c r="P693" i="3"/>
  <c r="Q693" i="3" s="1"/>
  <c r="R693" i="3" s="1"/>
  <c r="S693" i="3" s="1"/>
  <c r="Z693" i="3"/>
  <c r="U692" i="3" l="1"/>
  <c r="Y691" i="3"/>
  <c r="T693" i="3"/>
  <c r="AG693" i="3" s="1"/>
  <c r="D693" i="3" l="1"/>
  <c r="G693" i="3" s="1"/>
  <c r="E693" i="3"/>
  <c r="H693" i="3" s="1"/>
  <c r="K693" i="3" s="1"/>
  <c r="AE693" i="3" s="1"/>
  <c r="AH693" i="3"/>
  <c r="F693" i="3" l="1"/>
  <c r="V693" i="3"/>
  <c r="A694" i="3"/>
  <c r="B694" i="3" s="1"/>
  <c r="I693" i="3"/>
  <c r="J693" i="3"/>
  <c r="M693" i="3"/>
  <c r="N693" i="3" s="1"/>
  <c r="W693" i="3" l="1"/>
  <c r="L693" i="3"/>
  <c r="AA694" i="3"/>
  <c r="AC694" i="3"/>
  <c r="P694" i="3"/>
  <c r="Q694" i="3" s="1"/>
  <c r="R694" i="3" s="1"/>
  <c r="S694" i="3" s="1"/>
  <c r="Z694" i="3"/>
  <c r="U693" i="3" l="1"/>
  <c r="Y692" i="3"/>
  <c r="T694" i="3"/>
  <c r="AG694" i="3" s="1"/>
  <c r="E694" i="3" l="1"/>
  <c r="H694" i="3" s="1"/>
  <c r="K694" i="3" s="1"/>
  <c r="AE694" i="3" s="1"/>
  <c r="AH694" i="3"/>
  <c r="D694" i="3"/>
  <c r="G694" i="3" s="1"/>
  <c r="F694" i="3" l="1"/>
  <c r="I694" i="3"/>
  <c r="J694" i="3"/>
  <c r="AD694" i="3" s="1"/>
  <c r="M694" i="3"/>
  <c r="N694" i="3" s="1"/>
  <c r="V694" i="3"/>
  <c r="A695" i="3"/>
  <c r="B695" i="3" s="1"/>
  <c r="W694" i="3" l="1"/>
  <c r="L694" i="3"/>
  <c r="Z695" i="3"/>
  <c r="P695" i="3"/>
  <c r="Q695" i="3" s="1"/>
  <c r="R695" i="3" s="1"/>
  <c r="S695" i="3" s="1"/>
  <c r="AC695" i="3"/>
  <c r="AA695" i="3"/>
  <c r="U694" i="3" l="1"/>
  <c r="Y693" i="3"/>
  <c r="T695" i="3"/>
  <c r="E695" i="3" l="1"/>
  <c r="H695" i="3" s="1"/>
  <c r="K695" i="3" s="1"/>
  <c r="AE695" i="3" s="1"/>
  <c r="D695" i="3"/>
  <c r="AG695" i="3"/>
  <c r="AH695" i="3"/>
  <c r="V695" i="3" l="1"/>
  <c r="A696" i="3"/>
  <c r="B696" i="3" s="1"/>
  <c r="F695" i="3"/>
  <c r="G695" i="3"/>
  <c r="I695" i="3" l="1"/>
  <c r="W695" i="3" s="1"/>
  <c r="J695" i="3"/>
  <c r="AD695" i="3" s="1"/>
  <c r="M695" i="3"/>
  <c r="N695" i="3" s="1"/>
  <c r="AA696" i="3"/>
  <c r="Z696" i="3"/>
  <c r="P696" i="3"/>
  <c r="Q696" i="3" s="1"/>
  <c r="R696" i="3" s="1"/>
  <c r="S696" i="3" s="1"/>
  <c r="AC696" i="3"/>
  <c r="T696" i="3" l="1"/>
  <c r="L695" i="3"/>
  <c r="AH696" i="3" l="1"/>
  <c r="U695" i="3"/>
  <c r="D696" i="3" s="1"/>
  <c r="AG696" i="3"/>
  <c r="Y694" i="3"/>
  <c r="E696" i="3" l="1"/>
  <c r="H696" i="3" s="1"/>
  <c r="K696" i="3" s="1"/>
  <c r="AE696" i="3" s="1"/>
  <c r="G696" i="3"/>
  <c r="F696" i="3" l="1"/>
  <c r="V696" i="3"/>
  <c r="A697" i="3"/>
  <c r="B697" i="3" s="1"/>
  <c r="I696" i="3"/>
  <c r="J696" i="3"/>
  <c r="AD696" i="3" s="1"/>
  <c r="M696" i="3"/>
  <c r="N696" i="3" s="1"/>
  <c r="W696" i="3" l="1"/>
  <c r="P697" i="3"/>
  <c r="Q697" i="3" s="1"/>
  <c r="R697" i="3" s="1"/>
  <c r="S697" i="3" s="1"/>
  <c r="Z697" i="3"/>
  <c r="AA697" i="3"/>
  <c r="AC697" i="3"/>
  <c r="L696" i="3"/>
  <c r="U696" i="3" l="1"/>
  <c r="Y695" i="3"/>
  <c r="T697" i="3"/>
  <c r="E697" i="3" l="1"/>
  <c r="H697" i="3" s="1"/>
  <c r="K697" i="3" s="1"/>
  <c r="AE697" i="3" s="1"/>
  <c r="D697" i="3"/>
  <c r="AH697" i="3"/>
  <c r="AG697" i="3"/>
  <c r="F697" i="3" l="1"/>
  <c r="G697" i="3"/>
  <c r="M697" i="3" s="1"/>
  <c r="N697" i="3" s="1"/>
  <c r="V697" i="3"/>
  <c r="A698" i="3"/>
  <c r="B698" i="3" s="1"/>
  <c r="I697" i="3" l="1"/>
  <c r="W697" i="3" s="1"/>
  <c r="J697" i="3"/>
  <c r="AA698" i="3"/>
  <c r="Z698" i="3"/>
  <c r="AC698" i="3"/>
  <c r="P698" i="3"/>
  <c r="Q698" i="3" s="1"/>
  <c r="R698" i="3" s="1"/>
  <c r="S698" i="3" s="1"/>
  <c r="L697" i="3" l="1"/>
  <c r="U697" i="3" s="1"/>
  <c r="AD697" i="3"/>
  <c r="T698" i="3"/>
  <c r="Y696" i="3" l="1"/>
  <c r="AG698" i="3"/>
  <c r="E698" i="3"/>
  <c r="H698" i="3" s="1"/>
  <c r="K698" i="3" s="1"/>
  <c r="AE698" i="3" s="1"/>
  <c r="AH698" i="3"/>
  <c r="D698" i="3"/>
  <c r="F698" i="3" l="1"/>
  <c r="G698" i="3"/>
  <c r="J698" i="3" s="1"/>
  <c r="AD698" i="3" s="1"/>
  <c r="V698" i="3"/>
  <c r="A699" i="3"/>
  <c r="B699" i="3" s="1"/>
  <c r="M698" i="3" l="1"/>
  <c r="N698" i="3" s="1"/>
  <c r="I698" i="3"/>
  <c r="W698" i="3" s="1"/>
  <c r="L698" i="3"/>
  <c r="Z699" i="3"/>
  <c r="P699" i="3"/>
  <c r="Q699" i="3" s="1"/>
  <c r="R699" i="3" s="1"/>
  <c r="S699" i="3" s="1"/>
  <c r="AA699" i="3"/>
  <c r="AC699" i="3"/>
  <c r="T699" i="3" l="1"/>
  <c r="U698" i="3"/>
  <c r="Y697" i="3"/>
  <c r="D699" i="3" l="1"/>
  <c r="G699" i="3" s="1"/>
  <c r="AG699" i="3"/>
  <c r="AH699" i="3"/>
  <c r="E699" i="3"/>
  <c r="H699" i="3" s="1"/>
  <c r="K699" i="3" l="1"/>
  <c r="AE699" i="3" s="1"/>
  <c r="I699" i="3"/>
  <c r="J699" i="3"/>
  <c r="AD699" i="3" s="1"/>
  <c r="M699" i="3"/>
  <c r="N699" i="3" s="1"/>
  <c r="F699" i="3"/>
  <c r="L699" i="3" l="1"/>
  <c r="V699" i="3"/>
  <c r="W699" i="3" s="1"/>
  <c r="A700" i="3"/>
  <c r="B700" i="3" s="1"/>
  <c r="U699" i="3" l="1"/>
  <c r="Y698" i="3"/>
  <c r="Z700" i="3"/>
  <c r="P700" i="3"/>
  <c r="Q700" i="3" s="1"/>
  <c r="R700" i="3" s="1"/>
  <c r="S700" i="3" s="1"/>
  <c r="AC700" i="3"/>
  <c r="AA700" i="3"/>
  <c r="T700" i="3" l="1"/>
  <c r="D700" i="3" s="1"/>
  <c r="AH700" i="3" l="1"/>
  <c r="AG700" i="3"/>
  <c r="E700" i="3"/>
  <c r="H700" i="3" s="1"/>
  <c r="K700" i="3" s="1"/>
  <c r="AE700" i="3" s="1"/>
  <c r="G700" i="3"/>
  <c r="F700" i="3" l="1"/>
  <c r="I700" i="3"/>
  <c r="J700" i="3"/>
  <c r="AD700" i="3" s="1"/>
  <c r="M700" i="3"/>
  <c r="N700" i="3" s="1"/>
  <c r="V700" i="3"/>
  <c r="A701" i="3"/>
  <c r="B701" i="3" s="1"/>
  <c r="W700" i="3" l="1"/>
  <c r="L700" i="3"/>
  <c r="AC701" i="3"/>
  <c r="AA701" i="3"/>
  <c r="Z701" i="3"/>
  <c r="P701" i="3"/>
  <c r="Q701" i="3" s="1"/>
  <c r="R701" i="3" s="1"/>
  <c r="S701" i="3" s="1"/>
  <c r="U700" i="3" l="1"/>
  <c r="Y699" i="3"/>
  <c r="T701" i="3"/>
  <c r="AG701" i="3" s="1"/>
  <c r="AH701" i="3" l="1"/>
  <c r="E701" i="3"/>
  <c r="H701" i="3" s="1"/>
  <c r="D701" i="3"/>
  <c r="F701" i="3" l="1"/>
  <c r="G701" i="3"/>
  <c r="K701" i="3"/>
  <c r="AE701" i="3" s="1"/>
  <c r="I701" i="3" l="1"/>
  <c r="J701" i="3"/>
  <c r="AD701" i="3" s="1"/>
  <c r="M701" i="3"/>
  <c r="N701" i="3" s="1"/>
  <c r="V701" i="3"/>
  <c r="A702" i="3"/>
  <c r="B702" i="3" s="1"/>
  <c r="W701" i="3" l="1"/>
  <c r="L701" i="3"/>
  <c r="AC702" i="3"/>
  <c r="P702" i="3"/>
  <c r="Q702" i="3" s="1"/>
  <c r="R702" i="3" s="1"/>
  <c r="S702" i="3" s="1"/>
  <c r="Z702" i="3"/>
  <c r="AA702" i="3"/>
  <c r="U701" i="3" l="1"/>
  <c r="Y700" i="3"/>
  <c r="T702" i="3"/>
  <c r="AH702" i="3" s="1"/>
  <c r="D702" i="3" l="1"/>
  <c r="G702" i="3" s="1"/>
  <c r="E702" i="3"/>
  <c r="H702" i="3" s="1"/>
  <c r="K702" i="3" s="1"/>
  <c r="AE702" i="3" s="1"/>
  <c r="AG702" i="3"/>
  <c r="F702" i="3" l="1"/>
  <c r="V702" i="3"/>
  <c r="A703" i="3"/>
  <c r="B703" i="3" s="1"/>
  <c r="I702" i="3"/>
  <c r="J702" i="3"/>
  <c r="AD702" i="3" s="1"/>
  <c r="M702" i="3"/>
  <c r="N702" i="3" s="1"/>
  <c r="W702" i="3" l="1"/>
  <c r="L702" i="3"/>
  <c r="AC703" i="3"/>
  <c r="P703" i="3"/>
  <c r="Q703" i="3" s="1"/>
  <c r="R703" i="3" s="1"/>
  <c r="S703" i="3" s="1"/>
  <c r="AA703" i="3"/>
  <c r="Z703" i="3"/>
  <c r="T703" i="3" l="1"/>
  <c r="AH703" i="3" s="1"/>
  <c r="U702" i="3"/>
  <c r="Y701" i="3"/>
  <c r="E703" i="3" l="1"/>
  <c r="H703" i="3" s="1"/>
  <c r="K703" i="3" s="1"/>
  <c r="AE703" i="3" s="1"/>
  <c r="AG703" i="3"/>
  <c r="D703" i="3"/>
  <c r="F703" i="3" l="1"/>
  <c r="G703" i="3"/>
  <c r="V703" i="3"/>
  <c r="A704" i="3"/>
  <c r="B704" i="3" s="1"/>
  <c r="P704" i="3" l="1"/>
  <c r="Q704" i="3" s="1"/>
  <c r="R704" i="3" s="1"/>
  <c r="S704" i="3" s="1"/>
  <c r="AC704" i="3"/>
  <c r="Z704" i="3"/>
  <c r="AA704" i="3"/>
  <c r="I703" i="3"/>
  <c r="W703" i="3" s="1"/>
  <c r="J703" i="3"/>
  <c r="AD703" i="3" s="1"/>
  <c r="M703" i="3"/>
  <c r="N703" i="3" s="1"/>
  <c r="T704" i="3" l="1"/>
  <c r="L703" i="3"/>
  <c r="U703" i="3" l="1"/>
  <c r="D704" i="3" s="1"/>
  <c r="AG704" i="3"/>
  <c r="AH704" i="3"/>
  <c r="Y702" i="3"/>
  <c r="G704" i="3" l="1"/>
  <c r="E704" i="3"/>
  <c r="H704" i="3" s="1"/>
  <c r="F704" i="3" l="1"/>
  <c r="I704" i="3"/>
  <c r="J704" i="3"/>
  <c r="AD704" i="3" s="1"/>
  <c r="M704" i="3"/>
  <c r="N704" i="3" s="1"/>
  <c r="K704" i="3"/>
  <c r="AE704" i="3" s="1"/>
  <c r="V704" i="3" l="1"/>
  <c r="W704" i="3" s="1"/>
  <c r="A705" i="3"/>
  <c r="B705" i="3" s="1"/>
  <c r="L704" i="3"/>
  <c r="U704" i="3" l="1"/>
  <c r="Y703" i="3"/>
  <c r="Z705" i="3"/>
  <c r="P705" i="3"/>
  <c r="Q705" i="3" s="1"/>
  <c r="R705" i="3" s="1"/>
  <c r="S705" i="3" s="1"/>
  <c r="AC705" i="3"/>
  <c r="AA705" i="3"/>
  <c r="AD705" i="3"/>
  <c r="T705" i="3" l="1"/>
  <c r="AH705" i="3" s="1"/>
  <c r="AG705" i="3" l="1"/>
  <c r="D705" i="3"/>
  <c r="E705" i="3"/>
  <c r="H705" i="3" s="1"/>
  <c r="F705" i="3" l="1"/>
  <c r="G705" i="3"/>
  <c r="K705" i="3"/>
  <c r="AE705" i="3" s="1"/>
  <c r="I705" i="3" l="1"/>
  <c r="J705" i="3"/>
  <c r="M705" i="3"/>
  <c r="N705" i="3" s="1"/>
  <c r="V705" i="3"/>
  <c r="A706" i="3"/>
  <c r="B706" i="3" s="1"/>
  <c r="W705" i="3" l="1"/>
  <c r="L705" i="3"/>
  <c r="P706" i="3"/>
  <c r="Q706" i="3" s="1"/>
  <c r="R706" i="3" s="1"/>
  <c r="S706" i="3" s="1"/>
  <c r="AA706" i="3"/>
  <c r="AC706" i="3"/>
  <c r="Z706" i="3"/>
  <c r="AD706" i="3"/>
  <c r="U705" i="3" l="1"/>
  <c r="Y704" i="3"/>
  <c r="T706" i="3"/>
  <c r="AH706" i="3" s="1"/>
  <c r="E706" i="3" l="1"/>
  <c r="H706" i="3" s="1"/>
  <c r="D706" i="3"/>
  <c r="AG706" i="3"/>
  <c r="K706" i="3" l="1"/>
  <c r="AE706" i="3" s="1"/>
  <c r="F706" i="3"/>
  <c r="G706" i="3"/>
  <c r="I706" i="3" l="1"/>
  <c r="J706" i="3"/>
  <c r="M706" i="3"/>
  <c r="N706" i="3" s="1"/>
  <c r="V706" i="3"/>
  <c r="A707" i="3"/>
  <c r="B707" i="3" s="1"/>
  <c r="W706" i="3" l="1"/>
  <c r="P707" i="3"/>
  <c r="Q707" i="3" s="1"/>
  <c r="R707" i="3" s="1"/>
  <c r="S707" i="3" s="1"/>
  <c r="Z707" i="3"/>
  <c r="AC707" i="3"/>
  <c r="AA707" i="3"/>
  <c r="L706" i="3"/>
  <c r="T707" i="3" l="1"/>
  <c r="AG707" i="3" s="1"/>
  <c r="U706" i="3"/>
  <c r="Y705" i="3"/>
  <c r="E707" i="3" l="1"/>
  <c r="H707" i="3" s="1"/>
  <c r="K707" i="3" s="1"/>
  <c r="AE707" i="3" s="1"/>
  <c r="D707" i="3"/>
  <c r="AH707" i="3"/>
  <c r="V707" i="3" l="1"/>
  <c r="A708" i="3"/>
  <c r="B708" i="3" s="1"/>
  <c r="F707" i="3"/>
  <c r="G707" i="3"/>
  <c r="I707" i="3" l="1"/>
  <c r="W707" i="3" s="1"/>
  <c r="J707" i="3"/>
  <c r="AD707" i="3" s="1"/>
  <c r="M707" i="3"/>
  <c r="N707" i="3" s="1"/>
  <c r="P708" i="3"/>
  <c r="Q708" i="3" s="1"/>
  <c r="R708" i="3" s="1"/>
  <c r="S708" i="3" s="1"/>
  <c r="AC708" i="3"/>
  <c r="Z708" i="3"/>
  <c r="AA708" i="3"/>
  <c r="T708" i="3" l="1"/>
  <c r="L707" i="3"/>
  <c r="U707" i="3" l="1"/>
  <c r="D708" i="3" s="1"/>
  <c r="AG708" i="3"/>
  <c r="AH708" i="3"/>
  <c r="Y706" i="3"/>
  <c r="E708" i="3" l="1"/>
  <c r="H708" i="3" s="1"/>
  <c r="K708" i="3" s="1"/>
  <c r="AE708" i="3" s="1"/>
  <c r="G708" i="3"/>
  <c r="F708" i="3" l="1"/>
  <c r="I708" i="3"/>
  <c r="J708" i="3"/>
  <c r="AD708" i="3" s="1"/>
  <c r="M708" i="3"/>
  <c r="N708" i="3" s="1"/>
  <c r="V708" i="3"/>
  <c r="A709" i="3"/>
  <c r="B709" i="3" s="1"/>
  <c r="W708" i="3" l="1"/>
  <c r="L708" i="3"/>
  <c r="Z709" i="3"/>
  <c r="AA709" i="3"/>
  <c r="AD709" i="3"/>
  <c r="P709" i="3"/>
  <c r="Q709" i="3" s="1"/>
  <c r="R709" i="3" s="1"/>
  <c r="S709" i="3" s="1"/>
  <c r="AC709" i="3"/>
  <c r="U708" i="3" l="1"/>
  <c r="Y707" i="3"/>
  <c r="T709" i="3"/>
  <c r="AG709" i="3" s="1"/>
  <c r="AH709" i="3" l="1"/>
  <c r="E709" i="3"/>
  <c r="H709" i="3" s="1"/>
  <c r="D709" i="3"/>
  <c r="F709" i="3" l="1"/>
  <c r="G709" i="3"/>
  <c r="K709" i="3"/>
  <c r="AE709" i="3" s="1"/>
  <c r="V709" i="3" l="1"/>
  <c r="A710" i="3"/>
  <c r="B710" i="3" s="1"/>
  <c r="I709" i="3"/>
  <c r="J709" i="3"/>
  <c r="M709" i="3"/>
  <c r="N709" i="3" s="1"/>
  <c r="W709" i="3" l="1"/>
  <c r="L709" i="3"/>
  <c r="AD710" i="3"/>
  <c r="AC710" i="3"/>
  <c r="Z710" i="3"/>
  <c r="AA710" i="3"/>
  <c r="P710" i="3"/>
  <c r="Q710" i="3" s="1"/>
  <c r="R710" i="3" s="1"/>
  <c r="S710" i="3" s="1"/>
  <c r="U709" i="3" l="1"/>
  <c r="Y708" i="3"/>
  <c r="T710" i="3"/>
  <c r="AH710" i="3" s="1"/>
  <c r="D710" i="3" l="1"/>
  <c r="E710" i="3"/>
  <c r="H710" i="3" s="1"/>
  <c r="AG710" i="3"/>
  <c r="F710" i="3" l="1"/>
  <c r="G710" i="3"/>
  <c r="K710" i="3"/>
  <c r="AE710" i="3" s="1"/>
  <c r="I710" i="3" l="1"/>
  <c r="J710" i="3"/>
  <c r="M710" i="3"/>
  <c r="N710" i="3" s="1"/>
  <c r="V710" i="3"/>
  <c r="A711" i="3"/>
  <c r="B711" i="3" s="1"/>
  <c r="W710" i="3" l="1"/>
  <c r="L710" i="3"/>
  <c r="AA711" i="3"/>
  <c r="AC711" i="3"/>
  <c r="Z711" i="3"/>
  <c r="AD711" i="3"/>
  <c r="P711" i="3"/>
  <c r="Q711" i="3" s="1"/>
  <c r="R711" i="3" s="1"/>
  <c r="S711" i="3" s="1"/>
  <c r="T711" i="3" l="1"/>
  <c r="U710" i="3"/>
  <c r="Y709" i="3"/>
  <c r="D711" i="3" l="1"/>
  <c r="G711" i="3" s="1"/>
  <c r="E711" i="3"/>
  <c r="H711" i="3" s="1"/>
  <c r="AH711" i="3"/>
  <c r="AG711" i="3"/>
  <c r="F711" i="3" l="1"/>
  <c r="K711" i="3"/>
  <c r="AE711" i="3" s="1"/>
  <c r="I711" i="3"/>
  <c r="J711" i="3"/>
  <c r="M711" i="3"/>
  <c r="N711" i="3" s="1"/>
  <c r="L711" i="3" l="1"/>
  <c r="V711" i="3"/>
  <c r="W711" i="3" s="1"/>
  <c r="A712" i="3"/>
  <c r="B712" i="3" s="1"/>
  <c r="AC712" i="3" l="1"/>
  <c r="AD712" i="3"/>
  <c r="P712" i="3"/>
  <c r="Q712" i="3" s="1"/>
  <c r="R712" i="3" s="1"/>
  <c r="S712" i="3" s="1"/>
  <c r="AA712" i="3"/>
  <c r="Z712" i="3"/>
  <c r="U711" i="3"/>
  <c r="Y710" i="3"/>
  <c r="T712" i="3" l="1"/>
  <c r="AG712" i="3" l="1"/>
  <c r="D712" i="3"/>
  <c r="E712" i="3"/>
  <c r="H712" i="3" s="1"/>
  <c r="AH712" i="3"/>
  <c r="K712" i="3" l="1"/>
  <c r="AE712" i="3" s="1"/>
  <c r="F712" i="3"/>
  <c r="G712" i="3"/>
  <c r="V712" i="3" l="1"/>
  <c r="A713" i="3"/>
  <c r="B713" i="3" s="1"/>
  <c r="I712" i="3"/>
  <c r="J712" i="3"/>
  <c r="M712" i="3"/>
  <c r="N712" i="3" s="1"/>
  <c r="W712" i="3" l="1"/>
  <c r="L712" i="3"/>
  <c r="Z713" i="3"/>
  <c r="P713" i="3"/>
  <c r="Q713" i="3" s="1"/>
  <c r="R713" i="3" s="1"/>
  <c r="S713" i="3" s="1"/>
  <c r="AC713" i="3"/>
  <c r="AD713" i="3"/>
  <c r="AA713" i="3"/>
  <c r="T713" i="3" l="1"/>
  <c r="AH713" i="3" s="1"/>
  <c r="U712" i="3"/>
  <c r="Y711" i="3"/>
  <c r="D713" i="3" l="1"/>
  <c r="AG713" i="3"/>
  <c r="E713" i="3"/>
  <c r="H713" i="3" s="1"/>
  <c r="F713" i="3" l="1"/>
  <c r="G713" i="3"/>
  <c r="M713" i="3" s="1"/>
  <c r="N713" i="3" s="1"/>
  <c r="K713" i="3"/>
  <c r="AE713" i="3" s="1"/>
  <c r="I713" i="3" l="1"/>
  <c r="J713" i="3"/>
  <c r="L713" i="3" s="1"/>
  <c r="V713" i="3"/>
  <c r="A714" i="3"/>
  <c r="B714" i="3" s="1"/>
  <c r="W713" i="3" l="1"/>
  <c r="U713" i="3"/>
  <c r="Y712" i="3"/>
  <c r="AA714" i="3"/>
  <c r="P714" i="3"/>
  <c r="Q714" i="3" s="1"/>
  <c r="R714" i="3" s="1"/>
  <c r="S714" i="3" s="1"/>
  <c r="Z714" i="3"/>
  <c r="AC714" i="3"/>
  <c r="T714" i="3" l="1"/>
  <c r="AH714" i="3" s="1"/>
  <c r="D714" i="3" l="1"/>
  <c r="G714" i="3" s="1"/>
  <c r="E714" i="3"/>
  <c r="H714" i="3" s="1"/>
  <c r="K714" i="3" s="1"/>
  <c r="AE714" i="3" s="1"/>
  <c r="AG714" i="3"/>
  <c r="F714" i="3" l="1"/>
  <c r="V714" i="3"/>
  <c r="A715" i="3"/>
  <c r="B715" i="3" s="1"/>
  <c r="I714" i="3"/>
  <c r="J714" i="3"/>
  <c r="AD714" i="3" s="1"/>
  <c r="M714" i="3"/>
  <c r="N714" i="3" s="1"/>
  <c r="L714" i="3" l="1"/>
  <c r="W714" i="3"/>
  <c r="AC715" i="3"/>
  <c r="P715" i="3"/>
  <c r="Q715" i="3" s="1"/>
  <c r="R715" i="3" s="1"/>
  <c r="S715" i="3" s="1"/>
  <c r="Z715" i="3"/>
  <c r="AA715" i="3"/>
  <c r="AD715" i="3"/>
  <c r="U714" i="3" l="1"/>
  <c r="Y713" i="3"/>
  <c r="T715" i="3"/>
  <c r="AG715" i="3" s="1"/>
  <c r="AH715" i="3" l="1"/>
  <c r="D715" i="3"/>
  <c r="G715" i="3" s="1"/>
  <c r="E715" i="3"/>
  <c r="H715" i="3" s="1"/>
  <c r="F715" i="3" l="1"/>
  <c r="I715" i="3"/>
  <c r="J715" i="3"/>
  <c r="M715" i="3"/>
  <c r="N715" i="3" s="1"/>
  <c r="K715" i="3"/>
  <c r="AE715" i="3" s="1"/>
  <c r="V715" i="3" l="1"/>
  <c r="W715" i="3" s="1"/>
  <c r="A716" i="3"/>
  <c r="B716" i="3" s="1"/>
  <c r="L715" i="3"/>
  <c r="U715" i="3" l="1"/>
  <c r="Y714" i="3"/>
  <c r="AC716" i="3"/>
  <c r="Z716" i="3"/>
  <c r="P716" i="3"/>
  <c r="Q716" i="3" s="1"/>
  <c r="R716" i="3" s="1"/>
  <c r="S716" i="3" s="1"/>
  <c r="AA716" i="3"/>
  <c r="AD716" i="3"/>
  <c r="T716" i="3" l="1"/>
  <c r="D716" i="3" s="1"/>
  <c r="E716" i="3" l="1"/>
  <c r="H716" i="3" s="1"/>
  <c r="K716" i="3" s="1"/>
  <c r="AE716" i="3" s="1"/>
  <c r="AH716" i="3"/>
  <c r="AG716" i="3"/>
  <c r="G716" i="3"/>
  <c r="F716" i="3" l="1"/>
  <c r="I716" i="3"/>
  <c r="J716" i="3"/>
  <c r="M716" i="3"/>
  <c r="N716" i="3" s="1"/>
  <c r="V716" i="3"/>
  <c r="A717" i="3"/>
  <c r="B717" i="3" s="1"/>
  <c r="W716" i="3" l="1"/>
  <c r="L716" i="3"/>
  <c r="AC717" i="3"/>
  <c r="P717" i="3"/>
  <c r="Q717" i="3" s="1"/>
  <c r="R717" i="3" s="1"/>
  <c r="S717" i="3" s="1"/>
  <c r="Z717" i="3"/>
  <c r="AA717" i="3"/>
  <c r="U716" i="3" l="1"/>
  <c r="Y715" i="3"/>
  <c r="T717" i="3"/>
  <c r="AG717" i="3" s="1"/>
  <c r="E717" i="3" l="1"/>
  <c r="H717" i="3" s="1"/>
  <c r="K717" i="3" s="1"/>
  <c r="AE717" i="3" s="1"/>
  <c r="AH717" i="3"/>
  <c r="D717" i="3"/>
  <c r="V717" i="3" l="1"/>
  <c r="A718" i="3"/>
  <c r="B718" i="3" s="1"/>
  <c r="F717" i="3"/>
  <c r="G717" i="3"/>
  <c r="I717" i="3" l="1"/>
  <c r="W717" i="3" s="1"/>
  <c r="J717" i="3"/>
  <c r="AD717" i="3" s="1"/>
  <c r="M717" i="3"/>
  <c r="N717" i="3" s="1"/>
  <c r="P718" i="3"/>
  <c r="Q718" i="3" s="1"/>
  <c r="R718" i="3" s="1"/>
  <c r="S718" i="3" s="1"/>
  <c r="AC718" i="3"/>
  <c r="Z718" i="3"/>
  <c r="AA718" i="3"/>
  <c r="L717" i="3" l="1"/>
  <c r="T718" i="3"/>
  <c r="U717" i="3" l="1"/>
  <c r="E718" i="3" s="1"/>
  <c r="H718" i="3" s="1"/>
  <c r="AH718" i="3"/>
  <c r="AG718" i="3"/>
  <c r="Y716" i="3"/>
  <c r="K718" i="3" l="1"/>
  <c r="AE718" i="3" s="1"/>
  <c r="D718" i="3"/>
  <c r="V718" i="3" l="1"/>
  <c r="A719" i="3"/>
  <c r="B719" i="3" s="1"/>
  <c r="F718" i="3"/>
  <c r="G718" i="3"/>
  <c r="I718" i="3" l="1"/>
  <c r="W718" i="3" s="1"/>
  <c r="J718" i="3"/>
  <c r="AD718" i="3" s="1"/>
  <c r="M718" i="3"/>
  <c r="N718" i="3" s="1"/>
  <c r="Z719" i="3"/>
  <c r="P719" i="3"/>
  <c r="Q719" i="3" s="1"/>
  <c r="R719" i="3" s="1"/>
  <c r="S719" i="3" s="1"/>
  <c r="AA719" i="3"/>
  <c r="AC719" i="3"/>
  <c r="T719" i="3" l="1"/>
  <c r="L718" i="3"/>
  <c r="AG719" i="3" l="1"/>
  <c r="AH719" i="3"/>
  <c r="U718" i="3"/>
  <c r="E719" i="3" s="1"/>
  <c r="H719" i="3" s="1"/>
  <c r="Y717" i="3"/>
  <c r="D719" i="3" l="1"/>
  <c r="G719" i="3" s="1"/>
  <c r="K719" i="3"/>
  <c r="AE719" i="3" s="1"/>
  <c r="F719" i="3" l="1"/>
  <c r="I719" i="3"/>
  <c r="J719" i="3"/>
  <c r="AD719" i="3" s="1"/>
  <c r="M719" i="3"/>
  <c r="N719" i="3" s="1"/>
  <c r="V719" i="3"/>
  <c r="A720" i="3"/>
  <c r="B720" i="3" s="1"/>
  <c r="W719" i="3" l="1"/>
  <c r="L719" i="3"/>
  <c r="P720" i="3"/>
  <c r="Q720" i="3" s="1"/>
  <c r="R720" i="3" s="1"/>
  <c r="S720" i="3" s="1"/>
  <c r="AA720" i="3"/>
  <c r="AC720" i="3"/>
  <c r="Z720" i="3"/>
  <c r="U719" i="3" l="1"/>
  <c r="Y718" i="3"/>
  <c r="T720" i="3"/>
  <c r="AG720" i="3" s="1"/>
  <c r="E720" i="3" l="1"/>
  <c r="H720" i="3" s="1"/>
  <c r="K720" i="3" s="1"/>
  <c r="AE720" i="3" s="1"/>
  <c r="D720" i="3"/>
  <c r="AH720" i="3"/>
  <c r="V720" i="3" l="1"/>
  <c r="A721" i="3"/>
  <c r="B721" i="3" s="1"/>
  <c r="F720" i="3"/>
  <c r="G720" i="3"/>
  <c r="I720" i="3" l="1"/>
  <c r="W720" i="3" s="1"/>
  <c r="J720" i="3"/>
  <c r="AD720" i="3" s="1"/>
  <c r="M720" i="3"/>
  <c r="N720" i="3" s="1"/>
  <c r="AA721" i="3"/>
  <c r="Z721" i="3"/>
  <c r="AC721" i="3"/>
  <c r="P721" i="3"/>
  <c r="Q721" i="3" s="1"/>
  <c r="R721" i="3" s="1"/>
  <c r="S721" i="3" s="1"/>
  <c r="T721" i="3" l="1"/>
  <c r="L720" i="3"/>
  <c r="AG721" i="3" l="1"/>
  <c r="U720" i="3"/>
  <c r="D721" i="3" s="1"/>
  <c r="AH721" i="3"/>
  <c r="Y719" i="3"/>
  <c r="G721" i="3" l="1"/>
  <c r="E721" i="3"/>
  <c r="H721" i="3" s="1"/>
  <c r="F721" i="3" l="1"/>
  <c r="I721" i="3"/>
  <c r="J721" i="3"/>
  <c r="AD721" i="3" s="1"/>
  <c r="M721" i="3"/>
  <c r="N721" i="3" s="1"/>
  <c r="K721" i="3"/>
  <c r="AE721" i="3" s="1"/>
  <c r="V721" i="3" l="1"/>
  <c r="W721" i="3" s="1"/>
  <c r="A722" i="3"/>
  <c r="B722" i="3" s="1"/>
  <c r="L721" i="3"/>
  <c r="U721" i="3" l="1"/>
  <c r="Y720" i="3"/>
  <c r="AA722" i="3"/>
  <c r="AC722" i="3"/>
  <c r="P722" i="3"/>
  <c r="Q722" i="3" s="1"/>
  <c r="R722" i="3" s="1"/>
  <c r="S722" i="3" s="1"/>
  <c r="Z722" i="3"/>
  <c r="T722" i="3" l="1"/>
  <c r="AH722" i="3" s="1"/>
  <c r="E722" i="3" l="1"/>
  <c r="H722" i="3" s="1"/>
  <c r="K722" i="3" s="1"/>
  <c r="AE722" i="3" s="1"/>
  <c r="D722" i="3"/>
  <c r="AG722" i="3"/>
  <c r="V722" i="3" l="1"/>
  <c r="A723" i="3"/>
  <c r="B723" i="3" s="1"/>
  <c r="F722" i="3"/>
  <c r="G722" i="3"/>
  <c r="I722" i="3" l="1"/>
  <c r="W722" i="3" s="1"/>
  <c r="J722" i="3"/>
  <c r="AD722" i="3" s="1"/>
  <c r="M722" i="3"/>
  <c r="N722" i="3" s="1"/>
  <c r="Z723" i="3"/>
  <c r="AA723" i="3"/>
  <c r="AC723" i="3"/>
  <c r="P723" i="3"/>
  <c r="Q723" i="3" s="1"/>
  <c r="R723" i="3" s="1"/>
  <c r="S723" i="3" s="1"/>
  <c r="T723" i="3" l="1"/>
  <c r="L722" i="3"/>
  <c r="U722" i="3" l="1"/>
  <c r="E723" i="3" s="1"/>
  <c r="H723" i="3" s="1"/>
  <c r="AG723" i="3"/>
  <c r="AH723" i="3"/>
  <c r="Y721" i="3"/>
  <c r="D723" i="3" l="1"/>
  <c r="G723" i="3" s="1"/>
  <c r="K723" i="3"/>
  <c r="AE723" i="3" s="1"/>
  <c r="F723" i="3" l="1"/>
  <c r="V723" i="3"/>
  <c r="A724" i="3"/>
  <c r="B724" i="3" s="1"/>
  <c r="I723" i="3"/>
  <c r="J723" i="3"/>
  <c r="AD723" i="3" s="1"/>
  <c r="M723" i="3"/>
  <c r="N723" i="3" s="1"/>
  <c r="W723" i="3" l="1"/>
  <c r="L723" i="3"/>
  <c r="AA724" i="3"/>
  <c r="Z724" i="3"/>
  <c r="AC724" i="3"/>
  <c r="P724" i="3"/>
  <c r="Q724" i="3" s="1"/>
  <c r="R724" i="3" s="1"/>
  <c r="S724" i="3" s="1"/>
  <c r="T724" i="3" l="1"/>
  <c r="AH724" i="3" s="1"/>
  <c r="U723" i="3"/>
  <c r="Y722" i="3"/>
  <c r="D724" i="3" l="1"/>
  <c r="E724" i="3"/>
  <c r="H724" i="3" s="1"/>
  <c r="AG724" i="3"/>
  <c r="K724" i="3" l="1"/>
  <c r="AE724" i="3" s="1"/>
  <c r="F724" i="3"/>
  <c r="G724" i="3"/>
  <c r="I724" i="3" l="1"/>
  <c r="J724" i="3"/>
  <c r="AD724" i="3" s="1"/>
  <c r="M724" i="3"/>
  <c r="N724" i="3" s="1"/>
  <c r="V724" i="3"/>
  <c r="A725" i="3"/>
  <c r="B725" i="3" s="1"/>
  <c r="W724" i="3" l="1"/>
  <c r="L724" i="3"/>
  <c r="AC725" i="3"/>
  <c r="P725" i="3"/>
  <c r="Q725" i="3" s="1"/>
  <c r="R725" i="3" s="1"/>
  <c r="S725" i="3" s="1"/>
  <c r="Z725" i="3"/>
  <c r="AA725" i="3"/>
  <c r="U724" i="3" l="1"/>
  <c r="Y723" i="3"/>
  <c r="T725" i="3"/>
  <c r="AG725" i="3" s="1"/>
  <c r="AH725" i="3" l="1"/>
  <c r="D725" i="3"/>
  <c r="G725" i="3" s="1"/>
  <c r="E725" i="3"/>
  <c r="H725" i="3" s="1"/>
  <c r="F725" i="3" l="1"/>
  <c r="I725" i="3"/>
  <c r="J725" i="3"/>
  <c r="AD725" i="3" s="1"/>
  <c r="M725" i="3"/>
  <c r="N725" i="3" s="1"/>
  <c r="K725" i="3"/>
  <c r="AE725" i="3" s="1"/>
  <c r="V725" i="3" l="1"/>
  <c r="W725" i="3" s="1"/>
  <c r="A726" i="3"/>
  <c r="B726" i="3" s="1"/>
  <c r="L725" i="3"/>
  <c r="U725" i="3" l="1"/>
  <c r="Y724" i="3"/>
  <c r="Z726" i="3"/>
  <c r="P726" i="3"/>
  <c r="Q726" i="3" s="1"/>
  <c r="R726" i="3" s="1"/>
  <c r="S726" i="3" s="1"/>
  <c r="AA726" i="3"/>
  <c r="AC726" i="3"/>
  <c r="T726" i="3" l="1"/>
  <c r="AG726" i="3" s="1"/>
  <c r="D726" i="3" l="1"/>
  <c r="G726" i="3" s="1"/>
  <c r="E726" i="3"/>
  <c r="H726" i="3" s="1"/>
  <c r="K726" i="3" s="1"/>
  <c r="AE726" i="3" s="1"/>
  <c r="AH726" i="3"/>
  <c r="F726" i="3" l="1"/>
  <c r="I726" i="3"/>
  <c r="J726" i="3"/>
  <c r="AD726" i="3" s="1"/>
  <c r="M726" i="3"/>
  <c r="N726" i="3" s="1"/>
  <c r="V726" i="3"/>
  <c r="A727" i="3"/>
  <c r="B727" i="3" s="1"/>
  <c r="W726" i="3" l="1"/>
  <c r="L726" i="3"/>
  <c r="P727" i="3"/>
  <c r="Q727" i="3" s="1"/>
  <c r="R727" i="3" s="1"/>
  <c r="S727" i="3" s="1"/>
  <c r="Z727" i="3"/>
  <c r="AA727" i="3"/>
  <c r="AC727" i="3"/>
  <c r="U726" i="3" l="1"/>
  <c r="Y725" i="3"/>
  <c r="T727" i="3"/>
  <c r="AH727" i="3" s="1"/>
  <c r="E727" i="3" l="1"/>
  <c r="H727" i="3" s="1"/>
  <c r="K727" i="3" s="1"/>
  <c r="AE727" i="3" s="1"/>
  <c r="D727" i="3"/>
  <c r="AG727" i="3"/>
  <c r="F727" i="3" l="1"/>
  <c r="G727" i="3"/>
  <c r="M727" i="3" s="1"/>
  <c r="N727" i="3" s="1"/>
  <c r="V727" i="3"/>
  <c r="A728" i="3"/>
  <c r="B728" i="3" s="1"/>
  <c r="I727" i="3" l="1"/>
  <c r="W727" i="3" s="1"/>
  <c r="J727" i="3"/>
  <c r="AA728" i="3"/>
  <c r="P728" i="3"/>
  <c r="Q728" i="3" s="1"/>
  <c r="R728" i="3" s="1"/>
  <c r="S728" i="3" s="1"/>
  <c r="AC728" i="3"/>
  <c r="Z728" i="3"/>
  <c r="L727" i="3" l="1"/>
  <c r="U727" i="3" s="1"/>
  <c r="AD727" i="3"/>
  <c r="T728" i="3"/>
  <c r="Y726" i="3" l="1"/>
  <c r="D728" i="3"/>
  <c r="G728" i="3" s="1"/>
  <c r="AG728" i="3"/>
  <c r="E728" i="3"/>
  <c r="H728" i="3" s="1"/>
  <c r="AH728" i="3"/>
  <c r="F728" i="3" l="1"/>
  <c r="I728" i="3"/>
  <c r="J728" i="3"/>
  <c r="AD728" i="3" s="1"/>
  <c r="M728" i="3"/>
  <c r="N728" i="3" s="1"/>
  <c r="K728" i="3"/>
  <c r="AE728" i="3" s="1"/>
  <c r="V728" i="3" l="1"/>
  <c r="W728" i="3" s="1"/>
  <c r="A729" i="3"/>
  <c r="B729" i="3" s="1"/>
  <c r="L728" i="3"/>
  <c r="U728" i="3" l="1"/>
  <c r="Y727" i="3"/>
  <c r="P729" i="3"/>
  <c r="Q729" i="3" s="1"/>
  <c r="R729" i="3" s="1"/>
  <c r="S729" i="3" s="1"/>
  <c r="AA729" i="3"/>
  <c r="AC729" i="3"/>
  <c r="Z729" i="3"/>
  <c r="T729" i="3" l="1"/>
  <c r="E729" i="3" s="1"/>
  <c r="H729" i="3" s="1"/>
  <c r="AH729" i="3" l="1"/>
  <c r="D729" i="3"/>
  <c r="F729" i="3" s="1"/>
  <c r="AG729" i="3"/>
  <c r="K729" i="3"/>
  <c r="AE729" i="3" s="1"/>
  <c r="G729" i="3" l="1"/>
  <c r="I729" i="3" s="1"/>
  <c r="V729" i="3"/>
  <c r="A730" i="3"/>
  <c r="B730" i="3" s="1"/>
  <c r="W729" i="3" l="1"/>
  <c r="J729" i="3"/>
  <c r="M729" i="3"/>
  <c r="N729" i="3" s="1"/>
  <c r="AA730" i="3"/>
  <c r="Z730" i="3"/>
  <c r="P730" i="3"/>
  <c r="Q730" i="3" s="1"/>
  <c r="R730" i="3" s="1"/>
  <c r="S730" i="3" s="1"/>
  <c r="AC730" i="3"/>
  <c r="L729" i="3" l="1"/>
  <c r="U729" i="3" s="1"/>
  <c r="AD729" i="3"/>
  <c r="T730" i="3"/>
  <c r="Y728" i="3" l="1"/>
  <c r="AG730" i="3"/>
  <c r="D730" i="3"/>
  <c r="E730" i="3"/>
  <c r="H730" i="3" s="1"/>
  <c r="AH730" i="3"/>
  <c r="K730" i="3" l="1"/>
  <c r="AE730" i="3" s="1"/>
  <c r="F730" i="3"/>
  <c r="G730" i="3"/>
  <c r="I730" i="3" l="1"/>
  <c r="J730" i="3"/>
  <c r="AD730" i="3" s="1"/>
  <c r="M730" i="3"/>
  <c r="N730" i="3" s="1"/>
  <c r="V730" i="3"/>
  <c r="A731" i="3"/>
  <c r="B731" i="3" s="1"/>
  <c r="W730" i="3" l="1"/>
  <c r="L730" i="3"/>
  <c r="P731" i="3"/>
  <c r="Q731" i="3" s="1"/>
  <c r="R731" i="3" s="1"/>
  <c r="S731" i="3" s="1"/>
  <c r="Z731" i="3"/>
  <c r="AA731" i="3"/>
  <c r="AC731" i="3"/>
  <c r="U730" i="3" l="1"/>
  <c r="Y729" i="3"/>
  <c r="T731" i="3"/>
  <c r="AG731" i="3" s="1"/>
  <c r="E731" i="3" l="1"/>
  <c r="H731" i="3" s="1"/>
  <c r="K731" i="3" s="1"/>
  <c r="AE731" i="3" s="1"/>
  <c r="AH731" i="3"/>
  <c r="D731" i="3"/>
  <c r="F731" i="3" l="1"/>
  <c r="G731" i="3"/>
  <c r="J731" i="3" s="1"/>
  <c r="AD731" i="3" s="1"/>
  <c r="V731" i="3"/>
  <c r="A732" i="3"/>
  <c r="B732" i="3" s="1"/>
  <c r="M731" i="3" l="1"/>
  <c r="N731" i="3" s="1"/>
  <c r="I731" i="3"/>
  <c r="W731" i="3" s="1"/>
  <c r="L731" i="3"/>
  <c r="AC732" i="3"/>
  <c r="Z732" i="3"/>
  <c r="AA732" i="3"/>
  <c r="P732" i="3"/>
  <c r="Q732" i="3" s="1"/>
  <c r="R732" i="3" s="1"/>
  <c r="S732" i="3" s="1"/>
  <c r="U731" i="3" l="1"/>
  <c r="Y730" i="3"/>
  <c r="T732" i="3"/>
  <c r="E732" i="3" l="1"/>
  <c r="H732" i="3" s="1"/>
  <c r="K732" i="3" s="1"/>
  <c r="AE732" i="3" s="1"/>
  <c r="D732" i="3"/>
  <c r="G732" i="3" s="1"/>
  <c r="AH732" i="3"/>
  <c r="AG732" i="3"/>
  <c r="F732" i="3" l="1"/>
  <c r="I732" i="3"/>
  <c r="J732" i="3"/>
  <c r="AD732" i="3" s="1"/>
  <c r="M732" i="3"/>
  <c r="N732" i="3" s="1"/>
  <c r="V732" i="3"/>
  <c r="A733" i="3"/>
  <c r="B733" i="3" s="1"/>
  <c r="W732" i="3" l="1"/>
  <c r="L732" i="3"/>
  <c r="AC733" i="3"/>
  <c r="P733" i="3"/>
  <c r="Q733" i="3" s="1"/>
  <c r="R733" i="3" s="1"/>
  <c r="S733" i="3" s="1"/>
  <c r="AA733" i="3"/>
  <c r="Z733" i="3"/>
  <c r="T733" i="3" l="1"/>
  <c r="AH733" i="3" s="1"/>
  <c r="U732" i="3"/>
  <c r="Y731" i="3"/>
  <c r="D733" i="3" l="1"/>
  <c r="G733" i="3" s="1"/>
  <c r="E733" i="3"/>
  <c r="H733" i="3" s="1"/>
  <c r="AG733" i="3"/>
  <c r="F733" i="3" l="1"/>
  <c r="I733" i="3"/>
  <c r="J733" i="3"/>
  <c r="AD733" i="3" s="1"/>
  <c r="M733" i="3"/>
  <c r="N733" i="3" s="1"/>
  <c r="K733" i="3"/>
  <c r="AE733" i="3" s="1"/>
  <c r="V733" i="3" l="1"/>
  <c r="W733" i="3" s="1"/>
  <c r="A734" i="3"/>
  <c r="B734" i="3" s="1"/>
  <c r="L733" i="3"/>
  <c r="U733" i="3" l="1"/>
  <c r="Y732" i="3"/>
  <c r="P734" i="3"/>
  <c r="Q734" i="3" s="1"/>
  <c r="R734" i="3" s="1"/>
  <c r="S734" i="3" s="1"/>
  <c r="AC734" i="3"/>
  <c r="AA734" i="3"/>
  <c r="Z734" i="3"/>
  <c r="T734" i="3" l="1"/>
  <c r="AG734" i="3" s="1"/>
  <c r="D734" i="3" l="1"/>
  <c r="E734" i="3"/>
  <c r="H734" i="3" s="1"/>
  <c r="K734" i="3" s="1"/>
  <c r="AE734" i="3" s="1"/>
  <c r="AH734" i="3"/>
  <c r="F734" i="3" l="1"/>
  <c r="G734" i="3"/>
  <c r="M734" i="3" s="1"/>
  <c r="N734" i="3" s="1"/>
  <c r="V734" i="3"/>
  <c r="A735" i="3"/>
  <c r="B735" i="3" s="1"/>
  <c r="I734" i="3" l="1"/>
  <c r="W734" i="3" s="1"/>
  <c r="J734" i="3"/>
  <c r="AA735" i="3"/>
  <c r="Z735" i="3"/>
  <c r="P735" i="3"/>
  <c r="Q735" i="3" s="1"/>
  <c r="R735" i="3" s="1"/>
  <c r="S735" i="3" s="1"/>
  <c r="AC735" i="3"/>
  <c r="L734" i="3" l="1"/>
  <c r="Y733" i="3" s="1"/>
  <c r="AD734" i="3"/>
  <c r="T735" i="3"/>
  <c r="U734" i="3" l="1"/>
  <c r="E735" i="3" s="1"/>
  <c r="H735" i="3" s="1"/>
  <c r="AH735" i="3"/>
  <c r="AG735" i="3"/>
  <c r="D735" i="3" l="1"/>
  <c r="G735" i="3" s="1"/>
  <c r="M735" i="3" s="1"/>
  <c r="N735" i="3" s="1"/>
  <c r="K735" i="3"/>
  <c r="AE735" i="3" s="1"/>
  <c r="F735" i="3" l="1"/>
  <c r="I735" i="3"/>
  <c r="J735" i="3"/>
  <c r="V735" i="3"/>
  <c r="A736" i="3"/>
  <c r="B736" i="3" s="1"/>
  <c r="L735" i="3" l="1"/>
  <c r="U735" i="3" s="1"/>
  <c r="AD735" i="3"/>
  <c r="W735" i="3"/>
  <c r="Z736" i="3"/>
  <c r="P736" i="3"/>
  <c r="Q736" i="3" s="1"/>
  <c r="R736" i="3" s="1"/>
  <c r="S736" i="3" s="1"/>
  <c r="AA736" i="3"/>
  <c r="AC736" i="3"/>
  <c r="Y734" i="3" l="1"/>
  <c r="T736" i="3"/>
  <c r="E736" i="3" s="1"/>
  <c r="H736" i="3" s="1"/>
  <c r="AH736" i="3" l="1"/>
  <c r="D736" i="3"/>
  <c r="F736" i="3" s="1"/>
  <c r="K736" i="3"/>
  <c r="AE736" i="3" s="1"/>
  <c r="AG736" i="3"/>
  <c r="G736" i="3" l="1"/>
  <c r="M736" i="3" s="1"/>
  <c r="N736" i="3" s="1"/>
  <c r="V736" i="3"/>
  <c r="A737" i="3"/>
  <c r="B737" i="3" s="1"/>
  <c r="I736" i="3" l="1"/>
  <c r="W736" i="3" s="1"/>
  <c r="J736" i="3"/>
  <c r="AC737" i="3"/>
  <c r="P737" i="3"/>
  <c r="Q737" i="3" s="1"/>
  <c r="R737" i="3" s="1"/>
  <c r="S737" i="3" s="1"/>
  <c r="Z737" i="3"/>
  <c r="AA737" i="3"/>
  <c r="L736" i="3" l="1"/>
  <c r="U736" i="3" s="1"/>
  <c r="AD736" i="3"/>
  <c r="T737" i="3"/>
  <c r="Y735" i="3" l="1"/>
  <c r="AH737" i="3"/>
  <c r="D737" i="3"/>
  <c r="E737" i="3"/>
  <c r="H737" i="3" s="1"/>
  <c r="AG737" i="3"/>
  <c r="F737" i="3" l="1"/>
  <c r="G737" i="3"/>
  <c r="K737" i="3"/>
  <c r="AE737" i="3" s="1"/>
  <c r="V737" i="3" l="1"/>
  <c r="A738" i="3"/>
  <c r="B738" i="3" s="1"/>
  <c r="I737" i="3"/>
  <c r="J737" i="3"/>
  <c r="AD737" i="3" s="1"/>
  <c r="M737" i="3"/>
  <c r="N737" i="3" s="1"/>
  <c r="W737" i="3" l="1"/>
  <c r="L737" i="3"/>
  <c r="AA738" i="3"/>
  <c r="P738" i="3"/>
  <c r="Q738" i="3" s="1"/>
  <c r="R738" i="3" s="1"/>
  <c r="S738" i="3" s="1"/>
  <c r="AC738" i="3"/>
  <c r="Z738" i="3"/>
  <c r="U737" i="3" l="1"/>
  <c r="Y736" i="3"/>
  <c r="T738" i="3"/>
  <c r="E738" i="3" l="1"/>
  <c r="H738" i="3" s="1"/>
  <c r="K738" i="3" s="1"/>
  <c r="AE738" i="3" s="1"/>
  <c r="D738" i="3"/>
  <c r="AG738" i="3"/>
  <c r="AH738" i="3"/>
  <c r="V738" i="3" l="1"/>
  <c r="A739" i="3"/>
  <c r="B739" i="3" s="1"/>
  <c r="F738" i="3"/>
  <c r="G738" i="3"/>
  <c r="I738" i="3" l="1"/>
  <c r="W738" i="3" s="1"/>
  <c r="J738" i="3"/>
  <c r="AD738" i="3" s="1"/>
  <c r="M738" i="3"/>
  <c r="N738" i="3" s="1"/>
  <c r="P739" i="3"/>
  <c r="Q739" i="3" s="1"/>
  <c r="R739" i="3" s="1"/>
  <c r="S739" i="3" s="1"/>
  <c r="AC739" i="3"/>
  <c r="AA739" i="3"/>
  <c r="AD739" i="3"/>
  <c r="Z739" i="3"/>
  <c r="T739" i="3" l="1"/>
  <c r="L738" i="3"/>
  <c r="AH739" i="3" l="1"/>
  <c r="U738" i="3"/>
  <c r="E739" i="3" s="1"/>
  <c r="H739" i="3" s="1"/>
  <c r="AG739" i="3"/>
  <c r="Y737" i="3"/>
  <c r="D739" i="3" l="1"/>
  <c r="G739" i="3" s="1"/>
  <c r="K739" i="3"/>
  <c r="AE739" i="3" s="1"/>
  <c r="F739" i="3" l="1"/>
  <c r="I739" i="3"/>
  <c r="J739" i="3"/>
  <c r="M739" i="3"/>
  <c r="N739" i="3" s="1"/>
  <c r="V739" i="3"/>
  <c r="A740" i="3"/>
  <c r="B740" i="3" s="1"/>
  <c r="W739" i="3" l="1"/>
  <c r="L739" i="3"/>
  <c r="P740" i="3"/>
  <c r="Q740" i="3" s="1"/>
  <c r="R740" i="3" s="1"/>
  <c r="S740" i="3" s="1"/>
  <c r="Z740" i="3"/>
  <c r="AC740" i="3"/>
  <c r="AD740" i="3"/>
  <c r="AA740" i="3"/>
  <c r="U739" i="3" l="1"/>
  <c r="Y738" i="3"/>
  <c r="T740" i="3"/>
  <c r="E740" i="3" l="1"/>
  <c r="H740" i="3" s="1"/>
  <c r="K740" i="3" s="1"/>
  <c r="AE740" i="3" s="1"/>
  <c r="D740" i="3"/>
  <c r="G740" i="3" s="1"/>
  <c r="AH740" i="3"/>
  <c r="AG740" i="3"/>
  <c r="F740" i="3" l="1"/>
  <c r="I740" i="3"/>
  <c r="J740" i="3"/>
  <c r="M740" i="3"/>
  <c r="N740" i="3" s="1"/>
  <c r="V740" i="3"/>
  <c r="A741" i="3"/>
  <c r="B741" i="3" s="1"/>
  <c r="W740" i="3" l="1"/>
  <c r="L740" i="3"/>
  <c r="AA741" i="3"/>
  <c r="P741" i="3"/>
  <c r="Q741" i="3" s="1"/>
  <c r="R741" i="3" s="1"/>
  <c r="S741" i="3" s="1"/>
  <c r="AD741" i="3"/>
  <c r="Z741" i="3"/>
  <c r="AC741" i="3"/>
  <c r="T741" i="3" l="1"/>
  <c r="AG741" i="3" s="1"/>
  <c r="U740" i="3"/>
  <c r="Y739" i="3"/>
  <c r="E741" i="3" l="1"/>
  <c r="H741" i="3" s="1"/>
  <c r="D741" i="3"/>
  <c r="AH741" i="3"/>
  <c r="K741" i="3" l="1"/>
  <c r="AE741" i="3" s="1"/>
  <c r="F741" i="3"/>
  <c r="G741" i="3"/>
  <c r="V741" i="3" l="1"/>
  <c r="A742" i="3"/>
  <c r="B742" i="3" s="1"/>
  <c r="I741" i="3"/>
  <c r="J741" i="3"/>
  <c r="M741" i="3"/>
  <c r="N741" i="3" s="1"/>
  <c r="L741" i="3" l="1"/>
  <c r="W741" i="3"/>
  <c r="AC742" i="3"/>
  <c r="P742" i="3"/>
  <c r="Q742" i="3" s="1"/>
  <c r="R742" i="3" s="1"/>
  <c r="S742" i="3" s="1"/>
  <c r="AD742" i="3"/>
  <c r="Z742" i="3"/>
  <c r="AA742" i="3"/>
  <c r="U741" i="3" l="1"/>
  <c r="Y740" i="3"/>
  <c r="T742" i="3"/>
  <c r="AG742" i="3" s="1"/>
  <c r="E742" i="3" l="1"/>
  <c r="H742" i="3" s="1"/>
  <c r="K742" i="3" s="1"/>
  <c r="AE742" i="3" s="1"/>
  <c r="AH742" i="3"/>
  <c r="D742" i="3"/>
  <c r="F742" i="3" l="1"/>
  <c r="G742" i="3"/>
  <c r="V742" i="3"/>
  <c r="A743" i="3"/>
  <c r="B743" i="3" s="1"/>
  <c r="I742" i="3" l="1"/>
  <c r="W742" i="3" s="1"/>
  <c r="J742" i="3"/>
  <c r="M742" i="3"/>
  <c r="N742" i="3" s="1"/>
  <c r="Z743" i="3"/>
  <c r="AA743" i="3"/>
  <c r="P743" i="3"/>
  <c r="Q743" i="3" s="1"/>
  <c r="R743" i="3" s="1"/>
  <c r="S743" i="3" s="1"/>
  <c r="AC743" i="3"/>
  <c r="AD743" i="3"/>
  <c r="T743" i="3" l="1"/>
  <c r="L742" i="3"/>
  <c r="U742" i="3" l="1"/>
  <c r="E743" i="3" s="1"/>
  <c r="H743" i="3" s="1"/>
  <c r="AH743" i="3"/>
  <c r="AG743" i="3"/>
  <c r="Y741" i="3"/>
  <c r="D743" i="3" l="1"/>
  <c r="G743" i="3" s="1"/>
  <c r="K743" i="3"/>
  <c r="AE743" i="3" s="1"/>
  <c r="F743" i="3" l="1"/>
  <c r="I743" i="3"/>
  <c r="J743" i="3"/>
  <c r="M743" i="3"/>
  <c r="N743" i="3" s="1"/>
  <c r="V743" i="3"/>
  <c r="A744" i="3"/>
  <c r="B744" i="3" s="1"/>
  <c r="W743" i="3" l="1"/>
  <c r="L743" i="3"/>
  <c r="AA744" i="3"/>
  <c r="P744" i="3"/>
  <c r="Q744" i="3" s="1"/>
  <c r="R744" i="3" s="1"/>
  <c r="S744" i="3" s="1"/>
  <c r="AC744" i="3"/>
  <c r="Z744" i="3"/>
  <c r="U743" i="3" l="1"/>
  <c r="Y742" i="3"/>
  <c r="T744" i="3"/>
  <c r="AG744" i="3" s="1"/>
  <c r="E744" i="3" l="1"/>
  <c r="H744" i="3" s="1"/>
  <c r="K744" i="3" s="1"/>
  <c r="AE744" i="3" s="1"/>
  <c r="D744" i="3"/>
  <c r="AH744" i="3"/>
  <c r="F744" i="3" l="1"/>
  <c r="G744" i="3"/>
  <c r="I744" i="3" s="1"/>
  <c r="V744" i="3"/>
  <c r="A745" i="3"/>
  <c r="B745" i="3" s="1"/>
  <c r="J744" i="3" l="1"/>
  <c r="M744" i="3"/>
  <c r="N744" i="3" s="1"/>
  <c r="W744" i="3"/>
  <c r="P745" i="3"/>
  <c r="Q745" i="3" s="1"/>
  <c r="R745" i="3" s="1"/>
  <c r="S745" i="3" s="1"/>
  <c r="AA745" i="3"/>
  <c r="AC745" i="3"/>
  <c r="Z745" i="3"/>
  <c r="L744" i="3" l="1"/>
  <c r="U744" i="3" s="1"/>
  <c r="AD744" i="3"/>
  <c r="T745" i="3"/>
  <c r="Y743" i="3" l="1"/>
  <c r="AG745" i="3"/>
  <c r="E745" i="3"/>
  <c r="H745" i="3" s="1"/>
  <c r="K745" i="3" s="1"/>
  <c r="AE745" i="3" s="1"/>
  <c r="D745" i="3"/>
  <c r="AH745" i="3"/>
  <c r="F745" i="3" l="1"/>
  <c r="G745" i="3"/>
  <c r="M745" i="3" s="1"/>
  <c r="N745" i="3" s="1"/>
  <c r="V745" i="3"/>
  <c r="A746" i="3"/>
  <c r="B746" i="3" s="1"/>
  <c r="I745" i="3" l="1"/>
  <c r="W745" i="3" s="1"/>
  <c r="J745" i="3"/>
  <c r="Z746" i="3"/>
  <c r="P746" i="3"/>
  <c r="Q746" i="3" s="1"/>
  <c r="R746" i="3" s="1"/>
  <c r="S746" i="3" s="1"/>
  <c r="AA746" i="3"/>
  <c r="AC746" i="3"/>
  <c r="L745" i="3" l="1"/>
  <c r="U745" i="3" s="1"/>
  <c r="AD745" i="3"/>
  <c r="T746" i="3"/>
  <c r="Y744" i="3" l="1"/>
  <c r="D746" i="3"/>
  <c r="G746" i="3" s="1"/>
  <c r="AG746" i="3"/>
  <c r="E746" i="3"/>
  <c r="H746" i="3" s="1"/>
  <c r="AH746" i="3"/>
  <c r="F746" i="3" l="1"/>
  <c r="I746" i="3"/>
  <c r="J746" i="3"/>
  <c r="AD746" i="3" s="1"/>
  <c r="M746" i="3"/>
  <c r="N746" i="3" s="1"/>
  <c r="K746" i="3"/>
  <c r="AE746" i="3" s="1"/>
  <c r="V746" i="3" l="1"/>
  <c r="W746" i="3" s="1"/>
  <c r="A747" i="3"/>
  <c r="B747" i="3" s="1"/>
  <c r="L746" i="3"/>
  <c r="U746" i="3" l="1"/>
  <c r="Y745" i="3"/>
  <c r="AA747" i="3"/>
  <c r="Z747" i="3"/>
  <c r="AC747" i="3"/>
  <c r="P747" i="3"/>
  <c r="Q747" i="3" s="1"/>
  <c r="R747" i="3" s="1"/>
  <c r="S747" i="3" s="1"/>
  <c r="T747" i="3" l="1"/>
  <c r="D747" i="3" s="1"/>
  <c r="AG747" i="3" l="1"/>
  <c r="E747" i="3"/>
  <c r="H747" i="3" s="1"/>
  <c r="K747" i="3" s="1"/>
  <c r="AE747" i="3" s="1"/>
  <c r="AH747" i="3"/>
  <c r="G747" i="3"/>
  <c r="F747" i="3" l="1"/>
  <c r="I747" i="3"/>
  <c r="J747" i="3"/>
  <c r="AD747" i="3" s="1"/>
  <c r="M747" i="3"/>
  <c r="N747" i="3" s="1"/>
  <c r="V747" i="3"/>
  <c r="A748" i="3"/>
  <c r="B748" i="3" s="1"/>
  <c r="W747" i="3" l="1"/>
  <c r="L747" i="3"/>
  <c r="AC748" i="3"/>
  <c r="P748" i="3"/>
  <c r="Q748" i="3" s="1"/>
  <c r="R748" i="3" s="1"/>
  <c r="S748" i="3" s="1"/>
  <c r="Z748" i="3"/>
  <c r="AA748" i="3"/>
  <c r="U747" i="3" l="1"/>
  <c r="Y746" i="3"/>
  <c r="T748" i="3"/>
  <c r="E748" i="3" l="1"/>
  <c r="H748" i="3" s="1"/>
  <c r="K748" i="3" s="1"/>
  <c r="AE748" i="3" s="1"/>
  <c r="D748" i="3"/>
  <c r="AH748" i="3"/>
  <c r="AG748" i="3"/>
  <c r="V748" i="3" l="1"/>
  <c r="A749" i="3"/>
  <c r="B749" i="3" s="1"/>
  <c r="F748" i="3"/>
  <c r="G748" i="3"/>
  <c r="I748" i="3" l="1"/>
  <c r="W748" i="3" s="1"/>
  <c r="J748" i="3"/>
  <c r="AD748" i="3" s="1"/>
  <c r="M748" i="3"/>
  <c r="N748" i="3" s="1"/>
  <c r="AA749" i="3"/>
  <c r="Z749" i="3"/>
  <c r="P749" i="3"/>
  <c r="Q749" i="3" s="1"/>
  <c r="R749" i="3" s="1"/>
  <c r="S749" i="3" s="1"/>
  <c r="AC749" i="3"/>
  <c r="T749" i="3" l="1"/>
  <c r="L748" i="3"/>
  <c r="U748" i="3" l="1"/>
  <c r="E749" i="3" s="1"/>
  <c r="H749" i="3" s="1"/>
  <c r="AG749" i="3"/>
  <c r="AH749" i="3"/>
  <c r="Y747" i="3"/>
  <c r="K749" i="3" l="1"/>
  <c r="AE749" i="3" s="1"/>
  <c r="D749" i="3"/>
  <c r="V749" i="3" l="1"/>
  <c r="A750" i="3"/>
  <c r="B750" i="3" s="1"/>
  <c r="F749" i="3"/>
  <c r="G749" i="3"/>
  <c r="I749" i="3" l="1"/>
  <c r="W749" i="3" s="1"/>
  <c r="J749" i="3"/>
  <c r="AD749" i="3" s="1"/>
  <c r="M749" i="3"/>
  <c r="N749" i="3" s="1"/>
  <c r="AA750" i="3"/>
  <c r="AC750" i="3"/>
  <c r="Z750" i="3"/>
  <c r="P750" i="3"/>
  <c r="Q750" i="3" s="1"/>
  <c r="R750" i="3" s="1"/>
  <c r="S750" i="3" s="1"/>
  <c r="T750" i="3" l="1"/>
  <c r="L749" i="3"/>
  <c r="AH750" i="3" l="1"/>
  <c r="AG750" i="3"/>
  <c r="U749" i="3"/>
  <c r="D750" i="3" s="1"/>
  <c r="Y748" i="3"/>
  <c r="G750" i="3" l="1"/>
  <c r="E750" i="3"/>
  <c r="H750" i="3" s="1"/>
  <c r="F750" i="3" l="1"/>
  <c r="I750" i="3"/>
  <c r="J750" i="3"/>
  <c r="AD750" i="3" s="1"/>
  <c r="M750" i="3"/>
  <c r="N750" i="3" s="1"/>
  <c r="K750" i="3"/>
  <c r="AE750" i="3" s="1"/>
  <c r="V750" i="3" l="1"/>
  <c r="W750" i="3" s="1"/>
  <c r="A751" i="3"/>
  <c r="B751" i="3" s="1"/>
  <c r="L750" i="3"/>
  <c r="U750" i="3" l="1"/>
  <c r="Y749" i="3"/>
  <c r="P751" i="3"/>
  <c r="Q751" i="3" s="1"/>
  <c r="R751" i="3" s="1"/>
  <c r="S751" i="3" s="1"/>
  <c r="Z751" i="3"/>
  <c r="AA751" i="3"/>
  <c r="AC751" i="3"/>
  <c r="T751" i="3" l="1"/>
  <c r="AH751" i="3" s="1"/>
  <c r="E751" i="3" l="1"/>
  <c r="H751" i="3" s="1"/>
  <c r="K751" i="3" s="1"/>
  <c r="AE751" i="3" s="1"/>
  <c r="AG751" i="3"/>
  <c r="D751" i="3"/>
  <c r="F751" i="3" l="1"/>
  <c r="G751" i="3"/>
  <c r="V751" i="3"/>
  <c r="A752" i="3"/>
  <c r="B752" i="3" s="1"/>
  <c r="AA752" i="3" l="1"/>
  <c r="Z752" i="3"/>
  <c r="AC752" i="3"/>
  <c r="P752" i="3"/>
  <c r="Q752" i="3" s="1"/>
  <c r="R752" i="3" s="1"/>
  <c r="S752" i="3" s="1"/>
  <c r="I751" i="3"/>
  <c r="W751" i="3" s="1"/>
  <c r="J751" i="3"/>
  <c r="AD751" i="3" s="1"/>
  <c r="M751" i="3"/>
  <c r="N751" i="3" s="1"/>
  <c r="L751" i="3" l="1"/>
  <c r="T752" i="3"/>
  <c r="U751" i="3" l="1"/>
  <c r="E752" i="3" s="1"/>
  <c r="H752" i="3" s="1"/>
  <c r="AG752" i="3"/>
  <c r="AH752" i="3"/>
  <c r="Y750" i="3"/>
  <c r="K752" i="3" l="1"/>
  <c r="AE752" i="3" s="1"/>
  <c r="D752" i="3"/>
  <c r="V752" i="3" l="1"/>
  <c r="A753" i="3"/>
  <c r="B753" i="3" s="1"/>
  <c r="F752" i="3"/>
  <c r="G752" i="3"/>
  <c r="I752" i="3" l="1"/>
  <c r="W752" i="3" s="1"/>
  <c r="J752" i="3"/>
  <c r="AD752" i="3" s="1"/>
  <c r="M752" i="3"/>
  <c r="N752" i="3" s="1"/>
  <c r="AA753" i="3"/>
  <c r="Z753" i="3"/>
  <c r="P753" i="3"/>
  <c r="Q753" i="3" s="1"/>
  <c r="R753" i="3" s="1"/>
  <c r="S753" i="3" s="1"/>
  <c r="AC753" i="3"/>
  <c r="T753" i="3" l="1"/>
  <c r="L752" i="3"/>
  <c r="AG753" i="3" l="1"/>
  <c r="U752" i="3"/>
  <c r="E753" i="3" s="1"/>
  <c r="H753" i="3" s="1"/>
  <c r="AH753" i="3"/>
  <c r="Y751" i="3"/>
  <c r="K753" i="3" l="1"/>
  <c r="AE753" i="3" s="1"/>
  <c r="D753" i="3"/>
  <c r="V753" i="3" l="1"/>
  <c r="A754" i="3"/>
  <c r="B754" i="3" s="1"/>
  <c r="F753" i="3"/>
  <c r="G753" i="3"/>
  <c r="I753" i="3" l="1"/>
  <c r="W753" i="3" s="1"/>
  <c r="J753" i="3"/>
  <c r="AD753" i="3" s="1"/>
  <c r="M753" i="3"/>
  <c r="N753" i="3" s="1"/>
  <c r="AC754" i="3"/>
  <c r="P754" i="3"/>
  <c r="Q754" i="3" s="1"/>
  <c r="R754" i="3" s="1"/>
  <c r="S754" i="3" s="1"/>
  <c r="Z754" i="3"/>
  <c r="AA754" i="3"/>
  <c r="T754" i="3" l="1"/>
  <c r="L753" i="3"/>
  <c r="AG754" i="3" l="1"/>
  <c r="AH754" i="3"/>
  <c r="U753" i="3"/>
  <c r="E754" i="3" s="1"/>
  <c r="H754" i="3" s="1"/>
  <c r="Y752" i="3"/>
  <c r="D754" i="3" l="1"/>
  <c r="G754" i="3" s="1"/>
  <c r="K754" i="3"/>
  <c r="AE754" i="3" s="1"/>
  <c r="F754" i="3" l="1"/>
  <c r="I754" i="3"/>
  <c r="J754" i="3"/>
  <c r="AD754" i="3" s="1"/>
  <c r="M754" i="3"/>
  <c r="N754" i="3" s="1"/>
  <c r="V754" i="3"/>
  <c r="A755" i="3"/>
  <c r="B755" i="3" s="1"/>
  <c r="W754" i="3" l="1"/>
  <c r="L754" i="3"/>
  <c r="AC755" i="3"/>
  <c r="AA755" i="3"/>
  <c r="P755" i="3"/>
  <c r="Q755" i="3" s="1"/>
  <c r="R755" i="3" s="1"/>
  <c r="S755" i="3" s="1"/>
  <c r="Z755" i="3"/>
  <c r="T755" i="3" l="1"/>
  <c r="U754" i="3"/>
  <c r="Y753" i="3"/>
  <c r="E755" i="3" l="1"/>
  <c r="H755" i="3" s="1"/>
  <c r="K755" i="3" s="1"/>
  <c r="AE755" i="3" s="1"/>
  <c r="AH755" i="3"/>
  <c r="AG755" i="3"/>
  <c r="D755" i="3"/>
  <c r="F755" i="3" l="1"/>
  <c r="G755" i="3"/>
  <c r="V755" i="3"/>
  <c r="A756" i="3"/>
  <c r="B756" i="3" s="1"/>
  <c r="P756" i="3" l="1"/>
  <c r="Q756" i="3" s="1"/>
  <c r="R756" i="3" s="1"/>
  <c r="S756" i="3" s="1"/>
  <c r="Z756" i="3"/>
  <c r="AA756" i="3"/>
  <c r="AC756" i="3"/>
  <c r="I755" i="3"/>
  <c r="W755" i="3" s="1"/>
  <c r="J755" i="3"/>
  <c r="AD755" i="3" s="1"/>
  <c r="M755" i="3"/>
  <c r="N755" i="3" s="1"/>
  <c r="T756" i="3" l="1"/>
  <c r="L755" i="3"/>
  <c r="AG756" i="3" l="1"/>
  <c r="U755" i="3"/>
  <c r="E756" i="3" s="1"/>
  <c r="H756" i="3" s="1"/>
  <c r="AH756" i="3"/>
  <c r="Y754" i="3"/>
  <c r="D756" i="3" l="1"/>
  <c r="F756" i="3" s="1"/>
  <c r="K756" i="3"/>
  <c r="AE756" i="3" s="1"/>
  <c r="G756" i="3" l="1"/>
  <c r="M756" i="3" s="1"/>
  <c r="N756" i="3" s="1"/>
  <c r="V756" i="3"/>
  <c r="A757" i="3"/>
  <c r="B757" i="3" s="1"/>
  <c r="I756" i="3" l="1"/>
  <c r="W756" i="3" s="1"/>
  <c r="J756" i="3"/>
  <c r="AC757" i="3"/>
  <c r="P757" i="3"/>
  <c r="Q757" i="3" s="1"/>
  <c r="R757" i="3" s="1"/>
  <c r="S757" i="3" s="1"/>
  <c r="Z757" i="3"/>
  <c r="AA757" i="3"/>
  <c r="L756" i="3" l="1"/>
  <c r="U756" i="3" s="1"/>
  <c r="AD756" i="3"/>
  <c r="T757" i="3"/>
  <c r="Y755" i="3" l="1"/>
  <c r="E757" i="3"/>
  <c r="H757" i="3" s="1"/>
  <c r="K757" i="3" s="1"/>
  <c r="AE757" i="3" s="1"/>
  <c r="AH757" i="3"/>
  <c r="D757" i="3"/>
  <c r="AG757" i="3"/>
  <c r="V757" i="3" l="1"/>
  <c r="A758" i="3"/>
  <c r="B758" i="3" s="1"/>
  <c r="F757" i="3"/>
  <c r="G757" i="3"/>
  <c r="I757" i="3" l="1"/>
  <c r="W757" i="3" s="1"/>
  <c r="J757" i="3"/>
  <c r="AD757" i="3" s="1"/>
  <c r="M757" i="3"/>
  <c r="N757" i="3" s="1"/>
  <c r="AA758" i="3"/>
  <c r="Z758" i="3"/>
  <c r="AC758" i="3"/>
  <c r="P758" i="3"/>
  <c r="Q758" i="3" s="1"/>
  <c r="R758" i="3" s="1"/>
  <c r="S758" i="3" s="1"/>
  <c r="T758" i="3" l="1"/>
  <c r="L757" i="3"/>
  <c r="AG758" i="3" l="1"/>
  <c r="U757" i="3"/>
  <c r="D758" i="3" s="1"/>
  <c r="AH758" i="3"/>
  <c r="Y756" i="3"/>
  <c r="E758" i="3" l="1"/>
  <c r="H758" i="3" s="1"/>
  <c r="K758" i="3" s="1"/>
  <c r="AE758" i="3" s="1"/>
  <c r="G758" i="3"/>
  <c r="F758" i="3" l="1"/>
  <c r="V758" i="3"/>
  <c r="A759" i="3"/>
  <c r="B759" i="3" s="1"/>
  <c r="I758" i="3"/>
  <c r="J758" i="3"/>
  <c r="AD758" i="3" s="1"/>
  <c r="M758" i="3"/>
  <c r="N758" i="3" s="1"/>
  <c r="L758" i="3" l="1"/>
  <c r="W758" i="3"/>
  <c r="P759" i="3"/>
  <c r="Q759" i="3" s="1"/>
  <c r="R759" i="3" s="1"/>
  <c r="S759" i="3" s="1"/>
  <c r="Z759" i="3"/>
  <c r="AA759" i="3"/>
  <c r="AC759" i="3"/>
  <c r="U758" i="3" l="1"/>
  <c r="Y757" i="3"/>
  <c r="T759" i="3"/>
  <c r="D759" i="3" l="1"/>
  <c r="G759" i="3" s="1"/>
  <c r="AG759" i="3"/>
  <c r="E759" i="3"/>
  <c r="H759" i="3" s="1"/>
  <c r="AH759" i="3"/>
  <c r="F759" i="3" l="1"/>
  <c r="I759" i="3"/>
  <c r="J759" i="3"/>
  <c r="AD759" i="3" s="1"/>
  <c r="M759" i="3"/>
  <c r="N759" i="3" s="1"/>
  <c r="K759" i="3"/>
  <c r="AE759" i="3" s="1"/>
  <c r="V759" i="3" l="1"/>
  <c r="W759" i="3" s="1"/>
  <c r="A760" i="3"/>
  <c r="B760" i="3" s="1"/>
  <c r="L759" i="3"/>
  <c r="U759" i="3" l="1"/>
  <c r="Y758" i="3"/>
  <c r="AA760" i="3"/>
  <c r="AC760" i="3"/>
  <c r="Z760" i="3"/>
  <c r="P760" i="3"/>
  <c r="Q760" i="3" s="1"/>
  <c r="R760" i="3" s="1"/>
  <c r="S760" i="3" s="1"/>
  <c r="T760" i="3" l="1"/>
  <c r="E760" i="3" s="1"/>
  <c r="H760" i="3" s="1"/>
  <c r="AH760" i="3" l="1"/>
  <c r="AG760" i="3"/>
  <c r="D760" i="3"/>
  <c r="G760" i="3" s="1"/>
  <c r="K760" i="3"/>
  <c r="AE760" i="3" s="1"/>
  <c r="F760" i="3" l="1"/>
  <c r="I760" i="3"/>
  <c r="J760" i="3"/>
  <c r="AD760" i="3" s="1"/>
  <c r="M760" i="3"/>
  <c r="N760" i="3" s="1"/>
  <c r="V760" i="3"/>
  <c r="A761" i="3"/>
  <c r="B761" i="3" s="1"/>
  <c r="W760" i="3" l="1"/>
  <c r="L760" i="3"/>
  <c r="P761" i="3"/>
  <c r="Q761" i="3" s="1"/>
  <c r="R761" i="3" s="1"/>
  <c r="S761" i="3" s="1"/>
  <c r="Z761" i="3"/>
  <c r="AA761" i="3"/>
  <c r="AC761" i="3"/>
  <c r="T761" i="3" l="1"/>
  <c r="U760" i="3"/>
  <c r="Y759" i="3"/>
  <c r="D761" i="3" l="1"/>
  <c r="G761" i="3" s="1"/>
  <c r="AG761" i="3"/>
  <c r="AH761" i="3"/>
  <c r="E761" i="3"/>
  <c r="H761" i="3" s="1"/>
  <c r="F761" i="3" l="1"/>
  <c r="I761" i="3"/>
  <c r="J761" i="3"/>
  <c r="AD761" i="3" s="1"/>
  <c r="M761" i="3"/>
  <c r="N761" i="3" s="1"/>
  <c r="K761" i="3"/>
  <c r="AE761" i="3" s="1"/>
  <c r="V761" i="3" l="1"/>
  <c r="W761" i="3" s="1"/>
  <c r="A762" i="3"/>
  <c r="B762" i="3" s="1"/>
  <c r="L761" i="3"/>
  <c r="U761" i="3" l="1"/>
  <c r="Y760" i="3"/>
  <c r="AA762" i="3"/>
  <c r="Z762" i="3"/>
  <c r="AC762" i="3"/>
  <c r="P762" i="3"/>
  <c r="Q762" i="3" s="1"/>
  <c r="R762" i="3" s="1"/>
  <c r="S762" i="3" s="1"/>
  <c r="T762" i="3" l="1"/>
  <c r="D762" i="3" s="1"/>
  <c r="E762" i="3" l="1"/>
  <c r="H762" i="3" s="1"/>
  <c r="K762" i="3" s="1"/>
  <c r="AE762" i="3" s="1"/>
  <c r="AH762" i="3"/>
  <c r="AG762" i="3"/>
  <c r="G762" i="3"/>
  <c r="F762" i="3" l="1"/>
  <c r="I762" i="3"/>
  <c r="J762" i="3"/>
  <c r="AD762" i="3" s="1"/>
  <c r="M762" i="3"/>
  <c r="N762" i="3" s="1"/>
  <c r="V762" i="3"/>
  <c r="A763" i="3"/>
  <c r="B763" i="3" s="1"/>
  <c r="W762" i="3" l="1"/>
  <c r="L762" i="3"/>
  <c r="AC763" i="3"/>
  <c r="Z763" i="3"/>
  <c r="AA763" i="3"/>
  <c r="P763" i="3"/>
  <c r="Q763" i="3" s="1"/>
  <c r="R763" i="3" s="1"/>
  <c r="S763" i="3" s="1"/>
  <c r="U762" i="3" l="1"/>
  <c r="Y761" i="3"/>
  <c r="T763" i="3"/>
  <c r="D763" i="3" l="1"/>
  <c r="G763" i="3" s="1"/>
  <c r="AG763" i="3"/>
  <c r="AH763" i="3"/>
  <c r="E763" i="3"/>
  <c r="H763" i="3" s="1"/>
  <c r="K763" i="3" s="1"/>
  <c r="AE763" i="3" s="1"/>
  <c r="F763" i="3" l="1"/>
  <c r="I763" i="3"/>
  <c r="J763" i="3"/>
  <c r="AD763" i="3" s="1"/>
  <c r="M763" i="3"/>
  <c r="N763" i="3" s="1"/>
  <c r="V763" i="3"/>
  <c r="A764" i="3"/>
  <c r="B764" i="3" s="1"/>
  <c r="W763" i="3" l="1"/>
  <c r="L763" i="3"/>
  <c r="Z764" i="3"/>
  <c r="P764" i="3"/>
  <c r="Q764" i="3" s="1"/>
  <c r="R764" i="3" s="1"/>
  <c r="S764" i="3" s="1"/>
  <c r="AC764" i="3"/>
  <c r="AA764" i="3"/>
  <c r="U763" i="3" l="1"/>
  <c r="Y762" i="3"/>
  <c r="T764" i="3"/>
  <c r="E764" i="3" l="1"/>
  <c r="H764" i="3" s="1"/>
  <c r="K764" i="3" s="1"/>
  <c r="AE764" i="3" s="1"/>
  <c r="AG764" i="3"/>
  <c r="D764" i="3"/>
  <c r="AH764" i="3"/>
  <c r="F764" i="3" l="1"/>
  <c r="G764" i="3"/>
  <c r="V764" i="3"/>
  <c r="A765" i="3"/>
  <c r="B765" i="3" s="1"/>
  <c r="P765" i="3" l="1"/>
  <c r="Q765" i="3" s="1"/>
  <c r="R765" i="3" s="1"/>
  <c r="S765" i="3" s="1"/>
  <c r="Z765" i="3"/>
  <c r="AA765" i="3"/>
  <c r="AC765" i="3"/>
  <c r="I764" i="3"/>
  <c r="W764" i="3" s="1"/>
  <c r="J764" i="3"/>
  <c r="AD764" i="3" s="1"/>
  <c r="M764" i="3"/>
  <c r="N764" i="3" s="1"/>
  <c r="T765" i="3" l="1"/>
  <c r="L764" i="3"/>
  <c r="AG765" i="3" l="1"/>
  <c r="AH765" i="3"/>
  <c r="U764" i="3"/>
  <c r="D765" i="3" s="1"/>
  <c r="Y763" i="3"/>
  <c r="E765" i="3" l="1"/>
  <c r="H765" i="3" s="1"/>
  <c r="K765" i="3" s="1"/>
  <c r="AE765" i="3" s="1"/>
  <c r="G765" i="3"/>
  <c r="F765" i="3" l="1"/>
  <c r="I765" i="3"/>
  <c r="J765" i="3"/>
  <c r="AD765" i="3" s="1"/>
  <c r="M765" i="3"/>
  <c r="N765" i="3" s="1"/>
  <c r="V765" i="3"/>
  <c r="A766" i="3"/>
  <c r="B766" i="3" s="1"/>
  <c r="W765" i="3" l="1"/>
  <c r="L765" i="3"/>
  <c r="P766" i="3"/>
  <c r="Q766" i="3" s="1"/>
  <c r="R766" i="3" s="1"/>
  <c r="S766" i="3" s="1"/>
  <c r="AA766" i="3"/>
  <c r="Z766" i="3"/>
  <c r="AC766" i="3"/>
  <c r="U765" i="3" l="1"/>
  <c r="Y764" i="3"/>
  <c r="T766" i="3"/>
  <c r="E766" i="3" l="1"/>
  <c r="H766" i="3" s="1"/>
  <c r="K766" i="3" s="1"/>
  <c r="AE766" i="3" s="1"/>
  <c r="D766" i="3"/>
  <c r="AG766" i="3"/>
  <c r="AH766" i="3"/>
  <c r="V766" i="3" l="1"/>
  <c r="A767" i="3"/>
  <c r="B767" i="3" s="1"/>
  <c r="F766" i="3"/>
  <c r="G766" i="3"/>
  <c r="I766" i="3" l="1"/>
  <c r="W766" i="3" s="1"/>
  <c r="J766" i="3"/>
  <c r="AD766" i="3" s="1"/>
  <c r="M766" i="3"/>
  <c r="N766" i="3" s="1"/>
  <c r="P767" i="3"/>
  <c r="Q767" i="3" s="1"/>
  <c r="R767" i="3" s="1"/>
  <c r="S767" i="3" s="1"/>
  <c r="AC767" i="3"/>
  <c r="AA767" i="3"/>
  <c r="Z767" i="3"/>
  <c r="T767" i="3" l="1"/>
  <c r="L766" i="3"/>
  <c r="AH767" i="3" l="1"/>
  <c r="AG767" i="3"/>
  <c r="U766" i="3"/>
  <c r="D767" i="3" s="1"/>
  <c r="Y765" i="3"/>
  <c r="E767" i="3" l="1"/>
  <c r="H767" i="3" s="1"/>
  <c r="K767" i="3" s="1"/>
  <c r="AE767" i="3" s="1"/>
  <c r="G767" i="3"/>
  <c r="F767" i="3" l="1"/>
  <c r="I767" i="3"/>
  <c r="J767" i="3"/>
  <c r="AD767" i="3" s="1"/>
  <c r="M767" i="3"/>
  <c r="N767" i="3" s="1"/>
  <c r="V767" i="3"/>
  <c r="A768" i="3"/>
  <c r="B768" i="3" s="1"/>
  <c r="W767" i="3" l="1"/>
  <c r="L767" i="3"/>
  <c r="AC768" i="3"/>
  <c r="AA768" i="3"/>
  <c r="P768" i="3"/>
  <c r="Q768" i="3" s="1"/>
  <c r="R768" i="3" s="1"/>
  <c r="S768" i="3" s="1"/>
  <c r="Z768" i="3"/>
  <c r="T768" i="3" l="1"/>
  <c r="AG768" i="3" s="1"/>
  <c r="U767" i="3"/>
  <c r="Y766" i="3"/>
  <c r="D768" i="3" l="1"/>
  <c r="G768" i="3" s="1"/>
  <c r="AH768" i="3"/>
  <c r="E768" i="3"/>
  <c r="H768" i="3" s="1"/>
  <c r="K768" i="3" l="1"/>
  <c r="AE768" i="3" s="1"/>
  <c r="I768" i="3"/>
  <c r="J768" i="3"/>
  <c r="AD768" i="3" s="1"/>
  <c r="M768" i="3"/>
  <c r="N768" i="3" s="1"/>
  <c r="F768" i="3"/>
  <c r="L768" i="3" l="1"/>
  <c r="V768" i="3"/>
  <c r="W768" i="3" s="1"/>
  <c r="A769" i="3"/>
  <c r="B769" i="3" s="1"/>
  <c r="AC769" i="3" l="1"/>
  <c r="Z769" i="3"/>
  <c r="P769" i="3"/>
  <c r="Q769" i="3" s="1"/>
  <c r="R769" i="3" s="1"/>
  <c r="S769" i="3" s="1"/>
  <c r="AA769" i="3"/>
  <c r="U768" i="3"/>
  <c r="Y767" i="3"/>
  <c r="T769" i="3" l="1"/>
  <c r="AG769" i="3" l="1"/>
  <c r="D769" i="3"/>
  <c r="AH769" i="3"/>
  <c r="E769" i="3"/>
  <c r="H769" i="3" s="1"/>
  <c r="F769" i="3" l="1"/>
  <c r="G769" i="3"/>
  <c r="K769" i="3"/>
  <c r="AE769" i="3" s="1"/>
  <c r="V769" i="3" l="1"/>
  <c r="A770" i="3"/>
  <c r="B770" i="3" s="1"/>
  <c r="I769" i="3"/>
  <c r="J769" i="3"/>
  <c r="AD769" i="3" s="1"/>
  <c r="M769" i="3"/>
  <c r="N769" i="3" s="1"/>
  <c r="W769" i="3" l="1"/>
  <c r="L769" i="3"/>
  <c r="AC770" i="3"/>
  <c r="P770" i="3"/>
  <c r="Q770" i="3" s="1"/>
  <c r="R770" i="3" s="1"/>
  <c r="S770" i="3" s="1"/>
  <c r="Z770" i="3"/>
  <c r="AA770" i="3"/>
  <c r="U769" i="3" l="1"/>
  <c r="Y768" i="3"/>
  <c r="T770" i="3"/>
  <c r="AG770" i="3" s="1"/>
  <c r="E770" i="3" l="1"/>
  <c r="H770" i="3" s="1"/>
  <c r="K770" i="3" s="1"/>
  <c r="AE770" i="3" s="1"/>
  <c r="D770" i="3"/>
  <c r="AH770" i="3"/>
  <c r="F770" i="3" l="1"/>
  <c r="G770" i="3"/>
  <c r="M770" i="3" s="1"/>
  <c r="N770" i="3" s="1"/>
  <c r="V770" i="3"/>
  <c r="A771" i="3"/>
  <c r="B771" i="3" s="1"/>
  <c r="I770" i="3" l="1"/>
  <c r="W770" i="3" s="1"/>
  <c r="J770" i="3"/>
  <c r="AA771" i="3"/>
  <c r="AC771" i="3"/>
  <c r="P771" i="3"/>
  <c r="Q771" i="3" s="1"/>
  <c r="R771" i="3" s="1"/>
  <c r="S771" i="3" s="1"/>
  <c r="Z771" i="3"/>
  <c r="L770" i="3" l="1"/>
  <c r="U770" i="3" s="1"/>
  <c r="AD770" i="3"/>
  <c r="T771" i="3"/>
  <c r="AH771" i="3" l="1"/>
  <c r="Y769" i="3"/>
  <c r="E771" i="3"/>
  <c r="H771" i="3" s="1"/>
  <c r="AG771" i="3"/>
  <c r="D771" i="3"/>
  <c r="K771" i="3" l="1"/>
  <c r="AE771" i="3" s="1"/>
  <c r="F771" i="3"/>
  <c r="G771" i="3"/>
  <c r="V771" i="3" l="1"/>
  <c r="A772" i="3"/>
  <c r="B772" i="3" s="1"/>
  <c r="I771" i="3"/>
  <c r="J771" i="3"/>
  <c r="AD771" i="3" s="1"/>
  <c r="M771" i="3"/>
  <c r="N771" i="3" s="1"/>
  <c r="L771" i="3" l="1"/>
  <c r="W771" i="3"/>
  <c r="AA772" i="3"/>
  <c r="Z772" i="3"/>
  <c r="AC772" i="3"/>
  <c r="P772" i="3"/>
  <c r="Q772" i="3" s="1"/>
  <c r="R772" i="3" s="1"/>
  <c r="S772" i="3" s="1"/>
  <c r="U771" i="3" l="1"/>
  <c r="Y770" i="3"/>
  <c r="T772" i="3"/>
  <c r="E772" i="3" l="1"/>
  <c r="H772" i="3" s="1"/>
  <c r="K772" i="3" s="1"/>
  <c r="AE772" i="3" s="1"/>
  <c r="D772" i="3"/>
  <c r="G772" i="3" s="1"/>
  <c r="AG772" i="3"/>
  <c r="AH772" i="3"/>
  <c r="F772" i="3" l="1"/>
  <c r="V772" i="3"/>
  <c r="A773" i="3"/>
  <c r="B773" i="3" s="1"/>
  <c r="I772" i="3"/>
  <c r="J772" i="3"/>
  <c r="AD772" i="3" s="1"/>
  <c r="M772" i="3"/>
  <c r="N772" i="3" s="1"/>
  <c r="W772" i="3" l="1"/>
  <c r="L772" i="3"/>
  <c r="AA773" i="3"/>
  <c r="P773" i="3"/>
  <c r="Q773" i="3" s="1"/>
  <c r="R773" i="3" s="1"/>
  <c r="S773" i="3" s="1"/>
  <c r="Z773" i="3"/>
  <c r="AC773" i="3"/>
  <c r="U772" i="3" l="1"/>
  <c r="Y771" i="3"/>
  <c r="T773" i="3"/>
  <c r="AG773" i="3" s="1"/>
  <c r="D773" i="3" l="1"/>
  <c r="E773" i="3"/>
  <c r="H773" i="3" s="1"/>
  <c r="K773" i="3" s="1"/>
  <c r="AE773" i="3" s="1"/>
  <c r="AH773" i="3"/>
  <c r="F773" i="3" l="1"/>
  <c r="G773" i="3"/>
  <c r="M773" i="3" s="1"/>
  <c r="N773" i="3" s="1"/>
  <c r="V773" i="3"/>
  <c r="A774" i="3"/>
  <c r="B774" i="3" s="1"/>
  <c r="I773" i="3" l="1"/>
  <c r="W773" i="3" s="1"/>
  <c r="J773" i="3"/>
  <c r="AC774" i="3"/>
  <c r="P774" i="3"/>
  <c r="Q774" i="3" s="1"/>
  <c r="R774" i="3" s="1"/>
  <c r="S774" i="3" s="1"/>
  <c r="AA774" i="3"/>
  <c r="Z774" i="3"/>
  <c r="L773" i="3" l="1"/>
  <c r="Y772" i="3" s="1"/>
  <c r="AD773" i="3"/>
  <c r="T774" i="3"/>
  <c r="AG774" i="3" l="1"/>
  <c r="U773" i="3"/>
  <c r="E774" i="3" s="1"/>
  <c r="H774" i="3" s="1"/>
  <c r="K774" i="3" s="1"/>
  <c r="AE774" i="3" s="1"/>
  <c r="AH774" i="3"/>
  <c r="D774" i="3" l="1"/>
  <c r="F774" i="3" s="1"/>
  <c r="V774" i="3"/>
  <c r="A775" i="3"/>
  <c r="B775" i="3" s="1"/>
  <c r="G774" i="3" l="1"/>
  <c r="M774" i="3" s="1"/>
  <c r="N774" i="3" s="1"/>
  <c r="P775" i="3"/>
  <c r="Q775" i="3" s="1"/>
  <c r="R775" i="3" s="1"/>
  <c r="S775" i="3" s="1"/>
  <c r="Z775" i="3"/>
  <c r="AD775" i="3"/>
  <c r="AA775" i="3"/>
  <c r="AC775" i="3"/>
  <c r="J774" i="3" l="1"/>
  <c r="L774" i="3" s="1"/>
  <c r="Y773" i="3" s="1"/>
  <c r="I774" i="3"/>
  <c r="W774" i="3" s="1"/>
  <c r="AD774" i="3"/>
  <c r="T775" i="3"/>
  <c r="U774" i="3" l="1"/>
  <c r="D775" i="3" s="1"/>
  <c r="AG775" i="3"/>
  <c r="AH775" i="3"/>
  <c r="E775" i="3" l="1"/>
  <c r="H775" i="3" s="1"/>
  <c r="K775" i="3" s="1"/>
  <c r="AE775" i="3" s="1"/>
  <c r="G775" i="3"/>
  <c r="M775" i="3" l="1"/>
  <c r="N775" i="3" s="1"/>
  <c r="A776" i="3"/>
  <c r="B776" i="3" s="1"/>
  <c r="AD776" i="3" s="1"/>
  <c r="V775" i="3"/>
  <c r="F775" i="3"/>
  <c r="I775" i="3"/>
  <c r="J775" i="3"/>
  <c r="L775" i="3" s="1"/>
  <c r="W775" i="3" l="1"/>
  <c r="P776" i="3"/>
  <c r="Q776" i="3" s="1"/>
  <c r="R776" i="3" s="1"/>
  <c r="S776" i="3" s="1"/>
  <c r="T776" i="3" s="1"/>
  <c r="AA776" i="3"/>
  <c r="AC776" i="3"/>
  <c r="Z776" i="3"/>
  <c r="U775" i="3"/>
  <c r="Y774" i="3"/>
  <c r="AG776" i="3" l="1"/>
  <c r="AH776" i="3"/>
  <c r="E776" i="3"/>
  <c r="H776" i="3" s="1"/>
  <c r="K776" i="3" s="1"/>
  <c r="AE776" i="3" s="1"/>
  <c r="D776" i="3"/>
  <c r="G776" i="3" s="1"/>
  <c r="F776" i="3" l="1"/>
  <c r="I776" i="3"/>
  <c r="J776" i="3"/>
  <c r="M776" i="3"/>
  <c r="N776" i="3" s="1"/>
  <c r="V776" i="3"/>
  <c r="A777" i="3"/>
  <c r="B777" i="3" s="1"/>
  <c r="W776" i="3" l="1"/>
  <c r="L776" i="3"/>
  <c r="Z777" i="3"/>
  <c r="AA777" i="3"/>
  <c r="P777" i="3"/>
  <c r="Q777" i="3" s="1"/>
  <c r="R777" i="3" s="1"/>
  <c r="S777" i="3" s="1"/>
  <c r="AD777" i="3"/>
  <c r="AC777" i="3"/>
  <c r="U776" i="3" l="1"/>
  <c r="Y775" i="3"/>
  <c r="T777" i="3"/>
  <c r="AH777" i="3" s="1"/>
  <c r="E777" i="3" l="1"/>
  <c r="H777" i="3" s="1"/>
  <c r="D777" i="3"/>
  <c r="AG777" i="3"/>
  <c r="K777" i="3" l="1"/>
  <c r="AE777" i="3" s="1"/>
  <c r="F777" i="3"/>
  <c r="G777" i="3"/>
  <c r="I777" i="3" l="1"/>
  <c r="J777" i="3"/>
  <c r="M777" i="3"/>
  <c r="N777" i="3" s="1"/>
  <c r="V777" i="3"/>
  <c r="A778" i="3"/>
  <c r="B778" i="3" s="1"/>
  <c r="L777" i="3" l="1"/>
  <c r="W777" i="3"/>
  <c r="P778" i="3"/>
  <c r="Q778" i="3" s="1"/>
  <c r="R778" i="3" s="1"/>
  <c r="S778" i="3" s="1"/>
  <c r="Z778" i="3"/>
  <c r="AA778" i="3"/>
  <c r="AC778" i="3"/>
  <c r="U777" i="3" l="1"/>
  <c r="Y776" i="3"/>
  <c r="T778" i="3"/>
  <c r="AH778" i="3" s="1"/>
  <c r="E778" i="3" l="1"/>
  <c r="H778" i="3" s="1"/>
  <c r="K778" i="3" s="1"/>
  <c r="AE778" i="3" s="1"/>
  <c r="AG778" i="3"/>
  <c r="D778" i="3"/>
  <c r="G778" i="3" s="1"/>
  <c r="F778" i="3" l="1"/>
  <c r="I778" i="3"/>
  <c r="J778" i="3"/>
  <c r="AD778" i="3" s="1"/>
  <c r="M778" i="3"/>
  <c r="N778" i="3" s="1"/>
  <c r="V778" i="3"/>
  <c r="A779" i="3"/>
  <c r="B779" i="3" s="1"/>
  <c r="W778" i="3" l="1"/>
  <c r="L778" i="3"/>
  <c r="P779" i="3"/>
  <c r="Q779" i="3" s="1"/>
  <c r="R779" i="3" s="1"/>
  <c r="S779" i="3" s="1"/>
  <c r="AA779" i="3"/>
  <c r="AC779" i="3"/>
  <c r="AD779" i="3"/>
  <c r="Z779" i="3"/>
  <c r="U778" i="3" l="1"/>
  <c r="Y777" i="3"/>
  <c r="T779" i="3"/>
  <c r="E779" i="3" l="1"/>
  <c r="H779" i="3" s="1"/>
  <c r="K779" i="3" s="1"/>
  <c r="AE779" i="3" s="1"/>
  <c r="AG779" i="3"/>
  <c r="AH779" i="3"/>
  <c r="D779" i="3"/>
  <c r="G779" i="3" s="1"/>
  <c r="F779" i="3" l="1"/>
  <c r="I779" i="3"/>
  <c r="J779" i="3"/>
  <c r="M779" i="3"/>
  <c r="N779" i="3" s="1"/>
  <c r="V779" i="3"/>
  <c r="A780" i="3"/>
  <c r="B780" i="3" s="1"/>
  <c r="W779" i="3" l="1"/>
  <c r="L779" i="3"/>
  <c r="P780" i="3"/>
  <c r="Q780" i="3" s="1"/>
  <c r="R780" i="3" s="1"/>
  <c r="S780" i="3" s="1"/>
  <c r="AD780" i="3"/>
  <c r="AA780" i="3"/>
  <c r="Z780" i="3"/>
  <c r="AC780" i="3"/>
  <c r="U779" i="3" l="1"/>
  <c r="Y778" i="3"/>
  <c r="T780" i="3"/>
  <c r="D780" i="3" l="1"/>
  <c r="G780" i="3" s="1"/>
  <c r="AH780" i="3"/>
  <c r="E780" i="3"/>
  <c r="H780" i="3" s="1"/>
  <c r="K780" i="3" s="1"/>
  <c r="AE780" i="3" s="1"/>
  <c r="AG780" i="3"/>
  <c r="F780" i="3" l="1"/>
  <c r="I780" i="3"/>
  <c r="J780" i="3"/>
  <c r="M780" i="3"/>
  <c r="N780" i="3" s="1"/>
  <c r="V780" i="3"/>
  <c r="A781" i="3"/>
  <c r="B781" i="3" s="1"/>
  <c r="W780" i="3" l="1"/>
  <c r="L780" i="3"/>
  <c r="P781" i="3"/>
  <c r="Q781" i="3" s="1"/>
  <c r="R781" i="3" s="1"/>
  <c r="S781" i="3" s="1"/>
  <c r="AD781" i="3"/>
  <c r="Z781" i="3"/>
  <c r="AA781" i="3"/>
  <c r="AC781" i="3"/>
  <c r="T781" i="3" l="1"/>
  <c r="U780" i="3"/>
  <c r="Y779" i="3"/>
  <c r="E781" i="3" l="1"/>
  <c r="H781" i="3" s="1"/>
  <c r="K781" i="3" s="1"/>
  <c r="AE781" i="3" s="1"/>
  <c r="AG781" i="3"/>
  <c r="AH781" i="3"/>
  <c r="D781" i="3"/>
  <c r="F781" i="3" l="1"/>
  <c r="G781" i="3"/>
  <c r="V781" i="3"/>
  <c r="A782" i="3"/>
  <c r="B782" i="3" s="1"/>
  <c r="P782" i="3" l="1"/>
  <c r="Q782" i="3" s="1"/>
  <c r="R782" i="3" s="1"/>
  <c r="S782" i="3" s="1"/>
  <c r="AC782" i="3"/>
  <c r="AD782" i="3"/>
  <c r="AA782" i="3"/>
  <c r="Z782" i="3"/>
  <c r="I781" i="3"/>
  <c r="W781" i="3" s="1"/>
  <c r="J781" i="3"/>
  <c r="M781" i="3"/>
  <c r="N781" i="3" s="1"/>
  <c r="T782" i="3" l="1"/>
  <c r="L781" i="3"/>
  <c r="U781" i="3" l="1"/>
  <c r="D782" i="3" s="1"/>
  <c r="AH782" i="3"/>
  <c r="AG782" i="3"/>
  <c r="Y780" i="3"/>
  <c r="E782" i="3" l="1"/>
  <c r="H782" i="3" s="1"/>
  <c r="K782" i="3" s="1"/>
  <c r="AE782" i="3" s="1"/>
  <c r="G782" i="3"/>
  <c r="F782" i="3" l="1"/>
  <c r="I782" i="3"/>
  <c r="J782" i="3"/>
  <c r="M782" i="3"/>
  <c r="N782" i="3" s="1"/>
  <c r="V782" i="3"/>
  <c r="A783" i="3"/>
  <c r="B783" i="3" s="1"/>
  <c r="W782" i="3" l="1"/>
  <c r="L782" i="3"/>
  <c r="AA783" i="3"/>
  <c r="Z783" i="3"/>
  <c r="P783" i="3"/>
  <c r="Q783" i="3" s="1"/>
  <c r="R783" i="3" s="1"/>
  <c r="S783" i="3" s="1"/>
  <c r="AD783" i="3"/>
  <c r="AC783" i="3"/>
  <c r="U782" i="3" l="1"/>
  <c r="Y781" i="3"/>
  <c r="T783" i="3"/>
  <c r="AH783" i="3" s="1"/>
  <c r="AG783" i="3" l="1"/>
  <c r="D783" i="3"/>
  <c r="G783" i="3" s="1"/>
  <c r="E783" i="3"/>
  <c r="H783" i="3" s="1"/>
  <c r="K783" i="3" s="1"/>
  <c r="AE783" i="3" s="1"/>
  <c r="F783" i="3" l="1"/>
  <c r="I783" i="3"/>
  <c r="J783" i="3"/>
  <c r="M783" i="3"/>
  <c r="N783" i="3" s="1"/>
  <c r="V783" i="3"/>
  <c r="A784" i="3"/>
  <c r="B784" i="3" s="1"/>
  <c r="W783" i="3" l="1"/>
  <c r="L783" i="3"/>
  <c r="AC784" i="3"/>
  <c r="Z784" i="3"/>
  <c r="P784" i="3"/>
  <c r="Q784" i="3" s="1"/>
  <c r="R784" i="3" s="1"/>
  <c r="S784" i="3" s="1"/>
  <c r="AA784" i="3"/>
  <c r="T784" i="3" l="1"/>
  <c r="AG784" i="3" s="1"/>
  <c r="U783" i="3"/>
  <c r="Y782" i="3"/>
  <c r="E784" i="3" l="1"/>
  <c r="H784" i="3" s="1"/>
  <c r="AH784" i="3"/>
  <c r="D784" i="3"/>
  <c r="K784" i="3" l="1"/>
  <c r="AE784" i="3" s="1"/>
  <c r="F784" i="3"/>
  <c r="G784" i="3"/>
  <c r="V784" i="3" l="1"/>
  <c r="A785" i="3"/>
  <c r="B785" i="3" s="1"/>
  <c r="I784" i="3"/>
  <c r="J784" i="3"/>
  <c r="AD784" i="3" s="1"/>
  <c r="M784" i="3"/>
  <c r="N784" i="3" s="1"/>
  <c r="W784" i="3" l="1"/>
  <c r="L784" i="3"/>
  <c r="AA785" i="3"/>
  <c r="P785" i="3"/>
  <c r="Q785" i="3" s="1"/>
  <c r="R785" i="3" s="1"/>
  <c r="S785" i="3" s="1"/>
  <c r="AC785" i="3"/>
  <c r="Z785" i="3"/>
  <c r="U784" i="3" l="1"/>
  <c r="Y783" i="3"/>
  <c r="T785" i="3"/>
  <c r="AH785" i="3" s="1"/>
  <c r="E785" i="3" l="1"/>
  <c r="H785" i="3" s="1"/>
  <c r="AG785" i="3"/>
  <c r="D785" i="3"/>
  <c r="K785" i="3" l="1"/>
  <c r="AE785" i="3" s="1"/>
  <c r="F785" i="3"/>
  <c r="G785" i="3"/>
  <c r="I785" i="3" l="1"/>
  <c r="J785" i="3"/>
  <c r="AD785" i="3" s="1"/>
  <c r="M785" i="3"/>
  <c r="N785" i="3" s="1"/>
  <c r="V785" i="3"/>
  <c r="A786" i="3"/>
  <c r="B786" i="3" s="1"/>
  <c r="W785" i="3" l="1"/>
  <c r="L785" i="3"/>
  <c r="Z786" i="3"/>
  <c r="AA786" i="3"/>
  <c r="P786" i="3"/>
  <c r="Q786" i="3" s="1"/>
  <c r="R786" i="3" s="1"/>
  <c r="S786" i="3" s="1"/>
  <c r="AC786" i="3"/>
  <c r="U785" i="3" l="1"/>
  <c r="Y784" i="3"/>
  <c r="T786" i="3"/>
  <c r="E786" i="3" l="1"/>
  <c r="H786" i="3" s="1"/>
  <c r="K786" i="3" s="1"/>
  <c r="AE786" i="3" s="1"/>
  <c r="AG786" i="3"/>
  <c r="D786" i="3"/>
  <c r="G786" i="3" s="1"/>
  <c r="AH786" i="3"/>
  <c r="F786" i="3" l="1"/>
  <c r="I786" i="3"/>
  <c r="J786" i="3"/>
  <c r="AD786" i="3" s="1"/>
  <c r="M786" i="3"/>
  <c r="N786" i="3" s="1"/>
  <c r="V786" i="3"/>
  <c r="A787" i="3"/>
  <c r="B787" i="3" s="1"/>
  <c r="L786" i="3" l="1"/>
  <c r="W786" i="3"/>
  <c r="AC787" i="3"/>
  <c r="P787" i="3"/>
  <c r="Q787" i="3" s="1"/>
  <c r="R787" i="3" s="1"/>
  <c r="S787" i="3" s="1"/>
  <c r="Z787" i="3"/>
  <c r="AA787" i="3"/>
  <c r="U786" i="3" l="1"/>
  <c r="Y785" i="3"/>
  <c r="T787" i="3"/>
  <c r="D787" i="3" l="1"/>
  <c r="G787" i="3" s="1"/>
  <c r="AH787" i="3"/>
  <c r="E787" i="3"/>
  <c r="H787" i="3" s="1"/>
  <c r="AG787" i="3"/>
  <c r="F787" i="3" l="1"/>
  <c r="I787" i="3"/>
  <c r="J787" i="3"/>
  <c r="AD787" i="3" s="1"/>
  <c r="M787" i="3"/>
  <c r="N787" i="3" s="1"/>
  <c r="K787" i="3"/>
  <c r="AE787" i="3" s="1"/>
  <c r="V787" i="3" l="1"/>
  <c r="W787" i="3" s="1"/>
  <c r="A788" i="3"/>
  <c r="B788" i="3" s="1"/>
  <c r="L787" i="3"/>
  <c r="U787" i="3" l="1"/>
  <c r="Y786" i="3"/>
  <c r="AC788" i="3"/>
  <c r="Z788" i="3"/>
  <c r="AA788" i="3"/>
  <c r="P788" i="3"/>
  <c r="Q788" i="3" s="1"/>
  <c r="R788" i="3" s="1"/>
  <c r="S788" i="3" s="1"/>
  <c r="T788" i="3" l="1"/>
  <c r="E788" i="3" s="1"/>
  <c r="H788" i="3" s="1"/>
  <c r="D788" i="3" l="1"/>
  <c r="F788" i="3" s="1"/>
  <c r="AG788" i="3"/>
  <c r="AH788" i="3"/>
  <c r="K788" i="3"/>
  <c r="AE788" i="3" s="1"/>
  <c r="G788" i="3" l="1"/>
  <c r="I788" i="3" s="1"/>
  <c r="V788" i="3"/>
  <c r="A789" i="3"/>
  <c r="B789" i="3" s="1"/>
  <c r="M788" i="3" l="1"/>
  <c r="N788" i="3" s="1"/>
  <c r="J788" i="3"/>
  <c r="W788" i="3"/>
  <c r="P789" i="3"/>
  <c r="Q789" i="3" s="1"/>
  <c r="R789" i="3" s="1"/>
  <c r="S789" i="3" s="1"/>
  <c r="AC789" i="3"/>
  <c r="AA789" i="3"/>
  <c r="Z789" i="3"/>
  <c r="L788" i="3" l="1"/>
  <c r="U788" i="3" s="1"/>
  <c r="AD788" i="3"/>
  <c r="T789" i="3"/>
  <c r="Y787" i="3" l="1"/>
  <c r="D789" i="3"/>
  <c r="G789" i="3" s="1"/>
  <c r="E789" i="3"/>
  <c r="H789" i="3" s="1"/>
  <c r="AH789" i="3"/>
  <c r="AG789" i="3"/>
  <c r="F789" i="3" l="1"/>
  <c r="I789" i="3"/>
  <c r="J789" i="3"/>
  <c r="AD789" i="3" s="1"/>
  <c r="M789" i="3"/>
  <c r="N789" i="3" s="1"/>
  <c r="K789" i="3"/>
  <c r="AE789" i="3" s="1"/>
  <c r="L789" i="3" l="1"/>
  <c r="V789" i="3"/>
  <c r="W789" i="3" s="1"/>
  <c r="A790" i="3"/>
  <c r="B790" i="3" s="1"/>
  <c r="AA790" i="3" l="1"/>
  <c r="AC790" i="3"/>
  <c r="Z790" i="3"/>
  <c r="P790" i="3"/>
  <c r="Q790" i="3" s="1"/>
  <c r="R790" i="3" s="1"/>
  <c r="S790" i="3" s="1"/>
  <c r="U789" i="3"/>
  <c r="Y788" i="3"/>
  <c r="T790" i="3" l="1"/>
  <c r="D790" i="3" s="1"/>
  <c r="AG790" i="3" l="1"/>
  <c r="G790" i="3"/>
  <c r="AH790" i="3"/>
  <c r="E790" i="3"/>
  <c r="H790" i="3" s="1"/>
  <c r="F790" i="3" l="1"/>
  <c r="I790" i="3"/>
  <c r="J790" i="3"/>
  <c r="AD790" i="3" s="1"/>
  <c r="M790" i="3"/>
  <c r="N790" i="3" s="1"/>
  <c r="K790" i="3"/>
  <c r="AE790" i="3" s="1"/>
  <c r="V790" i="3" l="1"/>
  <c r="W790" i="3" s="1"/>
  <c r="A791" i="3"/>
  <c r="B791" i="3" s="1"/>
  <c r="L790" i="3"/>
  <c r="U790" i="3" l="1"/>
  <c r="Y789" i="3"/>
  <c r="P791" i="3"/>
  <c r="Q791" i="3" s="1"/>
  <c r="R791" i="3" s="1"/>
  <c r="S791" i="3" s="1"/>
  <c r="AA791" i="3"/>
  <c r="AC791" i="3"/>
  <c r="Z791" i="3"/>
  <c r="T791" i="3" l="1"/>
  <c r="AG791" i="3" s="1"/>
  <c r="E791" i="3" l="1"/>
  <c r="H791" i="3" s="1"/>
  <c r="K791" i="3" s="1"/>
  <c r="AE791" i="3" s="1"/>
  <c r="D791" i="3"/>
  <c r="G791" i="3" s="1"/>
  <c r="AH791" i="3"/>
  <c r="F791" i="3" l="1"/>
  <c r="I791" i="3"/>
  <c r="J791" i="3"/>
  <c r="AD791" i="3" s="1"/>
  <c r="M791" i="3"/>
  <c r="N791" i="3" s="1"/>
  <c r="V791" i="3"/>
  <c r="A792" i="3"/>
  <c r="B792" i="3" s="1"/>
  <c r="W791" i="3" l="1"/>
  <c r="L791" i="3"/>
  <c r="P792" i="3"/>
  <c r="Q792" i="3" s="1"/>
  <c r="R792" i="3" s="1"/>
  <c r="S792" i="3" s="1"/>
  <c r="AC792" i="3"/>
  <c r="Z792" i="3"/>
  <c r="AA792" i="3"/>
  <c r="U791" i="3" l="1"/>
  <c r="Y790" i="3"/>
  <c r="T792" i="3"/>
  <c r="AG792" i="3" s="1"/>
  <c r="AH792" i="3" l="1"/>
  <c r="D792" i="3"/>
  <c r="E792" i="3"/>
  <c r="H792" i="3" s="1"/>
  <c r="F792" i="3" l="1"/>
  <c r="G792" i="3"/>
  <c r="K792" i="3"/>
  <c r="AE792" i="3" s="1"/>
  <c r="I792" i="3" l="1"/>
  <c r="J792" i="3"/>
  <c r="AD792" i="3" s="1"/>
  <c r="M792" i="3"/>
  <c r="N792" i="3" s="1"/>
  <c r="V792" i="3"/>
  <c r="A793" i="3"/>
  <c r="B793" i="3" s="1"/>
  <c r="L792" i="3" l="1"/>
  <c r="W792" i="3"/>
  <c r="AC793" i="3"/>
  <c r="Z793" i="3"/>
  <c r="P793" i="3"/>
  <c r="Q793" i="3" s="1"/>
  <c r="R793" i="3" s="1"/>
  <c r="S793" i="3" s="1"/>
  <c r="AA793" i="3"/>
  <c r="T793" i="3" l="1"/>
  <c r="U792" i="3"/>
  <c r="Y791" i="3"/>
  <c r="E793" i="3" l="1"/>
  <c r="H793" i="3" s="1"/>
  <c r="K793" i="3" s="1"/>
  <c r="AE793" i="3" s="1"/>
  <c r="D793" i="3"/>
  <c r="AG793" i="3"/>
  <c r="AH793" i="3"/>
  <c r="F793" i="3" l="1"/>
  <c r="G793" i="3"/>
  <c r="M793" i="3" s="1"/>
  <c r="N793" i="3" s="1"/>
  <c r="V793" i="3"/>
  <c r="A794" i="3"/>
  <c r="B794" i="3" s="1"/>
  <c r="I793" i="3" l="1"/>
  <c r="W793" i="3" s="1"/>
  <c r="J793" i="3"/>
  <c r="Z794" i="3"/>
  <c r="AC794" i="3"/>
  <c r="P794" i="3"/>
  <c r="Q794" i="3" s="1"/>
  <c r="R794" i="3" s="1"/>
  <c r="S794" i="3" s="1"/>
  <c r="AA794" i="3"/>
  <c r="L793" i="3" l="1"/>
  <c r="Y792" i="3" s="1"/>
  <c r="AD793" i="3"/>
  <c r="T794" i="3"/>
  <c r="U793" i="3" l="1"/>
  <c r="D794" i="3" s="1"/>
  <c r="AH794" i="3"/>
  <c r="AG794" i="3"/>
  <c r="E794" i="3" l="1"/>
  <c r="H794" i="3" s="1"/>
  <c r="K794" i="3" s="1"/>
  <c r="AE794" i="3" s="1"/>
  <c r="G794" i="3"/>
  <c r="F794" i="3" l="1"/>
  <c r="I794" i="3"/>
  <c r="J794" i="3"/>
  <c r="AD794" i="3" s="1"/>
  <c r="M794" i="3"/>
  <c r="N794" i="3" s="1"/>
  <c r="V794" i="3"/>
  <c r="A795" i="3"/>
  <c r="B795" i="3" s="1"/>
  <c r="L794" i="3" l="1"/>
  <c r="W794" i="3"/>
  <c r="P795" i="3"/>
  <c r="Q795" i="3" s="1"/>
  <c r="R795" i="3" s="1"/>
  <c r="S795" i="3" s="1"/>
  <c r="AD795" i="3"/>
  <c r="Z795" i="3"/>
  <c r="AA795" i="3"/>
  <c r="AC795" i="3"/>
  <c r="T795" i="3" l="1"/>
  <c r="U794" i="3"/>
  <c r="Y793" i="3"/>
  <c r="D795" i="3" l="1"/>
  <c r="G795" i="3" s="1"/>
  <c r="E795" i="3"/>
  <c r="H795" i="3" s="1"/>
  <c r="K795" i="3" s="1"/>
  <c r="AE795" i="3" s="1"/>
  <c r="AH795" i="3"/>
  <c r="AG795" i="3"/>
  <c r="F795" i="3" l="1"/>
  <c r="I795" i="3"/>
  <c r="J795" i="3"/>
  <c r="M795" i="3"/>
  <c r="N795" i="3" s="1"/>
  <c r="V795" i="3"/>
  <c r="A796" i="3"/>
  <c r="B796" i="3" s="1"/>
  <c r="W795" i="3" l="1"/>
  <c r="L795" i="3"/>
  <c r="Z796" i="3"/>
  <c r="AA796" i="3"/>
  <c r="AD796" i="3"/>
  <c r="AC796" i="3"/>
  <c r="P796" i="3"/>
  <c r="Q796" i="3" s="1"/>
  <c r="R796" i="3" s="1"/>
  <c r="S796" i="3" s="1"/>
  <c r="T796" i="3" l="1"/>
  <c r="U795" i="3"/>
  <c r="Y794" i="3"/>
  <c r="E796" i="3" l="1"/>
  <c r="H796" i="3" s="1"/>
  <c r="K796" i="3" s="1"/>
  <c r="AE796" i="3" s="1"/>
  <c r="AH796" i="3"/>
  <c r="AG796" i="3"/>
  <c r="D796" i="3"/>
  <c r="F796" i="3" l="1"/>
  <c r="G796" i="3"/>
  <c r="V796" i="3"/>
  <c r="A797" i="3"/>
  <c r="B797" i="3" s="1"/>
  <c r="I796" i="3" l="1"/>
  <c r="W796" i="3" s="1"/>
  <c r="J796" i="3"/>
  <c r="M796" i="3"/>
  <c r="N796" i="3" s="1"/>
  <c r="P797" i="3"/>
  <c r="Q797" i="3" s="1"/>
  <c r="R797" i="3" s="1"/>
  <c r="S797" i="3" s="1"/>
  <c r="AA797" i="3"/>
  <c r="AC797" i="3"/>
  <c r="Z797" i="3"/>
  <c r="AD797" i="3"/>
  <c r="T797" i="3" l="1"/>
  <c r="L796" i="3"/>
  <c r="AH797" i="3" l="1"/>
  <c r="AG797" i="3"/>
  <c r="U796" i="3"/>
  <c r="E797" i="3" s="1"/>
  <c r="H797" i="3" s="1"/>
  <c r="Y795" i="3"/>
  <c r="D797" i="3" l="1"/>
  <c r="G797" i="3" s="1"/>
  <c r="K797" i="3"/>
  <c r="AE797" i="3" s="1"/>
  <c r="F797" i="3" l="1"/>
  <c r="I797" i="3"/>
  <c r="J797" i="3"/>
  <c r="M797" i="3"/>
  <c r="N797" i="3" s="1"/>
  <c r="V797" i="3"/>
  <c r="A798" i="3"/>
  <c r="B798" i="3" s="1"/>
  <c r="W797" i="3" l="1"/>
  <c r="L797" i="3"/>
  <c r="Z798" i="3"/>
  <c r="AA798" i="3"/>
  <c r="P798" i="3"/>
  <c r="Q798" i="3" s="1"/>
  <c r="R798" i="3" s="1"/>
  <c r="S798" i="3" s="1"/>
  <c r="AC798" i="3"/>
  <c r="T798" i="3" l="1"/>
  <c r="U797" i="3"/>
  <c r="Y796" i="3"/>
  <c r="E798" i="3" l="1"/>
  <c r="H798" i="3" s="1"/>
  <c r="K798" i="3" s="1"/>
  <c r="AE798" i="3" s="1"/>
  <c r="D798" i="3"/>
  <c r="G798" i="3" s="1"/>
  <c r="AH798" i="3"/>
  <c r="AG798" i="3"/>
  <c r="F798" i="3" l="1"/>
  <c r="I798" i="3"/>
  <c r="J798" i="3"/>
  <c r="AD798" i="3" s="1"/>
  <c r="M798" i="3"/>
  <c r="N798" i="3" s="1"/>
  <c r="V798" i="3"/>
  <c r="A799" i="3"/>
  <c r="B799" i="3" s="1"/>
  <c r="W798" i="3" l="1"/>
  <c r="L798" i="3"/>
  <c r="Z799" i="3"/>
  <c r="P799" i="3"/>
  <c r="Q799" i="3" s="1"/>
  <c r="R799" i="3" s="1"/>
  <c r="S799" i="3" s="1"/>
  <c r="AD799" i="3"/>
  <c r="AC799" i="3"/>
  <c r="AA799" i="3"/>
  <c r="T799" i="3" l="1"/>
  <c r="AH799" i="3" s="1"/>
  <c r="U798" i="3"/>
  <c r="Y797" i="3"/>
  <c r="AG799" i="3" l="1"/>
  <c r="E799" i="3"/>
  <c r="H799" i="3" s="1"/>
  <c r="D799" i="3"/>
  <c r="K799" i="3" l="1"/>
  <c r="AE799" i="3" s="1"/>
  <c r="F799" i="3"/>
  <c r="G799" i="3"/>
  <c r="V799" i="3" l="1"/>
  <c r="A800" i="3"/>
  <c r="B800" i="3" s="1"/>
  <c r="I799" i="3"/>
  <c r="J799" i="3"/>
  <c r="M799" i="3"/>
  <c r="N799" i="3" s="1"/>
  <c r="W799" i="3" l="1"/>
  <c r="L799" i="3"/>
  <c r="AC800" i="3"/>
  <c r="AA800" i="3"/>
  <c r="P800" i="3"/>
  <c r="Q800" i="3" s="1"/>
  <c r="R800" i="3" s="1"/>
  <c r="S800" i="3" s="1"/>
  <c r="AD800" i="3"/>
  <c r="Z800" i="3"/>
  <c r="U799" i="3" l="1"/>
  <c r="Y798" i="3"/>
  <c r="T800" i="3"/>
  <c r="E800" i="3" l="1"/>
  <c r="H800" i="3" s="1"/>
  <c r="K800" i="3" s="1"/>
  <c r="AE800" i="3" s="1"/>
  <c r="D800" i="3"/>
  <c r="AG800" i="3"/>
  <c r="AH800" i="3"/>
  <c r="V800" i="3" l="1"/>
  <c r="A801" i="3"/>
  <c r="B801" i="3" s="1"/>
  <c r="F800" i="3"/>
  <c r="G800" i="3"/>
  <c r="I800" i="3" l="1"/>
  <c r="W800" i="3" s="1"/>
  <c r="J800" i="3"/>
  <c r="M800" i="3"/>
  <c r="N800" i="3" s="1"/>
  <c r="AA801" i="3"/>
  <c r="AD801" i="3"/>
  <c r="Z801" i="3"/>
  <c r="P801" i="3"/>
  <c r="Q801" i="3" s="1"/>
  <c r="R801" i="3" s="1"/>
  <c r="S801" i="3" s="1"/>
  <c r="AC801" i="3"/>
  <c r="L800" i="3" l="1"/>
  <c r="T801" i="3"/>
  <c r="AG801" i="3" l="1"/>
  <c r="AH801" i="3"/>
  <c r="U800" i="3"/>
  <c r="E801" i="3" s="1"/>
  <c r="H801" i="3" s="1"/>
  <c r="Y799" i="3"/>
  <c r="D801" i="3" l="1"/>
  <c r="G801" i="3" s="1"/>
  <c r="K801" i="3"/>
  <c r="AE801" i="3" s="1"/>
  <c r="F801" i="3" l="1"/>
  <c r="I801" i="3"/>
  <c r="J801" i="3"/>
  <c r="M801" i="3"/>
  <c r="N801" i="3" s="1"/>
  <c r="V801" i="3"/>
  <c r="A802" i="3"/>
  <c r="B802" i="3" s="1"/>
  <c r="W801" i="3" l="1"/>
  <c r="L801" i="3"/>
  <c r="Z802" i="3"/>
  <c r="P802" i="3"/>
  <c r="Q802" i="3" s="1"/>
  <c r="R802" i="3" s="1"/>
  <c r="S802" i="3" s="1"/>
  <c r="AA802" i="3"/>
  <c r="AD802" i="3"/>
  <c r="AC802" i="3"/>
  <c r="U801" i="3" l="1"/>
  <c r="Y800" i="3"/>
  <c r="T802" i="3"/>
  <c r="AG802" i="3" s="1"/>
  <c r="E802" i="3" l="1"/>
  <c r="H802" i="3" s="1"/>
  <c r="D802" i="3"/>
  <c r="AH802" i="3"/>
  <c r="K802" i="3" l="1"/>
  <c r="AE802" i="3" s="1"/>
  <c r="F802" i="3"/>
  <c r="G802" i="3"/>
  <c r="I802" i="3" l="1"/>
  <c r="J802" i="3"/>
  <c r="M802" i="3"/>
  <c r="N802" i="3" s="1"/>
  <c r="V802" i="3"/>
  <c r="A803" i="3"/>
  <c r="B803" i="3" s="1"/>
  <c r="L802" i="3" l="1"/>
  <c r="W802" i="3"/>
  <c r="Z803" i="3"/>
  <c r="AD803" i="3"/>
  <c r="AA803" i="3"/>
  <c r="AC803" i="3"/>
  <c r="P803" i="3"/>
  <c r="Q803" i="3" s="1"/>
  <c r="R803" i="3" s="1"/>
  <c r="S803" i="3" s="1"/>
  <c r="U802" i="3" l="1"/>
  <c r="Y801" i="3"/>
  <c r="T803" i="3"/>
  <c r="AG803" i="3" s="1"/>
  <c r="AH803" i="3" l="1"/>
  <c r="D803" i="3"/>
  <c r="E803" i="3"/>
  <c r="H803" i="3" s="1"/>
  <c r="F803" i="3" l="1"/>
  <c r="G803" i="3"/>
  <c r="K803" i="3"/>
  <c r="AE803" i="3" s="1"/>
  <c r="V803" i="3" l="1"/>
  <c r="A804" i="3"/>
  <c r="B804" i="3" s="1"/>
  <c r="I803" i="3"/>
  <c r="J803" i="3"/>
  <c r="M803" i="3"/>
  <c r="N803" i="3" s="1"/>
  <c r="L803" i="3" l="1"/>
  <c r="W803" i="3"/>
  <c r="AC804" i="3"/>
  <c r="P804" i="3"/>
  <c r="Q804" i="3" s="1"/>
  <c r="R804" i="3" s="1"/>
  <c r="S804" i="3" s="1"/>
  <c r="AA804" i="3"/>
  <c r="Z804" i="3"/>
  <c r="U803" i="3" l="1"/>
  <c r="Y802" i="3"/>
  <c r="T804" i="3"/>
  <c r="AH804" i="3" s="1"/>
  <c r="D804" i="3" l="1"/>
  <c r="G804" i="3" s="1"/>
  <c r="AG804" i="3"/>
  <c r="E804" i="3"/>
  <c r="H804" i="3" s="1"/>
  <c r="K804" i="3" s="1"/>
  <c r="AE804" i="3" s="1"/>
  <c r="F804" i="3" l="1"/>
  <c r="I804" i="3"/>
  <c r="J804" i="3"/>
  <c r="AD804" i="3" s="1"/>
  <c r="M804" i="3"/>
  <c r="N804" i="3" s="1"/>
  <c r="V804" i="3"/>
  <c r="A805" i="3"/>
  <c r="B805" i="3" s="1"/>
  <c r="W804" i="3" l="1"/>
  <c r="L804" i="3"/>
  <c r="Z805" i="3"/>
  <c r="P805" i="3"/>
  <c r="Q805" i="3" s="1"/>
  <c r="R805" i="3" s="1"/>
  <c r="S805" i="3" s="1"/>
  <c r="AD805" i="3"/>
  <c r="AC805" i="3"/>
  <c r="AA805" i="3"/>
  <c r="T805" i="3" l="1"/>
  <c r="AH805" i="3" s="1"/>
  <c r="U804" i="3"/>
  <c r="Y803" i="3"/>
  <c r="E805" i="3" l="1"/>
  <c r="H805" i="3" s="1"/>
  <c r="AG805" i="3"/>
  <c r="D805" i="3"/>
  <c r="K805" i="3" l="1"/>
  <c r="AE805" i="3" s="1"/>
  <c r="F805" i="3"/>
  <c r="G805" i="3"/>
  <c r="I805" i="3" l="1"/>
  <c r="J805" i="3"/>
  <c r="M805" i="3"/>
  <c r="N805" i="3" s="1"/>
  <c r="V805" i="3"/>
  <c r="A806" i="3"/>
  <c r="B806" i="3" s="1"/>
  <c r="W805" i="3" l="1"/>
  <c r="L805" i="3"/>
  <c r="Z806" i="3"/>
  <c r="AA806" i="3"/>
  <c r="P806" i="3"/>
  <c r="Q806" i="3" s="1"/>
  <c r="R806" i="3" s="1"/>
  <c r="S806" i="3" s="1"/>
  <c r="AC806" i="3"/>
  <c r="AD806" i="3"/>
  <c r="T806" i="3" l="1"/>
  <c r="U805" i="3"/>
  <c r="Y804" i="3"/>
  <c r="D806" i="3" l="1"/>
  <c r="G806" i="3" s="1"/>
  <c r="AH806" i="3"/>
  <c r="AG806" i="3"/>
  <c r="E806" i="3"/>
  <c r="H806" i="3" s="1"/>
  <c r="K806" i="3" l="1"/>
  <c r="AE806" i="3" s="1"/>
  <c r="I806" i="3"/>
  <c r="J806" i="3"/>
  <c r="M806" i="3"/>
  <c r="N806" i="3" s="1"/>
  <c r="F806" i="3"/>
  <c r="L806" i="3" l="1"/>
  <c r="V806" i="3"/>
  <c r="W806" i="3" s="1"/>
  <c r="A807" i="3"/>
  <c r="B807" i="3" s="1"/>
  <c r="AC807" i="3" l="1"/>
  <c r="P807" i="3"/>
  <c r="Q807" i="3" s="1"/>
  <c r="R807" i="3" s="1"/>
  <c r="S807" i="3" s="1"/>
  <c r="AA807" i="3"/>
  <c r="AD807" i="3"/>
  <c r="Z807" i="3"/>
  <c r="U806" i="3"/>
  <c r="Y805" i="3"/>
  <c r="T807" i="3" l="1"/>
  <c r="AH807" i="3" l="1"/>
  <c r="AG807" i="3"/>
  <c r="E807" i="3"/>
  <c r="H807" i="3" s="1"/>
  <c r="D807" i="3"/>
  <c r="K807" i="3" l="1"/>
  <c r="AE807" i="3" s="1"/>
  <c r="F807" i="3"/>
  <c r="G807" i="3"/>
  <c r="I807" i="3" l="1"/>
  <c r="J807" i="3"/>
  <c r="M807" i="3"/>
  <c r="N807" i="3" s="1"/>
  <c r="V807" i="3"/>
  <c r="A808" i="3"/>
  <c r="B808" i="3" s="1"/>
  <c r="W807" i="3" l="1"/>
  <c r="L807" i="3"/>
  <c r="P808" i="3"/>
  <c r="Q808" i="3" s="1"/>
  <c r="R808" i="3" s="1"/>
  <c r="S808" i="3" s="1"/>
  <c r="AA808" i="3"/>
  <c r="Z808" i="3"/>
  <c r="AC808" i="3"/>
  <c r="U807" i="3" l="1"/>
  <c r="Y806" i="3"/>
  <c r="T808" i="3"/>
  <c r="AH808" i="3" s="1"/>
  <c r="D808" i="3" l="1"/>
  <c r="G808" i="3" s="1"/>
  <c r="E808" i="3"/>
  <c r="H808" i="3" s="1"/>
  <c r="K808" i="3" s="1"/>
  <c r="AE808" i="3" s="1"/>
  <c r="AG808" i="3"/>
  <c r="F808" i="3" l="1"/>
  <c r="I808" i="3"/>
  <c r="J808" i="3"/>
  <c r="AD808" i="3" s="1"/>
  <c r="M808" i="3"/>
  <c r="N808" i="3" s="1"/>
  <c r="V808" i="3"/>
  <c r="A809" i="3"/>
  <c r="B809" i="3" s="1"/>
  <c r="W808" i="3" l="1"/>
  <c r="AC809" i="3"/>
  <c r="Z809" i="3"/>
  <c r="AA809" i="3"/>
  <c r="P809" i="3"/>
  <c r="Q809" i="3" s="1"/>
  <c r="R809" i="3" s="1"/>
  <c r="S809" i="3" s="1"/>
  <c r="AD809" i="3"/>
  <c r="L808" i="3"/>
  <c r="T809" i="3" l="1"/>
  <c r="U808" i="3"/>
  <c r="Y807" i="3"/>
  <c r="E809" i="3" l="1"/>
  <c r="H809" i="3" s="1"/>
  <c r="K809" i="3" s="1"/>
  <c r="AE809" i="3" s="1"/>
  <c r="AG809" i="3"/>
  <c r="D809" i="3"/>
  <c r="AH809" i="3"/>
  <c r="V809" i="3" l="1"/>
  <c r="A810" i="3"/>
  <c r="B810" i="3" s="1"/>
  <c r="F809" i="3"/>
  <c r="G809" i="3"/>
  <c r="I809" i="3" l="1"/>
  <c r="W809" i="3" s="1"/>
  <c r="J809" i="3"/>
  <c r="M809" i="3"/>
  <c r="N809" i="3" s="1"/>
  <c r="AD810" i="3"/>
  <c r="P810" i="3"/>
  <c r="Q810" i="3" s="1"/>
  <c r="R810" i="3" s="1"/>
  <c r="S810" i="3" s="1"/>
  <c r="AA810" i="3"/>
  <c r="AC810" i="3"/>
  <c r="Z810" i="3"/>
  <c r="T810" i="3" l="1"/>
  <c r="L809" i="3"/>
  <c r="AH810" i="3" l="1"/>
  <c r="AG810" i="3"/>
  <c r="U809" i="3"/>
  <c r="E810" i="3" s="1"/>
  <c r="H810" i="3" s="1"/>
  <c r="Y808" i="3"/>
  <c r="D810" i="3" l="1"/>
  <c r="G810" i="3" s="1"/>
  <c r="K810" i="3"/>
  <c r="AE810" i="3" s="1"/>
  <c r="F810" i="3" l="1"/>
  <c r="I810" i="3"/>
  <c r="J810" i="3"/>
  <c r="M810" i="3"/>
  <c r="N810" i="3" s="1"/>
  <c r="V810" i="3"/>
  <c r="A811" i="3"/>
  <c r="B811" i="3" s="1"/>
  <c r="L810" i="3" l="1"/>
  <c r="W810" i="3"/>
  <c r="AA811" i="3"/>
  <c r="P811" i="3"/>
  <c r="Q811" i="3" s="1"/>
  <c r="R811" i="3" s="1"/>
  <c r="S811" i="3" s="1"/>
  <c r="Z811" i="3"/>
  <c r="AD811" i="3"/>
  <c r="AC811" i="3"/>
  <c r="U810" i="3" l="1"/>
  <c r="Y809" i="3"/>
  <c r="T811" i="3"/>
  <c r="E811" i="3" l="1"/>
  <c r="H811" i="3" s="1"/>
  <c r="K811" i="3" s="1"/>
  <c r="AE811" i="3" s="1"/>
  <c r="AH811" i="3"/>
  <c r="AG811" i="3"/>
  <c r="D811" i="3"/>
  <c r="V811" i="3" l="1"/>
  <c r="A812" i="3"/>
  <c r="B812" i="3" s="1"/>
  <c r="F811" i="3"/>
  <c r="G811" i="3"/>
  <c r="I811" i="3" l="1"/>
  <c r="W811" i="3" s="1"/>
  <c r="J811" i="3"/>
  <c r="M811" i="3"/>
  <c r="N811" i="3" s="1"/>
  <c r="Z812" i="3"/>
  <c r="AA812" i="3"/>
  <c r="AD812" i="3"/>
  <c r="P812" i="3"/>
  <c r="Q812" i="3" s="1"/>
  <c r="R812" i="3" s="1"/>
  <c r="S812" i="3" s="1"/>
  <c r="AC812" i="3"/>
  <c r="T812" i="3" l="1"/>
  <c r="L811" i="3"/>
  <c r="AG812" i="3" l="1"/>
  <c r="U811" i="3"/>
  <c r="D812" i="3" s="1"/>
  <c r="AH812" i="3"/>
  <c r="Y810" i="3"/>
  <c r="G812" i="3" l="1"/>
  <c r="E812" i="3"/>
  <c r="H812" i="3" s="1"/>
  <c r="I812" i="3" l="1"/>
  <c r="J812" i="3"/>
  <c r="M812" i="3"/>
  <c r="N812" i="3" s="1"/>
  <c r="F812" i="3"/>
  <c r="K812" i="3"/>
  <c r="AE812" i="3" s="1"/>
  <c r="L812" i="3" l="1"/>
  <c r="V812" i="3"/>
  <c r="W812" i="3" s="1"/>
  <c r="A813" i="3"/>
  <c r="B813" i="3" s="1"/>
  <c r="U812" i="3" l="1"/>
  <c r="Y811" i="3"/>
  <c r="AA813" i="3"/>
  <c r="P813" i="3"/>
  <c r="Q813" i="3" s="1"/>
  <c r="R813" i="3" s="1"/>
  <c r="S813" i="3" s="1"/>
  <c r="Z813" i="3"/>
  <c r="AC813" i="3"/>
  <c r="AD813" i="3"/>
  <c r="T813" i="3" l="1"/>
  <c r="AG813" i="3" s="1"/>
  <c r="AH813" i="3" l="1"/>
  <c r="D813" i="3"/>
  <c r="E813" i="3"/>
  <c r="H813" i="3" s="1"/>
  <c r="F813" i="3" l="1"/>
  <c r="G813" i="3"/>
  <c r="K813" i="3"/>
  <c r="AE813" i="3" s="1"/>
  <c r="I813" i="3" l="1"/>
  <c r="J813" i="3"/>
  <c r="M813" i="3"/>
  <c r="N813" i="3" s="1"/>
  <c r="V813" i="3"/>
  <c r="A814" i="3"/>
  <c r="B814" i="3" s="1"/>
  <c r="W813" i="3" l="1"/>
  <c r="L813" i="3"/>
  <c r="P814" i="3"/>
  <c r="Q814" i="3" s="1"/>
  <c r="R814" i="3" s="1"/>
  <c r="S814" i="3" s="1"/>
  <c r="AA814" i="3"/>
  <c r="Z814" i="3"/>
  <c r="AC814" i="3"/>
  <c r="U813" i="3" l="1"/>
  <c r="Y812" i="3"/>
  <c r="T814" i="3"/>
  <c r="D814" i="3" l="1"/>
  <c r="G814" i="3" s="1"/>
  <c r="E814" i="3"/>
  <c r="H814" i="3" s="1"/>
  <c r="K814" i="3" s="1"/>
  <c r="AE814" i="3" s="1"/>
  <c r="AH814" i="3"/>
  <c r="AG814" i="3"/>
  <c r="F814" i="3" l="1"/>
  <c r="I814" i="3"/>
  <c r="J814" i="3"/>
  <c r="AD814" i="3" s="1"/>
  <c r="M814" i="3"/>
  <c r="N814" i="3" s="1"/>
  <c r="V814" i="3"/>
  <c r="A815" i="3"/>
  <c r="B815" i="3" s="1"/>
  <c r="W814" i="3" l="1"/>
  <c r="L814" i="3"/>
  <c r="AA815" i="3"/>
  <c r="AD815" i="3"/>
  <c r="AC815" i="3"/>
  <c r="Z815" i="3"/>
  <c r="P815" i="3"/>
  <c r="Q815" i="3" s="1"/>
  <c r="R815" i="3" s="1"/>
  <c r="S815" i="3" s="1"/>
  <c r="T815" i="3" l="1"/>
  <c r="AH815" i="3" s="1"/>
  <c r="U814" i="3"/>
  <c r="Y813" i="3"/>
  <c r="AG815" i="3" l="1"/>
  <c r="E815" i="3"/>
  <c r="H815" i="3" s="1"/>
  <c r="D815" i="3"/>
  <c r="K815" i="3" l="1"/>
  <c r="AE815" i="3" s="1"/>
  <c r="F815" i="3"/>
  <c r="G815" i="3"/>
  <c r="V815" i="3" l="1"/>
  <c r="A816" i="3"/>
  <c r="B816" i="3" s="1"/>
  <c r="I815" i="3"/>
  <c r="J815" i="3"/>
  <c r="M815" i="3"/>
  <c r="N815" i="3" s="1"/>
  <c r="W815" i="3" l="1"/>
  <c r="L815" i="3"/>
  <c r="P816" i="3"/>
  <c r="Q816" i="3" s="1"/>
  <c r="R816" i="3" s="1"/>
  <c r="S816" i="3" s="1"/>
  <c r="AC816" i="3"/>
  <c r="AD816" i="3"/>
  <c r="AA816" i="3"/>
  <c r="Z816" i="3"/>
  <c r="T816" i="3" l="1"/>
  <c r="U815" i="3"/>
  <c r="Y814" i="3"/>
  <c r="E816" i="3" l="1"/>
  <c r="H816" i="3" s="1"/>
  <c r="K816" i="3" s="1"/>
  <c r="AE816" i="3" s="1"/>
  <c r="D816" i="3"/>
  <c r="G816" i="3" s="1"/>
  <c r="AG816" i="3"/>
  <c r="AH816" i="3"/>
  <c r="F816" i="3" l="1"/>
  <c r="I816" i="3"/>
  <c r="J816" i="3"/>
  <c r="M816" i="3"/>
  <c r="N816" i="3" s="1"/>
  <c r="V816" i="3"/>
  <c r="A817" i="3"/>
  <c r="B817" i="3" s="1"/>
  <c r="W816" i="3" l="1"/>
  <c r="L816" i="3"/>
  <c r="P817" i="3"/>
  <c r="Q817" i="3" s="1"/>
  <c r="R817" i="3" s="1"/>
  <c r="S817" i="3" s="1"/>
  <c r="AD817" i="3"/>
  <c r="Z817" i="3"/>
  <c r="AA817" i="3"/>
  <c r="AC817" i="3"/>
  <c r="U816" i="3" l="1"/>
  <c r="Y815" i="3"/>
  <c r="T817" i="3"/>
  <c r="AG817" i="3" s="1"/>
  <c r="E817" i="3" l="1"/>
  <c r="H817" i="3" s="1"/>
  <c r="AH817" i="3"/>
  <c r="D817" i="3"/>
  <c r="F817" i="3" l="1"/>
  <c r="G817" i="3"/>
  <c r="K817" i="3"/>
  <c r="AE817" i="3" s="1"/>
  <c r="V817" i="3" l="1"/>
  <c r="A818" i="3"/>
  <c r="B818" i="3" s="1"/>
  <c r="I817" i="3"/>
  <c r="J817" i="3"/>
  <c r="M817" i="3"/>
  <c r="N817" i="3" s="1"/>
  <c r="W817" i="3" l="1"/>
  <c r="L817" i="3"/>
  <c r="Z818" i="3"/>
  <c r="AA818" i="3"/>
  <c r="P818" i="3"/>
  <c r="Q818" i="3" s="1"/>
  <c r="R818" i="3" s="1"/>
  <c r="S818" i="3" s="1"/>
  <c r="AC818" i="3"/>
  <c r="T818" i="3" l="1"/>
  <c r="U817" i="3"/>
  <c r="Y816" i="3"/>
  <c r="E818" i="3" l="1"/>
  <c r="H818" i="3" s="1"/>
  <c r="K818" i="3" s="1"/>
  <c r="AE818" i="3" s="1"/>
  <c r="D818" i="3"/>
  <c r="G818" i="3" s="1"/>
  <c r="AH818" i="3"/>
  <c r="AG818" i="3"/>
  <c r="F818" i="3" l="1"/>
  <c r="V818" i="3"/>
  <c r="A819" i="3"/>
  <c r="B819" i="3" s="1"/>
  <c r="I818" i="3"/>
  <c r="J818" i="3"/>
  <c r="AD818" i="3" s="1"/>
  <c r="M818" i="3"/>
  <c r="N818" i="3" s="1"/>
  <c r="W818" i="3" l="1"/>
  <c r="L818" i="3"/>
  <c r="AD819" i="3"/>
  <c r="AC819" i="3"/>
  <c r="AA819" i="3"/>
  <c r="Z819" i="3"/>
  <c r="P819" i="3"/>
  <c r="Q819" i="3" s="1"/>
  <c r="R819" i="3" s="1"/>
  <c r="S819" i="3" s="1"/>
  <c r="T819" i="3" l="1"/>
  <c r="AG819" i="3" s="1"/>
  <c r="U818" i="3"/>
  <c r="Y817" i="3"/>
  <c r="AH819" i="3" l="1"/>
  <c r="E819" i="3"/>
  <c r="H819" i="3" s="1"/>
  <c r="K819" i="3" s="1"/>
  <c r="AE819" i="3" s="1"/>
  <c r="D819" i="3"/>
  <c r="V819" i="3" l="1"/>
  <c r="A820" i="3"/>
  <c r="B820" i="3" s="1"/>
  <c r="F819" i="3"/>
  <c r="G819" i="3"/>
  <c r="I819" i="3" l="1"/>
  <c r="W819" i="3" s="1"/>
  <c r="J819" i="3"/>
  <c r="M819" i="3"/>
  <c r="N819" i="3" s="1"/>
  <c r="Z820" i="3"/>
  <c r="AD820" i="3"/>
  <c r="AA820" i="3"/>
  <c r="P820" i="3"/>
  <c r="Q820" i="3" s="1"/>
  <c r="R820" i="3" s="1"/>
  <c r="S820" i="3" s="1"/>
  <c r="AC820" i="3"/>
  <c r="T820" i="3" l="1"/>
  <c r="L819" i="3"/>
  <c r="U819" i="3" l="1"/>
  <c r="E820" i="3" s="1"/>
  <c r="H820" i="3" s="1"/>
  <c r="AG820" i="3"/>
  <c r="AH820" i="3"/>
  <c r="Y818" i="3"/>
  <c r="D820" i="3" l="1"/>
  <c r="G820" i="3" s="1"/>
  <c r="K820" i="3"/>
  <c r="AE820" i="3" s="1"/>
  <c r="F820" i="3" l="1"/>
  <c r="I820" i="3"/>
  <c r="J820" i="3"/>
  <c r="M820" i="3"/>
  <c r="N820" i="3" s="1"/>
  <c r="V820" i="3"/>
  <c r="A821" i="3"/>
  <c r="B821" i="3" s="1"/>
  <c r="W820" i="3" l="1"/>
  <c r="L820" i="3"/>
  <c r="P821" i="3"/>
  <c r="Q821" i="3" s="1"/>
  <c r="R821" i="3" s="1"/>
  <c r="S821" i="3" s="1"/>
  <c r="AA821" i="3"/>
  <c r="Z821" i="3"/>
  <c r="AD821" i="3"/>
  <c r="AC821" i="3"/>
  <c r="U820" i="3" l="1"/>
  <c r="Y819" i="3"/>
  <c r="T821" i="3"/>
  <c r="AH821" i="3" s="1"/>
  <c r="AG821" i="3" l="1"/>
  <c r="D821" i="3"/>
  <c r="G821" i="3" s="1"/>
  <c r="E821" i="3"/>
  <c r="H821" i="3" s="1"/>
  <c r="F821" i="3" l="1"/>
  <c r="K821" i="3"/>
  <c r="AE821" i="3" s="1"/>
  <c r="I821" i="3"/>
  <c r="J821" i="3"/>
  <c r="M821" i="3"/>
  <c r="N821" i="3" s="1"/>
  <c r="L821" i="3" l="1"/>
  <c r="V821" i="3"/>
  <c r="W821" i="3" s="1"/>
  <c r="A822" i="3"/>
  <c r="B822" i="3" s="1"/>
  <c r="P822" i="3" l="1"/>
  <c r="Q822" i="3" s="1"/>
  <c r="R822" i="3" s="1"/>
  <c r="S822" i="3" s="1"/>
  <c r="AA822" i="3"/>
  <c r="Z822" i="3"/>
  <c r="AC822" i="3"/>
  <c r="AD822" i="3"/>
  <c r="U821" i="3"/>
  <c r="Y820" i="3"/>
  <c r="T822" i="3" l="1"/>
  <c r="AH822" i="3" s="1"/>
  <c r="D822" i="3" l="1"/>
  <c r="E822" i="3"/>
  <c r="H822" i="3" s="1"/>
  <c r="AG822" i="3"/>
  <c r="K822" i="3" l="1"/>
  <c r="AE822" i="3" s="1"/>
  <c r="F822" i="3"/>
  <c r="G822" i="3"/>
  <c r="I822" i="3" l="1"/>
  <c r="J822" i="3"/>
  <c r="M822" i="3"/>
  <c r="N822" i="3" s="1"/>
  <c r="V822" i="3"/>
  <c r="A823" i="3"/>
  <c r="B823" i="3" s="1"/>
  <c r="W822" i="3" l="1"/>
  <c r="L822" i="3"/>
  <c r="AC823" i="3"/>
  <c r="Z823" i="3"/>
  <c r="P823" i="3"/>
  <c r="Q823" i="3" s="1"/>
  <c r="R823" i="3" s="1"/>
  <c r="S823" i="3" s="1"/>
  <c r="AD823" i="3"/>
  <c r="AA823" i="3"/>
  <c r="U822" i="3" l="1"/>
  <c r="Y821" i="3"/>
  <c r="T823" i="3"/>
  <c r="D823" i="3" l="1"/>
  <c r="G823" i="3" s="1"/>
  <c r="E823" i="3"/>
  <c r="H823" i="3" s="1"/>
  <c r="AG823" i="3"/>
  <c r="AH823" i="3"/>
  <c r="F823" i="3" l="1"/>
  <c r="I823" i="3"/>
  <c r="J823" i="3"/>
  <c r="M823" i="3"/>
  <c r="N823" i="3" s="1"/>
  <c r="K823" i="3"/>
  <c r="AE823" i="3" s="1"/>
  <c r="V823" i="3" l="1"/>
  <c r="W823" i="3" s="1"/>
  <c r="A824" i="3"/>
  <c r="B824" i="3" s="1"/>
  <c r="L823" i="3"/>
  <c r="U823" i="3" l="1"/>
  <c r="Y822" i="3"/>
  <c r="Z824" i="3"/>
  <c r="P824" i="3"/>
  <c r="Q824" i="3" s="1"/>
  <c r="R824" i="3" s="1"/>
  <c r="S824" i="3" s="1"/>
  <c r="AC824" i="3"/>
  <c r="AA824" i="3"/>
  <c r="T824" i="3" l="1"/>
  <c r="D824" i="3" s="1"/>
  <c r="AH824" i="3" l="1"/>
  <c r="E824" i="3"/>
  <c r="H824" i="3" s="1"/>
  <c r="K824" i="3" s="1"/>
  <c r="AE824" i="3" s="1"/>
  <c r="AG824" i="3"/>
  <c r="G824" i="3"/>
  <c r="F824" i="3" l="1"/>
  <c r="V824" i="3"/>
  <c r="A825" i="3"/>
  <c r="B825" i="3" s="1"/>
  <c r="I824" i="3"/>
  <c r="J824" i="3"/>
  <c r="AD824" i="3" s="1"/>
  <c r="M824" i="3"/>
  <c r="N824" i="3" s="1"/>
  <c r="L824" i="3" l="1"/>
  <c r="W824" i="3"/>
  <c r="Z825" i="3"/>
  <c r="AC825" i="3"/>
  <c r="P825" i="3"/>
  <c r="Q825" i="3" s="1"/>
  <c r="R825" i="3" s="1"/>
  <c r="S825" i="3" s="1"/>
  <c r="AA825" i="3"/>
  <c r="AD825" i="3"/>
  <c r="T825" i="3" l="1"/>
  <c r="AG825" i="3" s="1"/>
  <c r="U824" i="3"/>
  <c r="Y823" i="3"/>
  <c r="D825" i="3" l="1"/>
  <c r="E825" i="3"/>
  <c r="H825" i="3" s="1"/>
  <c r="AH825" i="3"/>
  <c r="F825" i="3" l="1"/>
  <c r="G825" i="3"/>
  <c r="K825" i="3"/>
  <c r="AE825" i="3" s="1"/>
  <c r="I825" i="3" l="1"/>
  <c r="J825" i="3"/>
  <c r="M825" i="3"/>
  <c r="N825" i="3" s="1"/>
  <c r="V825" i="3"/>
  <c r="A826" i="3"/>
  <c r="B826" i="3" s="1"/>
  <c r="W825" i="3" l="1"/>
  <c r="L825" i="3"/>
  <c r="P826" i="3"/>
  <c r="Q826" i="3" s="1"/>
  <c r="R826" i="3" s="1"/>
  <c r="S826" i="3" s="1"/>
  <c r="Z826" i="3"/>
  <c r="AA826" i="3"/>
  <c r="AD826" i="3"/>
  <c r="AC826" i="3"/>
  <c r="U825" i="3" l="1"/>
  <c r="Y824" i="3"/>
  <c r="T826" i="3"/>
  <c r="AG826" i="3" s="1"/>
  <c r="E826" i="3" l="1"/>
  <c r="H826" i="3" s="1"/>
  <c r="K826" i="3" s="1"/>
  <c r="AE826" i="3" s="1"/>
  <c r="AH826" i="3"/>
  <c r="D826" i="3"/>
  <c r="G826" i="3" s="1"/>
  <c r="F826" i="3" l="1"/>
  <c r="I826" i="3"/>
  <c r="J826" i="3"/>
  <c r="M826" i="3"/>
  <c r="N826" i="3" s="1"/>
  <c r="V826" i="3"/>
  <c r="A827" i="3"/>
  <c r="B827" i="3" s="1"/>
  <c r="W826" i="3" l="1"/>
  <c r="L826" i="3"/>
  <c r="Z827" i="3"/>
  <c r="AA827" i="3"/>
  <c r="AD827" i="3"/>
  <c r="P827" i="3"/>
  <c r="Q827" i="3" s="1"/>
  <c r="R827" i="3" s="1"/>
  <c r="S827" i="3" s="1"/>
  <c r="AC827" i="3"/>
  <c r="U826" i="3" l="1"/>
  <c r="Y825" i="3"/>
  <c r="T827" i="3"/>
  <c r="AH827" i="3" s="1"/>
  <c r="D827" i="3" l="1"/>
  <c r="G827" i="3" s="1"/>
  <c r="E827" i="3"/>
  <c r="H827" i="3" s="1"/>
  <c r="K827" i="3" s="1"/>
  <c r="AE827" i="3" s="1"/>
  <c r="AG827" i="3"/>
  <c r="F827" i="3" l="1"/>
  <c r="V827" i="3"/>
  <c r="A828" i="3"/>
  <c r="B828" i="3" s="1"/>
  <c r="I827" i="3"/>
  <c r="J827" i="3"/>
  <c r="M827" i="3"/>
  <c r="N827" i="3" s="1"/>
  <c r="W827" i="3" l="1"/>
  <c r="L827" i="3"/>
  <c r="P828" i="3"/>
  <c r="Q828" i="3" s="1"/>
  <c r="R828" i="3" s="1"/>
  <c r="S828" i="3" s="1"/>
  <c r="AC828" i="3"/>
  <c r="AA828" i="3"/>
  <c r="Z828" i="3"/>
  <c r="U827" i="3" l="1"/>
  <c r="Y826" i="3"/>
  <c r="T828" i="3"/>
  <c r="D828" i="3" l="1"/>
  <c r="G828" i="3" s="1"/>
  <c r="AG828" i="3"/>
  <c r="AH828" i="3"/>
  <c r="E828" i="3"/>
  <c r="H828" i="3" s="1"/>
  <c r="F828" i="3" l="1"/>
  <c r="I828" i="3"/>
  <c r="J828" i="3"/>
  <c r="AD828" i="3" s="1"/>
  <c r="M828" i="3"/>
  <c r="N828" i="3" s="1"/>
  <c r="K828" i="3"/>
  <c r="AE828" i="3" s="1"/>
  <c r="V828" i="3" l="1"/>
  <c r="W828" i="3" s="1"/>
  <c r="A829" i="3"/>
  <c r="B829" i="3" s="1"/>
  <c r="L828" i="3"/>
  <c r="U828" i="3" l="1"/>
  <c r="Y827" i="3"/>
  <c r="AC829" i="3"/>
  <c r="Z829" i="3"/>
  <c r="AA829" i="3"/>
  <c r="P829" i="3"/>
  <c r="Q829" i="3" s="1"/>
  <c r="R829" i="3" s="1"/>
  <c r="S829" i="3" s="1"/>
  <c r="AD829" i="3"/>
  <c r="T829" i="3" l="1"/>
  <c r="E829" i="3" s="1"/>
  <c r="H829" i="3" s="1"/>
  <c r="AH829" i="3" l="1"/>
  <c r="D829" i="3"/>
  <c r="G829" i="3" s="1"/>
  <c r="AG829" i="3"/>
  <c r="K829" i="3"/>
  <c r="AE829" i="3" s="1"/>
  <c r="F829" i="3" l="1"/>
  <c r="I829" i="3"/>
  <c r="J829" i="3"/>
  <c r="M829" i="3"/>
  <c r="N829" i="3" s="1"/>
  <c r="V829" i="3"/>
  <c r="A830" i="3"/>
  <c r="B830" i="3" s="1"/>
  <c r="W829" i="3" l="1"/>
  <c r="L829" i="3"/>
  <c r="AA830" i="3"/>
  <c r="Z830" i="3"/>
  <c r="AC830" i="3"/>
  <c r="AD830" i="3"/>
  <c r="P830" i="3"/>
  <c r="Q830" i="3" s="1"/>
  <c r="R830" i="3" s="1"/>
  <c r="S830" i="3" s="1"/>
  <c r="U829" i="3" l="1"/>
  <c r="Y828" i="3"/>
  <c r="T830" i="3"/>
  <c r="D830" i="3" l="1"/>
  <c r="G830" i="3" s="1"/>
  <c r="E830" i="3"/>
  <c r="H830" i="3" s="1"/>
  <c r="AG830" i="3"/>
  <c r="AH830" i="3"/>
  <c r="F830" i="3" l="1"/>
  <c r="I830" i="3"/>
  <c r="J830" i="3"/>
  <c r="M830" i="3"/>
  <c r="N830" i="3" s="1"/>
  <c r="K830" i="3"/>
  <c r="AE830" i="3" s="1"/>
  <c r="V830" i="3" l="1"/>
  <c r="W830" i="3" s="1"/>
  <c r="A831" i="3"/>
  <c r="B831" i="3" s="1"/>
  <c r="L830" i="3"/>
  <c r="U830" i="3" l="1"/>
  <c r="Y829" i="3"/>
  <c r="Z831" i="3"/>
  <c r="P831" i="3"/>
  <c r="Q831" i="3" s="1"/>
  <c r="R831" i="3" s="1"/>
  <c r="S831" i="3" s="1"/>
  <c r="AA831" i="3"/>
  <c r="AD831" i="3"/>
  <c r="AC831" i="3"/>
  <c r="T831" i="3" l="1"/>
  <c r="AH831" i="3" s="1"/>
  <c r="E831" i="3" l="1"/>
  <c r="H831" i="3" s="1"/>
  <c r="K831" i="3" s="1"/>
  <c r="AE831" i="3" s="1"/>
  <c r="D831" i="3"/>
  <c r="G831" i="3" s="1"/>
  <c r="AG831" i="3"/>
  <c r="F831" i="3" l="1"/>
  <c r="I831" i="3"/>
  <c r="J831" i="3"/>
  <c r="M831" i="3"/>
  <c r="N831" i="3" s="1"/>
  <c r="V831" i="3"/>
  <c r="A832" i="3"/>
  <c r="B832" i="3" s="1"/>
  <c r="W831" i="3" l="1"/>
  <c r="L831" i="3"/>
  <c r="P832" i="3"/>
  <c r="Q832" i="3" s="1"/>
  <c r="R832" i="3" s="1"/>
  <c r="S832" i="3" s="1"/>
  <c r="AC832" i="3"/>
  <c r="AD832" i="3"/>
  <c r="Z832" i="3"/>
  <c r="AA832" i="3"/>
  <c r="U831" i="3" l="1"/>
  <c r="Y830" i="3"/>
  <c r="T832" i="3"/>
  <c r="AH832" i="3" s="1"/>
  <c r="D832" i="3" l="1"/>
  <c r="G832" i="3" s="1"/>
  <c r="AG832" i="3"/>
  <c r="E832" i="3"/>
  <c r="H832" i="3" s="1"/>
  <c r="K832" i="3" l="1"/>
  <c r="AE832" i="3" s="1"/>
  <c r="I832" i="3"/>
  <c r="J832" i="3"/>
  <c r="M832" i="3"/>
  <c r="N832" i="3" s="1"/>
  <c r="F832" i="3"/>
  <c r="L832" i="3" l="1"/>
  <c r="V832" i="3"/>
  <c r="W832" i="3" s="1"/>
  <c r="A833" i="3"/>
  <c r="B833" i="3" s="1"/>
  <c r="U832" i="3" l="1"/>
  <c r="Y831" i="3"/>
  <c r="Z833" i="3"/>
  <c r="AC833" i="3"/>
  <c r="P833" i="3"/>
  <c r="Q833" i="3" s="1"/>
  <c r="R833" i="3" s="1"/>
  <c r="S833" i="3" s="1"/>
  <c r="AD833" i="3"/>
  <c r="AA833" i="3"/>
  <c r="T833" i="3" l="1"/>
  <c r="AH833" i="3" s="1"/>
  <c r="E833" i="3" l="1"/>
  <c r="H833" i="3" s="1"/>
  <c r="K833" i="3" s="1"/>
  <c r="AE833" i="3" s="1"/>
  <c r="AG833" i="3"/>
  <c r="D833" i="3"/>
  <c r="G833" i="3" s="1"/>
  <c r="F833" i="3" l="1"/>
  <c r="I833" i="3"/>
  <c r="J833" i="3"/>
  <c r="M833" i="3"/>
  <c r="N833" i="3" s="1"/>
  <c r="V833" i="3"/>
  <c r="A834" i="3"/>
  <c r="B834" i="3" s="1"/>
  <c r="L833" i="3" l="1"/>
  <c r="W833" i="3"/>
  <c r="AC834" i="3"/>
  <c r="P834" i="3"/>
  <c r="Q834" i="3" s="1"/>
  <c r="R834" i="3" s="1"/>
  <c r="S834" i="3" s="1"/>
  <c r="AA834" i="3"/>
  <c r="Z834" i="3"/>
  <c r="U833" i="3" l="1"/>
  <c r="Y832" i="3"/>
  <c r="T834" i="3"/>
  <c r="D834" i="3" l="1"/>
  <c r="G834" i="3" s="1"/>
  <c r="E834" i="3"/>
  <c r="H834" i="3" s="1"/>
  <c r="K834" i="3" s="1"/>
  <c r="AE834" i="3" s="1"/>
  <c r="AH834" i="3"/>
  <c r="AG834" i="3"/>
  <c r="F834" i="3" l="1"/>
  <c r="V834" i="3"/>
  <c r="A835" i="3"/>
  <c r="B835" i="3" s="1"/>
  <c r="I834" i="3"/>
  <c r="J834" i="3"/>
  <c r="AD834" i="3" s="1"/>
  <c r="M834" i="3"/>
  <c r="N834" i="3" s="1"/>
  <c r="W834" i="3" l="1"/>
  <c r="L834" i="3"/>
  <c r="Z835" i="3"/>
  <c r="P835" i="3"/>
  <c r="Q835" i="3" s="1"/>
  <c r="R835" i="3" s="1"/>
  <c r="S835" i="3" s="1"/>
  <c r="AD835" i="3"/>
  <c r="AC835" i="3"/>
  <c r="AA835" i="3"/>
  <c r="T835" i="3" l="1"/>
  <c r="U834" i="3"/>
  <c r="Y833" i="3"/>
  <c r="E835" i="3" l="1"/>
  <c r="H835" i="3" s="1"/>
  <c r="K835" i="3" s="1"/>
  <c r="AE835" i="3" s="1"/>
  <c r="AH835" i="3"/>
  <c r="AG835" i="3"/>
  <c r="D835" i="3"/>
  <c r="F835" i="3" l="1"/>
  <c r="G835" i="3"/>
  <c r="V835" i="3"/>
  <c r="A836" i="3"/>
  <c r="B836" i="3" s="1"/>
  <c r="I835" i="3" l="1"/>
  <c r="W835" i="3" s="1"/>
  <c r="J835" i="3"/>
  <c r="M835" i="3"/>
  <c r="N835" i="3" s="1"/>
  <c r="Z836" i="3"/>
  <c r="AA836" i="3"/>
  <c r="AC836" i="3"/>
  <c r="P836" i="3"/>
  <c r="Q836" i="3" s="1"/>
  <c r="R836" i="3" s="1"/>
  <c r="S836" i="3" s="1"/>
  <c r="AD836" i="3"/>
  <c r="T836" i="3" l="1"/>
  <c r="L835" i="3"/>
  <c r="AG836" i="3" l="1"/>
  <c r="U835" i="3"/>
  <c r="D836" i="3" s="1"/>
  <c r="AH836" i="3"/>
  <c r="Y834" i="3"/>
  <c r="E836" i="3" l="1"/>
  <c r="H836" i="3" s="1"/>
  <c r="K836" i="3" s="1"/>
  <c r="AE836" i="3" s="1"/>
  <c r="G836" i="3"/>
  <c r="F836" i="3" l="1"/>
  <c r="V836" i="3"/>
  <c r="A837" i="3"/>
  <c r="B837" i="3" s="1"/>
  <c r="I836" i="3"/>
  <c r="J836" i="3"/>
  <c r="M836" i="3"/>
  <c r="N836" i="3" s="1"/>
  <c r="L836" i="3" l="1"/>
  <c r="W836" i="3"/>
  <c r="P837" i="3"/>
  <c r="Q837" i="3" s="1"/>
  <c r="R837" i="3" s="1"/>
  <c r="S837" i="3" s="1"/>
  <c r="AD837" i="3"/>
  <c r="AA837" i="3"/>
  <c r="AC837" i="3"/>
  <c r="Z837" i="3"/>
  <c r="U836" i="3" l="1"/>
  <c r="Y835" i="3"/>
  <c r="T837" i="3"/>
  <c r="AH837" i="3" s="1"/>
  <c r="E837" i="3" l="1"/>
  <c r="H837" i="3" s="1"/>
  <c r="K837" i="3" s="1"/>
  <c r="AE837" i="3" s="1"/>
  <c r="D837" i="3"/>
  <c r="G837" i="3" s="1"/>
  <c r="AG837" i="3"/>
  <c r="F837" i="3" l="1"/>
  <c r="I837" i="3"/>
  <c r="J837" i="3"/>
  <c r="M837" i="3"/>
  <c r="N837" i="3" s="1"/>
  <c r="V837" i="3"/>
  <c r="A838" i="3"/>
  <c r="B838" i="3" s="1"/>
  <c r="W837" i="3" l="1"/>
  <c r="L837" i="3"/>
  <c r="P838" i="3"/>
  <c r="Q838" i="3" s="1"/>
  <c r="R838" i="3" s="1"/>
  <c r="S838" i="3" s="1"/>
  <c r="AA838" i="3"/>
  <c r="AC838" i="3"/>
  <c r="Z838" i="3"/>
  <c r="U837" i="3" l="1"/>
  <c r="Y836" i="3"/>
  <c r="T838" i="3"/>
  <c r="AH838" i="3" s="1"/>
  <c r="E838" i="3" l="1"/>
  <c r="H838" i="3" s="1"/>
  <c r="D838" i="3"/>
  <c r="AG838" i="3"/>
  <c r="K838" i="3" l="1"/>
  <c r="AE838" i="3" s="1"/>
  <c r="F838" i="3"/>
  <c r="G838" i="3"/>
  <c r="V838" i="3" l="1"/>
  <c r="A839" i="3"/>
  <c r="B839" i="3" s="1"/>
  <c r="I838" i="3"/>
  <c r="J838" i="3"/>
  <c r="AD838" i="3" s="1"/>
  <c r="M838" i="3"/>
  <c r="N838" i="3" s="1"/>
  <c r="W838" i="3" l="1"/>
  <c r="L838" i="3"/>
  <c r="AC839" i="3"/>
  <c r="Z839" i="3"/>
  <c r="AA839" i="3"/>
  <c r="P839" i="3"/>
  <c r="Q839" i="3" s="1"/>
  <c r="R839" i="3" s="1"/>
  <c r="S839" i="3" s="1"/>
  <c r="AD839" i="3"/>
  <c r="U838" i="3" l="1"/>
  <c r="Y837" i="3"/>
  <c r="T839" i="3"/>
  <c r="AG839" i="3" s="1"/>
  <c r="D839" i="3" l="1"/>
  <c r="E839" i="3"/>
  <c r="H839" i="3" s="1"/>
  <c r="AH839" i="3"/>
  <c r="F839" i="3" l="1"/>
  <c r="G839" i="3"/>
  <c r="K839" i="3"/>
  <c r="AE839" i="3" s="1"/>
  <c r="V839" i="3" l="1"/>
  <c r="A840" i="3"/>
  <c r="B840" i="3" s="1"/>
  <c r="I839" i="3"/>
  <c r="J839" i="3"/>
  <c r="M839" i="3"/>
  <c r="N839" i="3" s="1"/>
  <c r="W839" i="3" l="1"/>
  <c r="L839" i="3"/>
  <c r="AC840" i="3"/>
  <c r="P840" i="3"/>
  <c r="Q840" i="3" s="1"/>
  <c r="R840" i="3" s="1"/>
  <c r="S840" i="3" s="1"/>
  <c r="AA840" i="3"/>
  <c r="Z840" i="3"/>
  <c r="AD840" i="3"/>
  <c r="T840" i="3" l="1"/>
  <c r="U839" i="3"/>
  <c r="Y838" i="3"/>
  <c r="D840" i="3" l="1"/>
  <c r="G840" i="3" s="1"/>
  <c r="AG840" i="3"/>
  <c r="E840" i="3"/>
  <c r="H840" i="3" s="1"/>
  <c r="AH840" i="3"/>
  <c r="K840" i="3" l="1"/>
  <c r="AE840" i="3" s="1"/>
  <c r="I840" i="3"/>
  <c r="J840" i="3"/>
  <c r="M840" i="3"/>
  <c r="N840" i="3" s="1"/>
  <c r="F840" i="3"/>
  <c r="L840" i="3" l="1"/>
  <c r="V840" i="3"/>
  <c r="W840" i="3" s="1"/>
  <c r="A841" i="3"/>
  <c r="B841" i="3" s="1"/>
  <c r="U840" i="3" l="1"/>
  <c r="Y839" i="3"/>
  <c r="AA841" i="3"/>
  <c r="Z841" i="3"/>
  <c r="AD841" i="3"/>
  <c r="AC841" i="3"/>
  <c r="P841" i="3"/>
  <c r="Q841" i="3" s="1"/>
  <c r="R841" i="3" s="1"/>
  <c r="S841" i="3" s="1"/>
  <c r="T841" i="3" l="1"/>
  <c r="AH841" i="3" s="1"/>
  <c r="E841" i="3" l="1"/>
  <c r="H841" i="3" s="1"/>
  <c r="K841" i="3" s="1"/>
  <c r="AE841" i="3" s="1"/>
  <c r="AG841" i="3"/>
  <c r="D841" i="3"/>
  <c r="G841" i="3" s="1"/>
  <c r="F841" i="3" l="1"/>
  <c r="I841" i="3"/>
  <c r="J841" i="3"/>
  <c r="M841" i="3"/>
  <c r="N841" i="3" s="1"/>
  <c r="V841" i="3"/>
  <c r="A842" i="3"/>
  <c r="B842" i="3" s="1"/>
  <c r="W841" i="3" l="1"/>
  <c r="L841" i="3"/>
  <c r="P842" i="3"/>
  <c r="Q842" i="3" s="1"/>
  <c r="R842" i="3" s="1"/>
  <c r="S842" i="3" s="1"/>
  <c r="AD842" i="3"/>
  <c r="Z842" i="3"/>
  <c r="AC842" i="3"/>
  <c r="AA842" i="3"/>
  <c r="U841" i="3" l="1"/>
  <c r="Y840" i="3"/>
  <c r="T842" i="3"/>
  <c r="AG842" i="3" s="1"/>
  <c r="D842" i="3" l="1"/>
  <c r="G842" i="3" s="1"/>
  <c r="E842" i="3"/>
  <c r="H842" i="3" s="1"/>
  <c r="K842" i="3" s="1"/>
  <c r="AE842" i="3" s="1"/>
  <c r="AH842" i="3"/>
  <c r="F842" i="3" l="1"/>
  <c r="V842" i="3"/>
  <c r="A843" i="3"/>
  <c r="B843" i="3" s="1"/>
  <c r="I842" i="3"/>
  <c r="J842" i="3"/>
  <c r="M842" i="3"/>
  <c r="N842" i="3" s="1"/>
  <c r="W842" i="3" l="1"/>
  <c r="L842" i="3"/>
  <c r="AC843" i="3"/>
  <c r="AD843" i="3"/>
  <c r="AA843" i="3"/>
  <c r="Z843" i="3"/>
  <c r="P843" i="3"/>
  <c r="Q843" i="3" s="1"/>
  <c r="R843" i="3" s="1"/>
  <c r="S843" i="3" s="1"/>
  <c r="U842" i="3" l="1"/>
  <c r="Y841" i="3"/>
  <c r="T843" i="3"/>
  <c r="AG843" i="3" s="1"/>
  <c r="D843" i="3" l="1"/>
  <c r="E843" i="3"/>
  <c r="H843" i="3" s="1"/>
  <c r="AH843" i="3"/>
  <c r="F843" i="3" l="1"/>
  <c r="G843" i="3"/>
  <c r="K843" i="3"/>
  <c r="AE843" i="3" s="1"/>
  <c r="V843" i="3" l="1"/>
  <c r="A844" i="3"/>
  <c r="B844" i="3" s="1"/>
  <c r="I843" i="3"/>
  <c r="J843" i="3"/>
  <c r="M843" i="3"/>
  <c r="N843" i="3" s="1"/>
  <c r="W843" i="3" l="1"/>
  <c r="L843" i="3"/>
  <c r="AC844" i="3"/>
  <c r="P844" i="3"/>
  <c r="Q844" i="3" s="1"/>
  <c r="R844" i="3" s="1"/>
  <c r="S844" i="3" s="1"/>
  <c r="Z844" i="3"/>
  <c r="AA844" i="3"/>
  <c r="U843" i="3" l="1"/>
  <c r="Y842" i="3"/>
  <c r="T844" i="3"/>
  <c r="AH844" i="3" s="1"/>
  <c r="AG844" i="3" l="1"/>
  <c r="E844" i="3"/>
  <c r="H844" i="3" s="1"/>
  <c r="K844" i="3" s="1"/>
  <c r="AE844" i="3" s="1"/>
  <c r="D844" i="3"/>
  <c r="V844" i="3" l="1"/>
  <c r="A845" i="3"/>
  <c r="B845" i="3" s="1"/>
  <c r="F844" i="3"/>
  <c r="G844" i="3"/>
  <c r="I844" i="3" l="1"/>
  <c r="W844" i="3" s="1"/>
  <c r="J844" i="3"/>
  <c r="AD844" i="3" s="1"/>
  <c r="M844" i="3"/>
  <c r="N844" i="3" s="1"/>
  <c r="AD845" i="3"/>
  <c r="AC845" i="3"/>
  <c r="P845" i="3"/>
  <c r="Q845" i="3" s="1"/>
  <c r="R845" i="3" s="1"/>
  <c r="S845" i="3" s="1"/>
  <c r="Z845" i="3"/>
  <c r="AA845" i="3"/>
  <c r="T845" i="3" l="1"/>
  <c r="L844" i="3"/>
  <c r="AH845" i="3" l="1"/>
  <c r="U844" i="3"/>
  <c r="D845" i="3" s="1"/>
  <c r="AG845" i="3"/>
  <c r="Y843" i="3"/>
  <c r="E845" i="3" l="1"/>
  <c r="H845" i="3" s="1"/>
  <c r="K845" i="3" s="1"/>
  <c r="AE845" i="3" s="1"/>
  <c r="G845" i="3"/>
  <c r="F845" i="3" l="1"/>
  <c r="I845" i="3"/>
  <c r="J845" i="3"/>
  <c r="M845" i="3"/>
  <c r="N845" i="3" s="1"/>
  <c r="V845" i="3"/>
  <c r="A846" i="3"/>
  <c r="B846" i="3" s="1"/>
  <c r="W845" i="3" l="1"/>
  <c r="L845" i="3"/>
  <c r="P846" i="3"/>
  <c r="Q846" i="3" s="1"/>
  <c r="R846" i="3" s="1"/>
  <c r="S846" i="3" s="1"/>
  <c r="AD846" i="3"/>
  <c r="AC846" i="3"/>
  <c r="Z846" i="3"/>
  <c r="AA846" i="3"/>
  <c r="U845" i="3" l="1"/>
  <c r="Y844" i="3"/>
  <c r="T846" i="3"/>
  <c r="AH846" i="3" s="1"/>
  <c r="D846" i="3" l="1"/>
  <c r="G846" i="3" s="1"/>
  <c r="E846" i="3"/>
  <c r="H846" i="3" s="1"/>
  <c r="K846" i="3" s="1"/>
  <c r="AE846" i="3" s="1"/>
  <c r="AG846" i="3"/>
  <c r="F846" i="3" l="1"/>
  <c r="I846" i="3"/>
  <c r="J846" i="3"/>
  <c r="M846" i="3"/>
  <c r="N846" i="3" s="1"/>
  <c r="V846" i="3"/>
  <c r="A847" i="3"/>
  <c r="B847" i="3" s="1"/>
  <c r="W846" i="3" l="1"/>
  <c r="L846" i="3"/>
  <c r="AC847" i="3"/>
  <c r="P847" i="3"/>
  <c r="Q847" i="3" s="1"/>
  <c r="R847" i="3" s="1"/>
  <c r="S847" i="3" s="1"/>
  <c r="AD847" i="3"/>
  <c r="AA847" i="3"/>
  <c r="Z847" i="3"/>
  <c r="U846" i="3" l="1"/>
  <c r="Y845" i="3"/>
  <c r="T847" i="3"/>
  <c r="D847" i="3" l="1"/>
  <c r="G847" i="3" s="1"/>
  <c r="E847" i="3"/>
  <c r="H847" i="3" s="1"/>
  <c r="K847" i="3" s="1"/>
  <c r="AE847" i="3" s="1"/>
  <c r="AH847" i="3"/>
  <c r="AG847" i="3"/>
  <c r="F847" i="3" l="1"/>
  <c r="I847" i="3"/>
  <c r="J847" i="3"/>
  <c r="M847" i="3"/>
  <c r="N847" i="3" s="1"/>
  <c r="V847" i="3"/>
  <c r="A848" i="3"/>
  <c r="B848" i="3" s="1"/>
  <c r="W847" i="3" l="1"/>
  <c r="L847" i="3"/>
  <c r="AA848" i="3"/>
  <c r="P848" i="3"/>
  <c r="Q848" i="3" s="1"/>
  <c r="R848" i="3" s="1"/>
  <c r="S848" i="3" s="1"/>
  <c r="Z848" i="3"/>
  <c r="AC848" i="3"/>
  <c r="U847" i="3" l="1"/>
  <c r="Y846" i="3"/>
  <c r="T848" i="3"/>
  <c r="AG848" i="3" s="1"/>
  <c r="D848" i="3" l="1"/>
  <c r="AH848" i="3"/>
  <c r="E848" i="3"/>
  <c r="H848" i="3" s="1"/>
  <c r="F848" i="3" l="1"/>
  <c r="G848" i="3"/>
  <c r="K848" i="3"/>
  <c r="AE848" i="3" s="1"/>
  <c r="V848" i="3" l="1"/>
  <c r="A849" i="3"/>
  <c r="B849" i="3" s="1"/>
  <c r="I848" i="3"/>
  <c r="J848" i="3"/>
  <c r="AD848" i="3" s="1"/>
  <c r="M848" i="3"/>
  <c r="N848" i="3" s="1"/>
  <c r="W848" i="3" l="1"/>
  <c r="L848" i="3"/>
  <c r="P849" i="3"/>
  <c r="Q849" i="3" s="1"/>
  <c r="R849" i="3" s="1"/>
  <c r="S849" i="3" s="1"/>
  <c r="AC849" i="3"/>
  <c r="Z849" i="3"/>
  <c r="AD849" i="3"/>
  <c r="AA849" i="3"/>
  <c r="U848" i="3" l="1"/>
  <c r="Y847" i="3"/>
  <c r="T849" i="3"/>
  <c r="AG849" i="3" s="1"/>
  <c r="E849" i="3" l="1"/>
  <c r="H849" i="3" s="1"/>
  <c r="K849" i="3" s="1"/>
  <c r="AE849" i="3" s="1"/>
  <c r="D849" i="3"/>
  <c r="G849" i="3" s="1"/>
  <c r="AH849" i="3"/>
  <c r="F849" i="3" l="1"/>
  <c r="V849" i="3"/>
  <c r="A850" i="3"/>
  <c r="B850" i="3" s="1"/>
  <c r="I849" i="3"/>
  <c r="J849" i="3"/>
  <c r="M849" i="3"/>
  <c r="N849" i="3" s="1"/>
  <c r="W849" i="3" l="1"/>
  <c r="L849" i="3"/>
  <c r="AA850" i="3"/>
  <c r="AC850" i="3"/>
  <c r="P850" i="3"/>
  <c r="Q850" i="3" s="1"/>
  <c r="R850" i="3" s="1"/>
  <c r="S850" i="3" s="1"/>
  <c r="AD850" i="3"/>
  <c r="Z850" i="3"/>
  <c r="T850" i="3" l="1"/>
  <c r="AG850" i="3" s="1"/>
  <c r="U849" i="3"/>
  <c r="Y848" i="3"/>
  <c r="E850" i="3" l="1"/>
  <c r="H850" i="3" s="1"/>
  <c r="D850" i="3"/>
  <c r="AH850" i="3"/>
  <c r="K850" i="3" l="1"/>
  <c r="AE850" i="3" s="1"/>
  <c r="F850" i="3"/>
  <c r="G850" i="3"/>
  <c r="I850" i="3" l="1"/>
  <c r="J850" i="3"/>
  <c r="M850" i="3"/>
  <c r="N850" i="3" s="1"/>
  <c r="V850" i="3"/>
  <c r="A851" i="3"/>
  <c r="B851" i="3" s="1"/>
  <c r="W850" i="3" l="1"/>
  <c r="L850" i="3"/>
  <c r="P851" i="3"/>
  <c r="Q851" i="3" s="1"/>
  <c r="R851" i="3" s="1"/>
  <c r="S851" i="3" s="1"/>
  <c r="AA851" i="3"/>
  <c r="AC851" i="3"/>
  <c r="AD851" i="3"/>
  <c r="Z851" i="3"/>
  <c r="U850" i="3" l="1"/>
  <c r="Y849" i="3"/>
  <c r="T851" i="3"/>
  <c r="AH851" i="3" s="1"/>
  <c r="E851" i="3" l="1"/>
  <c r="H851" i="3" s="1"/>
  <c r="K851" i="3" s="1"/>
  <c r="AE851" i="3" s="1"/>
  <c r="AG851" i="3"/>
  <c r="D851" i="3"/>
  <c r="F851" i="3" l="1"/>
  <c r="G851" i="3"/>
  <c r="M851" i="3" s="1"/>
  <c r="N851" i="3" s="1"/>
  <c r="V851" i="3"/>
  <c r="A852" i="3"/>
  <c r="B852" i="3" s="1"/>
  <c r="I851" i="3" l="1"/>
  <c r="W851" i="3" s="1"/>
  <c r="J851" i="3"/>
  <c r="L851" i="3" s="1"/>
  <c r="AC852" i="3"/>
  <c r="AA852" i="3"/>
  <c r="AD852" i="3"/>
  <c r="P852" i="3"/>
  <c r="Q852" i="3" s="1"/>
  <c r="R852" i="3" s="1"/>
  <c r="S852" i="3" s="1"/>
  <c r="Z852" i="3"/>
  <c r="T852" i="3" l="1"/>
  <c r="U851" i="3"/>
  <c r="Y850" i="3"/>
  <c r="D852" i="3" l="1"/>
  <c r="G852" i="3" s="1"/>
  <c r="AH852" i="3"/>
  <c r="E852" i="3"/>
  <c r="H852" i="3" s="1"/>
  <c r="AG852" i="3"/>
  <c r="F852" i="3" l="1"/>
  <c r="I852" i="3"/>
  <c r="J852" i="3"/>
  <c r="M852" i="3"/>
  <c r="N852" i="3" s="1"/>
  <c r="K852" i="3"/>
  <c r="AE852" i="3" s="1"/>
  <c r="L852" i="3" l="1"/>
  <c r="V852" i="3"/>
  <c r="W852" i="3" s="1"/>
  <c r="A853" i="3"/>
  <c r="B853" i="3" s="1"/>
  <c r="U852" i="3" l="1"/>
  <c r="Y851" i="3"/>
  <c r="AD853" i="3"/>
  <c r="AC853" i="3"/>
  <c r="P853" i="3"/>
  <c r="Q853" i="3" s="1"/>
  <c r="R853" i="3" s="1"/>
  <c r="S853" i="3" s="1"/>
  <c r="Z853" i="3"/>
  <c r="AA853" i="3"/>
  <c r="T853" i="3" l="1"/>
  <c r="AG853" i="3" s="1"/>
  <c r="E853" i="3" l="1"/>
  <c r="H853" i="3" s="1"/>
  <c r="AH853" i="3"/>
  <c r="D853" i="3"/>
  <c r="K853" i="3" l="1"/>
  <c r="AE853" i="3" s="1"/>
  <c r="F853" i="3"/>
  <c r="G853" i="3"/>
  <c r="I853" i="3" l="1"/>
  <c r="J853" i="3"/>
  <c r="M853" i="3"/>
  <c r="N853" i="3" s="1"/>
  <c r="V853" i="3"/>
  <c r="A854" i="3"/>
  <c r="B854" i="3" s="1"/>
  <c r="W853" i="3" l="1"/>
  <c r="L853" i="3"/>
  <c r="Z854" i="3"/>
  <c r="P854" i="3"/>
  <c r="Q854" i="3" s="1"/>
  <c r="R854" i="3" s="1"/>
  <c r="S854" i="3" s="1"/>
  <c r="AC854" i="3"/>
  <c r="AA854" i="3"/>
  <c r="U853" i="3" l="1"/>
  <c r="Y852" i="3"/>
  <c r="T854" i="3"/>
  <c r="AG854" i="3" s="1"/>
  <c r="E854" i="3" l="1"/>
  <c r="H854" i="3" s="1"/>
  <c r="K854" i="3" s="1"/>
  <c r="AE854" i="3" s="1"/>
  <c r="AH854" i="3"/>
  <c r="D854" i="3"/>
  <c r="G854" i="3" s="1"/>
  <c r="F854" i="3" l="1"/>
  <c r="I854" i="3"/>
  <c r="J854" i="3"/>
  <c r="AD854" i="3" s="1"/>
  <c r="M854" i="3"/>
  <c r="N854" i="3" s="1"/>
  <c r="V854" i="3"/>
  <c r="A855" i="3"/>
  <c r="B855" i="3" s="1"/>
  <c r="W854" i="3" l="1"/>
  <c r="L854" i="3"/>
  <c r="Z855" i="3"/>
  <c r="P855" i="3"/>
  <c r="Q855" i="3" s="1"/>
  <c r="R855" i="3" s="1"/>
  <c r="S855" i="3" s="1"/>
  <c r="AA855" i="3"/>
  <c r="AC855" i="3"/>
  <c r="AD855" i="3"/>
  <c r="T855" i="3" l="1"/>
  <c r="AG855" i="3" s="1"/>
  <c r="U854" i="3"/>
  <c r="Y853" i="3"/>
  <c r="E855" i="3" l="1"/>
  <c r="H855" i="3" s="1"/>
  <c r="K855" i="3" s="1"/>
  <c r="AE855" i="3" s="1"/>
  <c r="D855" i="3"/>
  <c r="AH855" i="3"/>
  <c r="F855" i="3" l="1"/>
  <c r="G855" i="3"/>
  <c r="V855" i="3"/>
  <c r="A856" i="3"/>
  <c r="B856" i="3" s="1"/>
  <c r="AA856" i="3" l="1"/>
  <c r="P856" i="3"/>
  <c r="Q856" i="3" s="1"/>
  <c r="R856" i="3" s="1"/>
  <c r="S856" i="3" s="1"/>
  <c r="Z856" i="3"/>
  <c r="AD856" i="3"/>
  <c r="AC856" i="3"/>
  <c r="I855" i="3"/>
  <c r="W855" i="3" s="1"/>
  <c r="J855" i="3"/>
  <c r="M855" i="3"/>
  <c r="N855" i="3" s="1"/>
  <c r="L855" i="3" l="1"/>
  <c r="T856" i="3"/>
  <c r="U855" i="3" l="1"/>
  <c r="D856" i="3" s="1"/>
  <c r="AH856" i="3"/>
  <c r="AG856" i="3"/>
  <c r="Y854" i="3"/>
  <c r="G856" i="3" l="1"/>
  <c r="E856" i="3"/>
  <c r="H856" i="3" s="1"/>
  <c r="F856" i="3" l="1"/>
  <c r="K856" i="3"/>
  <c r="AE856" i="3" s="1"/>
  <c r="I856" i="3"/>
  <c r="J856" i="3"/>
  <c r="M856" i="3"/>
  <c r="N856" i="3" s="1"/>
  <c r="L856" i="3" l="1"/>
  <c r="V856" i="3"/>
  <c r="W856" i="3" s="1"/>
  <c r="A857" i="3"/>
  <c r="B857" i="3" s="1"/>
  <c r="Z857" i="3" l="1"/>
  <c r="AC857" i="3"/>
  <c r="AD857" i="3"/>
  <c r="AA857" i="3"/>
  <c r="P857" i="3"/>
  <c r="Q857" i="3" s="1"/>
  <c r="R857" i="3" s="1"/>
  <c r="S857" i="3" s="1"/>
  <c r="U856" i="3"/>
  <c r="Y855" i="3"/>
  <c r="T857" i="3" l="1"/>
  <c r="E857" i="3" l="1"/>
  <c r="H857" i="3" s="1"/>
  <c r="AG857" i="3"/>
  <c r="D857" i="3"/>
  <c r="AH857" i="3"/>
  <c r="K857" i="3" l="1"/>
  <c r="AE857" i="3" s="1"/>
  <c r="F857" i="3"/>
  <c r="G857" i="3"/>
  <c r="I857" i="3" l="1"/>
  <c r="J857" i="3"/>
  <c r="M857" i="3"/>
  <c r="N857" i="3" s="1"/>
  <c r="V857" i="3"/>
  <c r="A858" i="3"/>
  <c r="B858" i="3" s="1"/>
  <c r="W857" i="3" l="1"/>
  <c r="L857" i="3"/>
  <c r="AA858" i="3"/>
  <c r="Z858" i="3"/>
  <c r="P858" i="3"/>
  <c r="Q858" i="3" s="1"/>
  <c r="R858" i="3" s="1"/>
  <c r="S858" i="3" s="1"/>
  <c r="AC858" i="3"/>
  <c r="U857" i="3" l="1"/>
  <c r="Y856" i="3"/>
  <c r="T858" i="3"/>
  <c r="D858" i="3" l="1"/>
  <c r="G858" i="3" s="1"/>
  <c r="E858" i="3"/>
  <c r="H858" i="3" s="1"/>
  <c r="K858" i="3" s="1"/>
  <c r="AE858" i="3" s="1"/>
  <c r="AG858" i="3"/>
  <c r="AH858" i="3"/>
  <c r="F858" i="3" l="1"/>
  <c r="V858" i="3"/>
  <c r="A859" i="3"/>
  <c r="B859" i="3" s="1"/>
  <c r="I858" i="3"/>
  <c r="J858" i="3"/>
  <c r="AD858" i="3" s="1"/>
  <c r="M858" i="3"/>
  <c r="N858" i="3" s="1"/>
  <c r="W858" i="3" l="1"/>
  <c r="L858" i="3"/>
  <c r="AC859" i="3"/>
  <c r="P859" i="3"/>
  <c r="Q859" i="3" s="1"/>
  <c r="R859" i="3" s="1"/>
  <c r="S859" i="3" s="1"/>
  <c r="AA859" i="3"/>
  <c r="Z859" i="3"/>
  <c r="AD859" i="3"/>
  <c r="U858" i="3" l="1"/>
  <c r="Y857" i="3"/>
  <c r="T859" i="3"/>
  <c r="D859" i="3" l="1"/>
  <c r="G859" i="3" s="1"/>
  <c r="AH859" i="3"/>
  <c r="AG859" i="3"/>
  <c r="E859" i="3"/>
  <c r="H859" i="3" s="1"/>
  <c r="K859" i="3" s="1"/>
  <c r="AE859" i="3" s="1"/>
  <c r="F859" i="3" l="1"/>
  <c r="I859" i="3"/>
  <c r="J859" i="3"/>
  <c r="M859" i="3"/>
  <c r="N859" i="3" s="1"/>
  <c r="V859" i="3"/>
  <c r="A860" i="3"/>
  <c r="B860" i="3" s="1"/>
  <c r="W859" i="3" l="1"/>
  <c r="AC860" i="3"/>
  <c r="AD860" i="3"/>
  <c r="Z860" i="3"/>
  <c r="AA860" i="3"/>
  <c r="P860" i="3"/>
  <c r="Q860" i="3" s="1"/>
  <c r="R860" i="3" s="1"/>
  <c r="S860" i="3" s="1"/>
  <c r="L859" i="3"/>
  <c r="T860" i="3" l="1"/>
  <c r="U859" i="3"/>
  <c r="Y858" i="3"/>
  <c r="D860" i="3" l="1"/>
  <c r="G860" i="3" s="1"/>
  <c r="AG860" i="3"/>
  <c r="AH860" i="3"/>
  <c r="E860" i="3"/>
  <c r="H860" i="3" s="1"/>
  <c r="I860" i="3" l="1"/>
  <c r="J860" i="3"/>
  <c r="M860" i="3"/>
  <c r="N860" i="3" s="1"/>
  <c r="K860" i="3"/>
  <c r="AE860" i="3" s="1"/>
  <c r="F860" i="3"/>
  <c r="L860" i="3" l="1"/>
  <c r="V860" i="3"/>
  <c r="W860" i="3" s="1"/>
  <c r="A861" i="3"/>
  <c r="B861" i="3" s="1"/>
  <c r="U860" i="3" l="1"/>
  <c r="Y859" i="3"/>
  <c r="Z861" i="3"/>
  <c r="AD861" i="3"/>
  <c r="P861" i="3"/>
  <c r="Q861" i="3" s="1"/>
  <c r="R861" i="3" s="1"/>
  <c r="S861" i="3" s="1"/>
  <c r="AC861" i="3"/>
  <c r="AA861" i="3"/>
  <c r="T861" i="3" l="1"/>
  <c r="E861" i="3" s="1"/>
  <c r="H861" i="3" s="1"/>
  <c r="K861" i="3" l="1"/>
  <c r="AE861" i="3" s="1"/>
  <c r="D861" i="3"/>
  <c r="AH861" i="3"/>
  <c r="AG861" i="3"/>
  <c r="F861" i="3" l="1"/>
  <c r="G861" i="3"/>
  <c r="V861" i="3"/>
  <c r="A862" i="3"/>
  <c r="B862" i="3" s="1"/>
  <c r="AD862" i="3" l="1"/>
  <c r="Z862" i="3"/>
  <c r="P862" i="3"/>
  <c r="Q862" i="3" s="1"/>
  <c r="R862" i="3" s="1"/>
  <c r="S862" i="3" s="1"/>
  <c r="AC862" i="3"/>
  <c r="AA862" i="3"/>
  <c r="I861" i="3"/>
  <c r="W861" i="3" s="1"/>
  <c r="J861" i="3"/>
  <c r="M861" i="3"/>
  <c r="N861" i="3" s="1"/>
  <c r="T862" i="3" l="1"/>
  <c r="L861" i="3"/>
  <c r="AH862" i="3" l="1"/>
  <c r="U861" i="3"/>
  <c r="D862" i="3" s="1"/>
  <c r="AG862" i="3"/>
  <c r="Y860" i="3"/>
  <c r="E862" i="3" l="1"/>
  <c r="H862" i="3" s="1"/>
  <c r="K862" i="3" s="1"/>
  <c r="AE862" i="3" s="1"/>
  <c r="G862" i="3"/>
  <c r="F862" i="3" l="1"/>
  <c r="I862" i="3"/>
  <c r="J862" i="3"/>
  <c r="M862" i="3"/>
  <c r="N862" i="3" s="1"/>
  <c r="V862" i="3"/>
  <c r="A863" i="3"/>
  <c r="B863" i="3" s="1"/>
  <c r="W862" i="3" l="1"/>
  <c r="L862" i="3"/>
  <c r="AA863" i="3"/>
  <c r="Z863" i="3"/>
  <c r="P863" i="3"/>
  <c r="Q863" i="3" s="1"/>
  <c r="R863" i="3" s="1"/>
  <c r="S863" i="3" s="1"/>
  <c r="AD863" i="3"/>
  <c r="AC863" i="3"/>
  <c r="T863" i="3" l="1"/>
  <c r="U862" i="3"/>
  <c r="Y861" i="3"/>
  <c r="E863" i="3" l="1"/>
  <c r="H863" i="3" s="1"/>
  <c r="K863" i="3" s="1"/>
  <c r="AE863" i="3" s="1"/>
  <c r="D863" i="3"/>
  <c r="G863" i="3" s="1"/>
  <c r="AH863" i="3"/>
  <c r="AG863" i="3"/>
  <c r="F863" i="3" l="1"/>
  <c r="I863" i="3"/>
  <c r="J863" i="3"/>
  <c r="M863" i="3"/>
  <c r="N863" i="3" s="1"/>
  <c r="V863" i="3"/>
  <c r="A864" i="3"/>
  <c r="B864" i="3" s="1"/>
  <c r="W863" i="3" l="1"/>
  <c r="L863" i="3"/>
  <c r="AC864" i="3"/>
  <c r="Z864" i="3"/>
  <c r="AA864" i="3"/>
  <c r="P864" i="3"/>
  <c r="Q864" i="3" s="1"/>
  <c r="R864" i="3" s="1"/>
  <c r="S864" i="3" s="1"/>
  <c r="U863" i="3" l="1"/>
  <c r="Y862" i="3"/>
  <c r="T864" i="3"/>
  <c r="AH864" i="3" s="1"/>
  <c r="E864" i="3" l="1"/>
  <c r="H864" i="3" s="1"/>
  <c r="D864" i="3"/>
  <c r="AG864" i="3"/>
  <c r="K864" i="3" l="1"/>
  <c r="AE864" i="3" s="1"/>
  <c r="F864" i="3"/>
  <c r="G864" i="3"/>
  <c r="I864" i="3" l="1"/>
  <c r="J864" i="3"/>
  <c r="AD864" i="3" s="1"/>
  <c r="M864" i="3"/>
  <c r="N864" i="3" s="1"/>
  <c r="V864" i="3"/>
  <c r="A865" i="3"/>
  <c r="B865" i="3" s="1"/>
  <c r="W864" i="3" l="1"/>
  <c r="L864" i="3"/>
  <c r="AD865" i="3"/>
  <c r="P865" i="3"/>
  <c r="Q865" i="3" s="1"/>
  <c r="R865" i="3" s="1"/>
  <c r="S865" i="3" s="1"/>
  <c r="AC865" i="3"/>
  <c r="Z865" i="3"/>
  <c r="AA865" i="3"/>
  <c r="U864" i="3" l="1"/>
  <c r="Y863" i="3"/>
  <c r="T865" i="3"/>
  <c r="AG865" i="3" s="1"/>
  <c r="E865" i="3" l="1"/>
  <c r="H865" i="3" s="1"/>
  <c r="K865" i="3" s="1"/>
  <c r="AE865" i="3" s="1"/>
  <c r="D865" i="3"/>
  <c r="G865" i="3" s="1"/>
  <c r="AH865" i="3"/>
  <c r="F865" i="3" l="1"/>
  <c r="V865" i="3"/>
  <c r="A866" i="3"/>
  <c r="B866" i="3" s="1"/>
  <c r="I865" i="3"/>
  <c r="J865" i="3"/>
  <c r="M865" i="3"/>
  <c r="N865" i="3" s="1"/>
  <c r="W865" i="3" l="1"/>
  <c r="L865" i="3"/>
  <c r="P866" i="3"/>
  <c r="Q866" i="3" s="1"/>
  <c r="R866" i="3" s="1"/>
  <c r="S866" i="3" s="1"/>
  <c r="AA866" i="3"/>
  <c r="Z866" i="3"/>
  <c r="AC866" i="3"/>
  <c r="AD866" i="3"/>
  <c r="T866" i="3" l="1"/>
  <c r="U865" i="3"/>
  <c r="Y864" i="3"/>
  <c r="D866" i="3" l="1"/>
  <c r="G866" i="3" s="1"/>
  <c r="AG866" i="3"/>
  <c r="AH866" i="3"/>
  <c r="E866" i="3"/>
  <c r="H866" i="3" s="1"/>
  <c r="F866" i="3" l="1"/>
  <c r="K866" i="3"/>
  <c r="AE866" i="3" s="1"/>
  <c r="I866" i="3"/>
  <c r="J866" i="3"/>
  <c r="M866" i="3"/>
  <c r="N866" i="3" s="1"/>
  <c r="L866" i="3" l="1"/>
  <c r="V866" i="3"/>
  <c r="W866" i="3" s="1"/>
  <c r="A867" i="3"/>
  <c r="B867" i="3" s="1"/>
  <c r="Z867" i="3" l="1"/>
  <c r="AA867" i="3"/>
  <c r="P867" i="3"/>
  <c r="Q867" i="3" s="1"/>
  <c r="R867" i="3" s="1"/>
  <c r="S867" i="3" s="1"/>
  <c r="AC867" i="3"/>
  <c r="AD867" i="3"/>
  <c r="U866" i="3"/>
  <c r="Y865" i="3"/>
  <c r="T867" i="3" l="1"/>
  <c r="D867" i="3" s="1"/>
  <c r="AG867" i="3" l="1"/>
  <c r="E867" i="3"/>
  <c r="H867" i="3" s="1"/>
  <c r="K867" i="3" s="1"/>
  <c r="AE867" i="3" s="1"/>
  <c r="AH867" i="3"/>
  <c r="G867" i="3"/>
  <c r="F867" i="3" l="1"/>
  <c r="I867" i="3"/>
  <c r="J867" i="3"/>
  <c r="M867" i="3"/>
  <c r="N867" i="3" s="1"/>
  <c r="V867" i="3"/>
  <c r="A868" i="3"/>
  <c r="B868" i="3" s="1"/>
  <c r="W867" i="3" l="1"/>
  <c r="L867" i="3"/>
  <c r="Z868" i="3"/>
  <c r="AA868" i="3"/>
  <c r="AC868" i="3"/>
  <c r="P868" i="3"/>
  <c r="Q868" i="3" s="1"/>
  <c r="R868" i="3" s="1"/>
  <c r="S868" i="3" s="1"/>
  <c r="T868" i="3" l="1"/>
  <c r="U867" i="3"/>
  <c r="Y866" i="3"/>
  <c r="E868" i="3" l="1"/>
  <c r="H868" i="3" s="1"/>
  <c r="K868" i="3" s="1"/>
  <c r="AE868" i="3" s="1"/>
  <c r="AH868" i="3"/>
  <c r="D868" i="3"/>
  <c r="G868" i="3" s="1"/>
  <c r="AG868" i="3"/>
  <c r="F868" i="3" l="1"/>
  <c r="I868" i="3"/>
  <c r="J868" i="3"/>
  <c r="AD868" i="3" s="1"/>
  <c r="M868" i="3"/>
  <c r="N868" i="3" s="1"/>
  <c r="V868" i="3"/>
  <c r="A869" i="3"/>
  <c r="B869" i="3" s="1"/>
  <c r="W868" i="3" l="1"/>
  <c r="L868" i="3"/>
  <c r="P869" i="3"/>
  <c r="Q869" i="3" s="1"/>
  <c r="R869" i="3" s="1"/>
  <c r="S869" i="3" s="1"/>
  <c r="Z869" i="3"/>
  <c r="AC869" i="3"/>
  <c r="AA869" i="3"/>
  <c r="AD869" i="3"/>
  <c r="T869" i="3" l="1"/>
  <c r="U868" i="3"/>
  <c r="Y867" i="3"/>
  <c r="E869" i="3" l="1"/>
  <c r="H869" i="3" s="1"/>
  <c r="K869" i="3" s="1"/>
  <c r="AE869" i="3" s="1"/>
  <c r="AG869" i="3"/>
  <c r="D869" i="3"/>
  <c r="AH869" i="3"/>
  <c r="V869" i="3" l="1"/>
  <c r="A870" i="3"/>
  <c r="B870" i="3" s="1"/>
  <c r="F869" i="3"/>
  <c r="G869" i="3"/>
  <c r="I869" i="3" l="1"/>
  <c r="W869" i="3" s="1"/>
  <c r="J869" i="3"/>
  <c r="M869" i="3"/>
  <c r="N869" i="3" s="1"/>
  <c r="AD870" i="3"/>
  <c r="Z870" i="3"/>
  <c r="AA870" i="3"/>
  <c r="P870" i="3"/>
  <c r="Q870" i="3" s="1"/>
  <c r="R870" i="3" s="1"/>
  <c r="S870" i="3" s="1"/>
  <c r="AC870" i="3"/>
  <c r="L869" i="3" l="1"/>
  <c r="T870" i="3"/>
  <c r="U869" i="3" l="1"/>
  <c r="E870" i="3" s="1"/>
  <c r="H870" i="3" s="1"/>
  <c r="AH870" i="3"/>
  <c r="AG870" i="3"/>
  <c r="Y868" i="3"/>
  <c r="D870" i="3" l="1"/>
  <c r="G870" i="3" s="1"/>
  <c r="K870" i="3"/>
  <c r="AE870" i="3" s="1"/>
  <c r="F870" i="3" l="1"/>
  <c r="V870" i="3"/>
  <c r="A871" i="3"/>
  <c r="B871" i="3" s="1"/>
  <c r="I870" i="3"/>
  <c r="J870" i="3"/>
  <c r="M870" i="3"/>
  <c r="N870" i="3" s="1"/>
  <c r="W870" i="3" l="1"/>
  <c r="L870" i="3"/>
  <c r="Z871" i="3"/>
  <c r="P871" i="3"/>
  <c r="Q871" i="3" s="1"/>
  <c r="R871" i="3" s="1"/>
  <c r="S871" i="3" s="1"/>
  <c r="AD871" i="3"/>
  <c r="AA871" i="3"/>
  <c r="AC871" i="3"/>
  <c r="T871" i="3" l="1"/>
  <c r="AH871" i="3" s="1"/>
  <c r="U870" i="3"/>
  <c r="Y869" i="3"/>
  <c r="E871" i="3" l="1"/>
  <c r="H871" i="3" s="1"/>
  <c r="K871" i="3" s="1"/>
  <c r="AE871" i="3" s="1"/>
  <c r="AG871" i="3"/>
  <c r="D871" i="3"/>
  <c r="F871" i="3" l="1"/>
  <c r="G871" i="3"/>
  <c r="V871" i="3"/>
  <c r="A872" i="3"/>
  <c r="B872" i="3" s="1"/>
  <c r="AC872" i="3" l="1"/>
  <c r="AA872" i="3"/>
  <c r="P872" i="3"/>
  <c r="Q872" i="3" s="1"/>
  <c r="R872" i="3" s="1"/>
  <c r="S872" i="3" s="1"/>
  <c r="Z872" i="3"/>
  <c r="AD872" i="3"/>
  <c r="I871" i="3"/>
  <c r="W871" i="3" s="1"/>
  <c r="J871" i="3"/>
  <c r="M871" i="3"/>
  <c r="N871" i="3" s="1"/>
  <c r="L871" i="3" l="1"/>
  <c r="T872" i="3"/>
  <c r="AG872" i="3" l="1"/>
  <c r="AH872" i="3"/>
  <c r="U871" i="3"/>
  <c r="E872" i="3" s="1"/>
  <c r="H872" i="3" s="1"/>
  <c r="Y870" i="3"/>
  <c r="D872" i="3" l="1"/>
  <c r="G872" i="3" s="1"/>
  <c r="K872" i="3"/>
  <c r="AE872" i="3" s="1"/>
  <c r="F872" i="3" l="1"/>
  <c r="I872" i="3"/>
  <c r="J872" i="3"/>
  <c r="M872" i="3"/>
  <c r="N872" i="3" s="1"/>
  <c r="V872" i="3"/>
  <c r="A873" i="3"/>
  <c r="B873" i="3" s="1"/>
  <c r="W872" i="3" l="1"/>
  <c r="L872" i="3"/>
  <c r="AA873" i="3"/>
  <c r="AC873" i="3"/>
  <c r="AD873" i="3"/>
  <c r="P873" i="3"/>
  <c r="Q873" i="3" s="1"/>
  <c r="R873" i="3" s="1"/>
  <c r="S873" i="3" s="1"/>
  <c r="Z873" i="3"/>
  <c r="T873" i="3" l="1"/>
  <c r="AH873" i="3" s="1"/>
  <c r="U872" i="3"/>
  <c r="Y871" i="3"/>
  <c r="AG873" i="3" l="1"/>
  <c r="E873" i="3"/>
  <c r="H873" i="3" s="1"/>
  <c r="D873" i="3"/>
  <c r="K873" i="3" l="1"/>
  <c r="AE873" i="3" s="1"/>
  <c r="F873" i="3"/>
  <c r="G873" i="3"/>
  <c r="I873" i="3" l="1"/>
  <c r="J873" i="3"/>
  <c r="M873" i="3"/>
  <c r="N873" i="3" s="1"/>
  <c r="V873" i="3"/>
  <c r="A874" i="3"/>
  <c r="B874" i="3" s="1"/>
  <c r="W873" i="3" l="1"/>
  <c r="L873" i="3"/>
  <c r="AA874" i="3"/>
  <c r="P874" i="3"/>
  <c r="Q874" i="3" s="1"/>
  <c r="R874" i="3" s="1"/>
  <c r="S874" i="3" s="1"/>
  <c r="Z874" i="3"/>
  <c r="AC874" i="3"/>
  <c r="T874" i="3" l="1"/>
  <c r="AH874" i="3" s="1"/>
  <c r="U873" i="3"/>
  <c r="Y872" i="3"/>
  <c r="E874" i="3" l="1"/>
  <c r="H874" i="3" s="1"/>
  <c r="D874" i="3"/>
  <c r="AG874" i="3"/>
  <c r="K874" i="3" l="1"/>
  <c r="AE874" i="3" s="1"/>
  <c r="F874" i="3"/>
  <c r="G874" i="3"/>
  <c r="I874" i="3" l="1"/>
  <c r="J874" i="3"/>
  <c r="AD874" i="3" s="1"/>
  <c r="M874" i="3"/>
  <c r="N874" i="3" s="1"/>
  <c r="V874" i="3"/>
  <c r="A875" i="3"/>
  <c r="B875" i="3" s="1"/>
  <c r="W874" i="3" l="1"/>
  <c r="L874" i="3"/>
  <c r="AA875" i="3"/>
  <c r="Z875" i="3"/>
  <c r="P875" i="3"/>
  <c r="Q875" i="3" s="1"/>
  <c r="R875" i="3" s="1"/>
  <c r="S875" i="3" s="1"/>
  <c r="AD875" i="3"/>
  <c r="AC875" i="3"/>
  <c r="T875" i="3" l="1"/>
  <c r="U874" i="3"/>
  <c r="Y873" i="3"/>
  <c r="D875" i="3" l="1"/>
  <c r="G875" i="3" s="1"/>
  <c r="E875" i="3"/>
  <c r="H875" i="3" s="1"/>
  <c r="K875" i="3" s="1"/>
  <c r="AE875" i="3" s="1"/>
  <c r="AH875" i="3"/>
  <c r="AG875" i="3"/>
  <c r="F875" i="3" l="1"/>
  <c r="V875" i="3"/>
  <c r="A876" i="3"/>
  <c r="B876" i="3" s="1"/>
  <c r="I875" i="3"/>
  <c r="J875" i="3"/>
  <c r="M875" i="3"/>
  <c r="N875" i="3" s="1"/>
  <c r="W875" i="3" l="1"/>
  <c r="L875" i="3"/>
  <c r="AC876" i="3"/>
  <c r="P876" i="3"/>
  <c r="Q876" i="3" s="1"/>
  <c r="R876" i="3" s="1"/>
  <c r="S876" i="3" s="1"/>
  <c r="Z876" i="3"/>
  <c r="AA876" i="3"/>
  <c r="AD876" i="3"/>
  <c r="U875" i="3" l="1"/>
  <c r="Y874" i="3"/>
  <c r="T876" i="3"/>
  <c r="AG876" i="3" s="1"/>
  <c r="D876" i="3" l="1"/>
  <c r="E876" i="3"/>
  <c r="H876" i="3" s="1"/>
  <c r="AH876" i="3"/>
  <c r="K876" i="3" l="1"/>
  <c r="AE876" i="3" s="1"/>
  <c r="F876" i="3"/>
  <c r="G876" i="3"/>
  <c r="I876" i="3" l="1"/>
  <c r="J876" i="3"/>
  <c r="M876" i="3"/>
  <c r="N876" i="3" s="1"/>
  <c r="V876" i="3"/>
  <c r="A877" i="3"/>
  <c r="B877" i="3" s="1"/>
  <c r="W876" i="3" l="1"/>
  <c r="L876" i="3"/>
  <c r="P877" i="3"/>
  <c r="Q877" i="3" s="1"/>
  <c r="R877" i="3" s="1"/>
  <c r="S877" i="3" s="1"/>
  <c r="AA877" i="3"/>
  <c r="Z877" i="3"/>
  <c r="AD877" i="3"/>
  <c r="AC877" i="3"/>
  <c r="U876" i="3" l="1"/>
  <c r="Y875" i="3"/>
  <c r="T877" i="3"/>
  <c r="D877" i="3" l="1"/>
  <c r="G877" i="3" s="1"/>
  <c r="AH877" i="3"/>
  <c r="AG877" i="3"/>
  <c r="E877" i="3"/>
  <c r="H877" i="3" s="1"/>
  <c r="I877" i="3" l="1"/>
  <c r="J877" i="3"/>
  <c r="M877" i="3"/>
  <c r="N877" i="3" s="1"/>
  <c r="K877" i="3"/>
  <c r="AE877" i="3" s="1"/>
  <c r="F877" i="3"/>
  <c r="V877" i="3" l="1"/>
  <c r="W877" i="3" s="1"/>
  <c r="A878" i="3"/>
  <c r="B878" i="3" s="1"/>
  <c r="L877" i="3"/>
  <c r="U877" i="3" l="1"/>
  <c r="Y876" i="3"/>
  <c r="Z878" i="3"/>
  <c r="AC878" i="3"/>
  <c r="AA878" i="3"/>
  <c r="P878" i="3"/>
  <c r="Q878" i="3" s="1"/>
  <c r="R878" i="3" s="1"/>
  <c r="S878" i="3" s="1"/>
  <c r="T878" i="3" l="1"/>
  <c r="E878" i="3" s="1"/>
  <c r="H878" i="3" s="1"/>
  <c r="D878" i="3" l="1"/>
  <c r="G878" i="3" s="1"/>
  <c r="AG878" i="3"/>
  <c r="AH878" i="3"/>
  <c r="K878" i="3"/>
  <c r="AE878" i="3" s="1"/>
  <c r="F878" i="3" l="1"/>
  <c r="I878" i="3"/>
  <c r="J878" i="3"/>
  <c r="AD878" i="3" s="1"/>
  <c r="M878" i="3"/>
  <c r="N878" i="3" s="1"/>
  <c r="V878" i="3"/>
  <c r="A879" i="3"/>
  <c r="B879" i="3" s="1"/>
  <c r="W878" i="3" l="1"/>
  <c r="L878" i="3"/>
  <c r="AC879" i="3"/>
  <c r="AD879" i="3"/>
  <c r="P879" i="3"/>
  <c r="Q879" i="3" s="1"/>
  <c r="R879" i="3" s="1"/>
  <c r="S879" i="3" s="1"/>
  <c r="AA879" i="3"/>
  <c r="Z879" i="3"/>
  <c r="T879" i="3" l="1"/>
  <c r="AG879" i="3" s="1"/>
  <c r="U878" i="3"/>
  <c r="Y877" i="3"/>
  <c r="E879" i="3" l="1"/>
  <c r="H879" i="3" s="1"/>
  <c r="D879" i="3"/>
  <c r="AH879" i="3"/>
  <c r="F879" i="3" l="1"/>
  <c r="G879" i="3"/>
  <c r="K879" i="3"/>
  <c r="AE879" i="3" s="1"/>
  <c r="I879" i="3" l="1"/>
  <c r="J879" i="3"/>
  <c r="M879" i="3"/>
  <c r="N879" i="3" s="1"/>
  <c r="V879" i="3"/>
  <c r="A880" i="3"/>
  <c r="B880" i="3" s="1"/>
  <c r="W879" i="3" l="1"/>
  <c r="L879" i="3"/>
  <c r="AD880" i="3"/>
  <c r="AA880" i="3"/>
  <c r="AC880" i="3"/>
  <c r="Z880" i="3"/>
  <c r="P880" i="3"/>
  <c r="Q880" i="3" s="1"/>
  <c r="R880" i="3" s="1"/>
  <c r="S880" i="3" s="1"/>
  <c r="T880" i="3" l="1"/>
  <c r="AG880" i="3" s="1"/>
  <c r="U879" i="3"/>
  <c r="Y878" i="3"/>
  <c r="D880" i="3" l="1"/>
  <c r="AH880" i="3"/>
  <c r="E880" i="3"/>
  <c r="H880" i="3" s="1"/>
  <c r="F880" i="3" l="1"/>
  <c r="G880" i="3"/>
  <c r="K880" i="3"/>
  <c r="AE880" i="3" s="1"/>
  <c r="V880" i="3" l="1"/>
  <c r="A881" i="3"/>
  <c r="B881" i="3" s="1"/>
  <c r="I880" i="3"/>
  <c r="J880" i="3"/>
  <c r="M880" i="3"/>
  <c r="N880" i="3" s="1"/>
  <c r="W880" i="3" l="1"/>
  <c r="L880" i="3"/>
  <c r="AA881" i="3"/>
  <c r="AD881" i="3"/>
  <c r="P881" i="3"/>
  <c r="Q881" i="3" s="1"/>
  <c r="R881" i="3" s="1"/>
  <c r="S881" i="3" s="1"/>
  <c r="Z881" i="3"/>
  <c r="AC881" i="3"/>
  <c r="U880" i="3" l="1"/>
  <c r="Y879" i="3"/>
  <c r="T881" i="3"/>
  <c r="E881" i="3" l="1"/>
  <c r="H881" i="3" s="1"/>
  <c r="K881" i="3" s="1"/>
  <c r="AE881" i="3" s="1"/>
  <c r="D881" i="3"/>
  <c r="AG881" i="3"/>
  <c r="AH881" i="3"/>
  <c r="F881" i="3" l="1"/>
  <c r="G881" i="3"/>
  <c r="I881" i="3" s="1"/>
  <c r="V881" i="3"/>
  <c r="A882" i="3"/>
  <c r="B882" i="3" s="1"/>
  <c r="W881" i="3" l="1"/>
  <c r="M881" i="3"/>
  <c r="N881" i="3" s="1"/>
  <c r="J881" i="3"/>
  <c r="L881" i="3" s="1"/>
  <c r="Z882" i="3"/>
  <c r="P882" i="3"/>
  <c r="Q882" i="3" s="1"/>
  <c r="R882" i="3" s="1"/>
  <c r="S882" i="3" s="1"/>
  <c r="AD882" i="3"/>
  <c r="AC882" i="3"/>
  <c r="AA882" i="3"/>
  <c r="T882" i="3" l="1"/>
  <c r="AG882" i="3" s="1"/>
  <c r="U881" i="3"/>
  <c r="Y880" i="3"/>
  <c r="AH882" i="3" l="1"/>
  <c r="D882" i="3"/>
  <c r="E882" i="3"/>
  <c r="H882" i="3" s="1"/>
  <c r="F882" i="3" l="1"/>
  <c r="G882" i="3"/>
  <c r="K882" i="3"/>
  <c r="AE882" i="3" s="1"/>
  <c r="I882" i="3" l="1"/>
  <c r="J882" i="3"/>
  <c r="M882" i="3"/>
  <c r="N882" i="3" s="1"/>
  <c r="V882" i="3"/>
  <c r="A883" i="3"/>
  <c r="B883" i="3" s="1"/>
  <c r="W882" i="3" l="1"/>
  <c r="L882" i="3"/>
  <c r="AC883" i="3"/>
  <c r="AA883" i="3"/>
  <c r="Z883" i="3"/>
  <c r="AD883" i="3"/>
  <c r="P883" i="3"/>
  <c r="Q883" i="3" s="1"/>
  <c r="R883" i="3" s="1"/>
  <c r="S883" i="3" s="1"/>
  <c r="T883" i="3" l="1"/>
  <c r="AG883" i="3" s="1"/>
  <c r="U882" i="3"/>
  <c r="Y881" i="3"/>
  <c r="E883" i="3" l="1"/>
  <c r="H883" i="3" s="1"/>
  <c r="K883" i="3" s="1"/>
  <c r="AE883" i="3" s="1"/>
  <c r="D883" i="3"/>
  <c r="AH883" i="3"/>
  <c r="V883" i="3" l="1"/>
  <c r="A884" i="3"/>
  <c r="B884" i="3" s="1"/>
  <c r="F883" i="3"/>
  <c r="G883" i="3"/>
  <c r="I883" i="3" l="1"/>
  <c r="W883" i="3" s="1"/>
  <c r="J883" i="3"/>
  <c r="M883" i="3"/>
  <c r="N883" i="3" s="1"/>
  <c r="AA884" i="3"/>
  <c r="Z884" i="3"/>
  <c r="P884" i="3"/>
  <c r="Q884" i="3" s="1"/>
  <c r="R884" i="3" s="1"/>
  <c r="S884" i="3" s="1"/>
  <c r="AC884" i="3"/>
  <c r="T884" i="3" l="1"/>
  <c r="L883" i="3"/>
  <c r="AG884" i="3" l="1"/>
  <c r="U883" i="3"/>
  <c r="D884" i="3" s="1"/>
  <c r="AH884" i="3"/>
  <c r="Y882" i="3"/>
  <c r="E884" i="3" l="1"/>
  <c r="H884" i="3" s="1"/>
  <c r="K884" i="3" s="1"/>
  <c r="AE884" i="3" s="1"/>
  <c r="G884" i="3"/>
  <c r="F884" i="3" l="1"/>
  <c r="V884" i="3"/>
  <c r="A885" i="3"/>
  <c r="B885" i="3" s="1"/>
  <c r="I884" i="3"/>
  <c r="J884" i="3"/>
  <c r="AD884" i="3" s="1"/>
  <c r="M884" i="3"/>
  <c r="N884" i="3" s="1"/>
  <c r="W884" i="3" l="1"/>
  <c r="L884" i="3"/>
  <c r="P885" i="3"/>
  <c r="Q885" i="3" s="1"/>
  <c r="R885" i="3" s="1"/>
  <c r="S885" i="3" s="1"/>
  <c r="AD885" i="3"/>
  <c r="Z885" i="3"/>
  <c r="AC885" i="3"/>
  <c r="AA885" i="3"/>
  <c r="U884" i="3" l="1"/>
  <c r="Y883" i="3"/>
  <c r="T885" i="3"/>
  <c r="AH885" i="3" s="1"/>
  <c r="D885" i="3" l="1"/>
  <c r="G885" i="3" s="1"/>
  <c r="E885" i="3"/>
  <c r="H885" i="3" s="1"/>
  <c r="K885" i="3" s="1"/>
  <c r="AE885" i="3" s="1"/>
  <c r="AG885" i="3"/>
  <c r="F885" i="3" l="1"/>
  <c r="V885" i="3"/>
  <c r="A886" i="3"/>
  <c r="B886" i="3" s="1"/>
  <c r="I885" i="3"/>
  <c r="J885" i="3"/>
  <c r="M885" i="3"/>
  <c r="N885" i="3" s="1"/>
  <c r="W885" i="3" l="1"/>
  <c r="L885" i="3"/>
  <c r="P886" i="3"/>
  <c r="Q886" i="3" s="1"/>
  <c r="R886" i="3" s="1"/>
  <c r="S886" i="3" s="1"/>
  <c r="AA886" i="3"/>
  <c r="AC886" i="3"/>
  <c r="AD886" i="3"/>
  <c r="Z886" i="3"/>
  <c r="U885" i="3" l="1"/>
  <c r="Y884" i="3"/>
  <c r="T886" i="3"/>
  <c r="E886" i="3" l="1"/>
  <c r="H886" i="3" s="1"/>
  <c r="K886" i="3" s="1"/>
  <c r="AE886" i="3" s="1"/>
  <c r="AH886" i="3"/>
  <c r="AG886" i="3"/>
  <c r="D886" i="3"/>
  <c r="F886" i="3" l="1"/>
  <c r="G886" i="3"/>
  <c r="V886" i="3"/>
  <c r="A887" i="3"/>
  <c r="B887" i="3" s="1"/>
  <c r="I886" i="3" l="1"/>
  <c r="W886" i="3" s="1"/>
  <c r="J886" i="3"/>
  <c r="M886" i="3"/>
  <c r="N886" i="3" s="1"/>
  <c r="P887" i="3"/>
  <c r="Q887" i="3" s="1"/>
  <c r="R887" i="3" s="1"/>
  <c r="S887" i="3" s="1"/>
  <c r="Z887" i="3"/>
  <c r="AD887" i="3"/>
  <c r="AA887" i="3"/>
  <c r="AC887" i="3"/>
  <c r="T887" i="3" l="1"/>
  <c r="L886" i="3"/>
  <c r="AG887" i="3" l="1"/>
  <c r="AH887" i="3"/>
  <c r="U886" i="3"/>
  <c r="D887" i="3" s="1"/>
  <c r="Y885" i="3"/>
  <c r="E887" i="3" l="1"/>
  <c r="H887" i="3" s="1"/>
  <c r="K887" i="3" s="1"/>
  <c r="AE887" i="3" s="1"/>
  <c r="G887" i="3"/>
  <c r="F887" i="3" l="1"/>
  <c r="I887" i="3"/>
  <c r="J887" i="3"/>
  <c r="M887" i="3"/>
  <c r="N887" i="3" s="1"/>
  <c r="V887" i="3"/>
  <c r="A888" i="3"/>
  <c r="B888" i="3" s="1"/>
  <c r="W887" i="3" l="1"/>
  <c r="L887" i="3"/>
  <c r="AC888" i="3"/>
  <c r="AA888" i="3"/>
  <c r="Z888" i="3"/>
  <c r="P888" i="3"/>
  <c r="Q888" i="3" s="1"/>
  <c r="R888" i="3" s="1"/>
  <c r="S888" i="3" s="1"/>
  <c r="T888" i="3" l="1"/>
  <c r="U887" i="3"/>
  <c r="Y886" i="3"/>
  <c r="E888" i="3" l="1"/>
  <c r="H888" i="3" s="1"/>
  <c r="K888" i="3" s="1"/>
  <c r="AE888" i="3" s="1"/>
  <c r="D888" i="3"/>
  <c r="G888" i="3" s="1"/>
  <c r="AG888" i="3"/>
  <c r="AH888" i="3"/>
  <c r="F888" i="3" l="1"/>
  <c r="I888" i="3"/>
  <c r="J888" i="3"/>
  <c r="AD888" i="3" s="1"/>
  <c r="M888" i="3"/>
  <c r="N888" i="3" s="1"/>
  <c r="V888" i="3"/>
  <c r="A889" i="3"/>
  <c r="B889" i="3" s="1"/>
  <c r="W888" i="3" l="1"/>
  <c r="L888" i="3"/>
  <c r="AA889" i="3"/>
  <c r="Z889" i="3"/>
  <c r="AD889" i="3"/>
  <c r="P889" i="3"/>
  <c r="Q889" i="3" s="1"/>
  <c r="R889" i="3" s="1"/>
  <c r="S889" i="3" s="1"/>
  <c r="AC889" i="3"/>
  <c r="T889" i="3" l="1"/>
  <c r="AG889" i="3" s="1"/>
  <c r="U888" i="3"/>
  <c r="Y887" i="3"/>
  <c r="AH889" i="3" l="1"/>
  <c r="D889" i="3"/>
  <c r="G889" i="3" s="1"/>
  <c r="E889" i="3"/>
  <c r="H889" i="3" s="1"/>
  <c r="I889" i="3" l="1"/>
  <c r="J889" i="3"/>
  <c r="M889" i="3"/>
  <c r="N889" i="3" s="1"/>
  <c r="K889" i="3"/>
  <c r="AE889" i="3" s="1"/>
  <c r="F889" i="3"/>
  <c r="L889" i="3" l="1"/>
  <c r="V889" i="3"/>
  <c r="W889" i="3" s="1"/>
  <c r="A890" i="3"/>
  <c r="B890" i="3" s="1"/>
  <c r="AA890" i="3" l="1"/>
  <c r="P890" i="3"/>
  <c r="Q890" i="3" s="1"/>
  <c r="R890" i="3" s="1"/>
  <c r="S890" i="3" s="1"/>
  <c r="Z890" i="3"/>
  <c r="AC890" i="3"/>
  <c r="AD890" i="3"/>
  <c r="U889" i="3"/>
  <c r="Y888" i="3"/>
  <c r="T890" i="3" l="1"/>
  <c r="AG890" i="3" s="1"/>
  <c r="E890" i="3" l="1"/>
  <c r="H890" i="3" s="1"/>
  <c r="K890" i="3" s="1"/>
  <c r="AE890" i="3" s="1"/>
  <c r="AH890" i="3"/>
  <c r="D890" i="3"/>
  <c r="F890" i="3" l="1"/>
  <c r="G890" i="3"/>
  <c r="V890" i="3"/>
  <c r="A891" i="3"/>
  <c r="B891" i="3" s="1"/>
  <c r="AD891" i="3" l="1"/>
  <c r="P891" i="3"/>
  <c r="Q891" i="3" s="1"/>
  <c r="R891" i="3" s="1"/>
  <c r="S891" i="3" s="1"/>
  <c r="AC891" i="3"/>
  <c r="Z891" i="3"/>
  <c r="AA891" i="3"/>
  <c r="I890" i="3"/>
  <c r="W890" i="3" s="1"/>
  <c r="J890" i="3"/>
  <c r="M890" i="3"/>
  <c r="N890" i="3" s="1"/>
  <c r="L890" i="3" l="1"/>
  <c r="T891" i="3"/>
  <c r="U890" i="3" l="1"/>
  <c r="D891" i="3" s="1"/>
  <c r="AH891" i="3"/>
  <c r="AG891" i="3"/>
  <c r="Y889" i="3"/>
  <c r="E891" i="3" l="1"/>
  <c r="H891" i="3" s="1"/>
  <c r="K891" i="3" s="1"/>
  <c r="AE891" i="3" s="1"/>
  <c r="G891" i="3"/>
  <c r="F891" i="3" l="1"/>
  <c r="I891" i="3"/>
  <c r="J891" i="3"/>
  <c r="M891" i="3"/>
  <c r="N891" i="3" s="1"/>
  <c r="V891" i="3"/>
  <c r="A892" i="3"/>
  <c r="B892" i="3" s="1"/>
  <c r="W891" i="3" l="1"/>
  <c r="L891" i="3"/>
  <c r="P892" i="3"/>
  <c r="Q892" i="3" s="1"/>
  <c r="R892" i="3" s="1"/>
  <c r="S892" i="3" s="1"/>
  <c r="AC892" i="3"/>
  <c r="AD892" i="3"/>
  <c r="Z892" i="3"/>
  <c r="AA892" i="3"/>
  <c r="U891" i="3" l="1"/>
  <c r="Y890" i="3"/>
  <c r="T892" i="3"/>
  <c r="AG892" i="3" s="1"/>
  <c r="AH892" i="3" l="1"/>
  <c r="D892" i="3"/>
  <c r="G892" i="3" s="1"/>
  <c r="E892" i="3"/>
  <c r="H892" i="3" s="1"/>
  <c r="F892" i="3" l="1"/>
  <c r="I892" i="3"/>
  <c r="J892" i="3"/>
  <c r="M892" i="3"/>
  <c r="N892" i="3" s="1"/>
  <c r="K892" i="3"/>
  <c r="AE892" i="3" s="1"/>
  <c r="V892" i="3" l="1"/>
  <c r="W892" i="3" s="1"/>
  <c r="A893" i="3"/>
  <c r="B893" i="3" s="1"/>
  <c r="L892" i="3"/>
  <c r="U892" i="3" l="1"/>
  <c r="Y891" i="3"/>
  <c r="AC893" i="3"/>
  <c r="P893" i="3"/>
  <c r="Q893" i="3" s="1"/>
  <c r="R893" i="3" s="1"/>
  <c r="S893" i="3" s="1"/>
  <c r="AD893" i="3"/>
  <c r="AA893" i="3"/>
  <c r="Z893" i="3"/>
  <c r="T893" i="3" l="1"/>
  <c r="E893" i="3" s="1"/>
  <c r="H893" i="3" s="1"/>
  <c r="AH893" i="3" l="1"/>
  <c r="D893" i="3"/>
  <c r="F893" i="3" s="1"/>
  <c r="AG893" i="3"/>
  <c r="K893" i="3"/>
  <c r="AE893" i="3" s="1"/>
  <c r="G893" i="3" l="1"/>
  <c r="M893" i="3" s="1"/>
  <c r="N893" i="3" s="1"/>
  <c r="V893" i="3"/>
  <c r="A894" i="3"/>
  <c r="B894" i="3" s="1"/>
  <c r="I893" i="3" l="1"/>
  <c r="W893" i="3" s="1"/>
  <c r="J893" i="3"/>
  <c r="L893" i="3" s="1"/>
  <c r="Z894" i="3"/>
  <c r="P894" i="3"/>
  <c r="Q894" i="3" s="1"/>
  <c r="R894" i="3" s="1"/>
  <c r="S894" i="3" s="1"/>
  <c r="AC894" i="3"/>
  <c r="AA894" i="3"/>
  <c r="U893" i="3" l="1"/>
  <c r="Y892" i="3"/>
  <c r="T894" i="3"/>
  <c r="AH894" i="3" s="1"/>
  <c r="D894" i="3" l="1"/>
  <c r="G894" i="3" s="1"/>
  <c r="AG894" i="3"/>
  <c r="E894" i="3"/>
  <c r="H894" i="3" s="1"/>
  <c r="F894" i="3" l="1"/>
  <c r="I894" i="3"/>
  <c r="J894" i="3"/>
  <c r="AD894" i="3" s="1"/>
  <c r="M894" i="3"/>
  <c r="N894" i="3" s="1"/>
  <c r="K894" i="3"/>
  <c r="AE894" i="3" s="1"/>
  <c r="V894" i="3" l="1"/>
  <c r="W894" i="3" s="1"/>
  <c r="A895" i="3"/>
  <c r="B895" i="3" s="1"/>
  <c r="L894" i="3"/>
  <c r="U894" i="3" l="1"/>
  <c r="Y893" i="3"/>
  <c r="AD895" i="3"/>
  <c r="P895" i="3"/>
  <c r="Q895" i="3" s="1"/>
  <c r="R895" i="3" s="1"/>
  <c r="S895" i="3" s="1"/>
  <c r="AA895" i="3"/>
  <c r="AC895" i="3"/>
  <c r="Z895" i="3"/>
  <c r="T895" i="3" l="1"/>
  <c r="AH895" i="3" s="1"/>
  <c r="E895" i="3" l="1"/>
  <c r="H895" i="3" s="1"/>
  <c r="K895" i="3" s="1"/>
  <c r="AE895" i="3" s="1"/>
  <c r="D895" i="3"/>
  <c r="AG895" i="3"/>
  <c r="F895" i="3" l="1"/>
  <c r="G895" i="3"/>
  <c r="V895" i="3"/>
  <c r="A896" i="3"/>
  <c r="B896" i="3" s="1"/>
  <c r="I895" i="3" l="1"/>
  <c r="W895" i="3" s="1"/>
  <c r="J895" i="3"/>
  <c r="M895" i="3"/>
  <c r="N895" i="3" s="1"/>
  <c r="Z896" i="3"/>
  <c r="P896" i="3"/>
  <c r="Q896" i="3" s="1"/>
  <c r="R896" i="3" s="1"/>
  <c r="S896" i="3" s="1"/>
  <c r="AC896" i="3"/>
  <c r="AD896" i="3"/>
  <c r="AA896" i="3"/>
  <c r="T896" i="3" l="1"/>
  <c r="L895" i="3"/>
  <c r="AG896" i="3" l="1"/>
  <c r="AH896" i="3"/>
  <c r="U895" i="3"/>
  <c r="E896" i="3" s="1"/>
  <c r="H896" i="3" s="1"/>
  <c r="Y894" i="3"/>
  <c r="D896" i="3" l="1"/>
  <c r="G896" i="3" s="1"/>
  <c r="K896" i="3"/>
  <c r="AE896" i="3" s="1"/>
  <c r="F896" i="3" l="1"/>
  <c r="V896" i="3"/>
  <c r="A897" i="3"/>
  <c r="B897" i="3" s="1"/>
  <c r="I896" i="3"/>
  <c r="J896" i="3"/>
  <c r="M896" i="3"/>
  <c r="N896" i="3" s="1"/>
  <c r="W896" i="3" l="1"/>
  <c r="L896" i="3"/>
  <c r="Z897" i="3"/>
  <c r="AC897" i="3"/>
  <c r="AA897" i="3"/>
  <c r="P897" i="3"/>
  <c r="Q897" i="3" s="1"/>
  <c r="R897" i="3" s="1"/>
  <c r="S897" i="3" s="1"/>
  <c r="AD897" i="3"/>
  <c r="U896" i="3" l="1"/>
  <c r="Y895" i="3"/>
  <c r="T897" i="3"/>
  <c r="D897" i="3" l="1"/>
  <c r="E897" i="3"/>
  <c r="H897" i="3" s="1"/>
  <c r="AH897" i="3"/>
  <c r="AG897" i="3"/>
  <c r="F897" i="3" l="1"/>
  <c r="G897" i="3"/>
  <c r="M897" i="3" s="1"/>
  <c r="N897" i="3" s="1"/>
  <c r="K897" i="3"/>
  <c r="AE897" i="3" s="1"/>
  <c r="I897" i="3" l="1"/>
  <c r="J897" i="3"/>
  <c r="L897" i="3" s="1"/>
  <c r="V897" i="3"/>
  <c r="A898" i="3"/>
  <c r="B898" i="3" s="1"/>
  <c r="W897" i="3" l="1"/>
  <c r="AA898" i="3"/>
  <c r="P898" i="3"/>
  <c r="Q898" i="3" s="1"/>
  <c r="R898" i="3" s="1"/>
  <c r="S898" i="3" s="1"/>
  <c r="Z898" i="3"/>
  <c r="AC898" i="3"/>
  <c r="U897" i="3"/>
  <c r="Y896" i="3"/>
  <c r="T898" i="3" l="1"/>
  <c r="D898" i="3" s="1"/>
  <c r="G898" i="3" l="1"/>
  <c r="AG898" i="3"/>
  <c r="E898" i="3"/>
  <c r="H898" i="3" s="1"/>
  <c r="AH898" i="3"/>
  <c r="F898" i="3" l="1"/>
  <c r="I898" i="3"/>
  <c r="J898" i="3"/>
  <c r="AD898" i="3" s="1"/>
  <c r="M898" i="3"/>
  <c r="N898" i="3" s="1"/>
  <c r="K898" i="3"/>
  <c r="AE898" i="3" s="1"/>
  <c r="V898" i="3" l="1"/>
  <c r="W898" i="3" s="1"/>
  <c r="A899" i="3"/>
  <c r="B899" i="3" s="1"/>
  <c r="L898" i="3"/>
  <c r="U898" i="3" l="1"/>
  <c r="Y897" i="3"/>
  <c r="AC899" i="3"/>
  <c r="Z899" i="3"/>
  <c r="P899" i="3"/>
  <c r="Q899" i="3" s="1"/>
  <c r="R899" i="3" s="1"/>
  <c r="S899" i="3" s="1"/>
  <c r="AD899" i="3"/>
  <c r="AA899" i="3"/>
  <c r="T899" i="3" l="1"/>
  <c r="E899" i="3" s="1"/>
  <c r="H899" i="3" s="1"/>
  <c r="D899" i="3" l="1"/>
  <c r="G899" i="3" s="1"/>
  <c r="AG899" i="3"/>
  <c r="AH899" i="3"/>
  <c r="K899" i="3"/>
  <c r="AE899" i="3" s="1"/>
  <c r="F899" i="3" l="1"/>
  <c r="I899" i="3"/>
  <c r="J899" i="3"/>
  <c r="M899" i="3"/>
  <c r="N899" i="3" s="1"/>
  <c r="V899" i="3"/>
  <c r="A900" i="3"/>
  <c r="B900" i="3" s="1"/>
  <c r="W899" i="3" l="1"/>
  <c r="L899" i="3"/>
  <c r="P900" i="3"/>
  <c r="Q900" i="3" s="1"/>
  <c r="R900" i="3" s="1"/>
  <c r="S900" i="3" s="1"/>
  <c r="AC900" i="3"/>
  <c r="Z900" i="3"/>
  <c r="AD900" i="3"/>
  <c r="AA900" i="3"/>
  <c r="U899" i="3" l="1"/>
  <c r="Y898" i="3"/>
  <c r="T900" i="3"/>
  <c r="D900" i="3" l="1"/>
  <c r="G900" i="3" s="1"/>
  <c r="AH900" i="3"/>
  <c r="AG900" i="3"/>
  <c r="E900" i="3"/>
  <c r="H900" i="3" s="1"/>
  <c r="K900" i="3" s="1"/>
  <c r="AE900" i="3" s="1"/>
  <c r="F900" i="3" l="1"/>
  <c r="V900" i="3"/>
  <c r="A901" i="3"/>
  <c r="B901" i="3" s="1"/>
  <c r="I900" i="3"/>
  <c r="J900" i="3"/>
  <c r="M900" i="3"/>
  <c r="N900" i="3" s="1"/>
  <c r="L900" i="3" l="1"/>
  <c r="W900" i="3"/>
  <c r="AD901" i="3"/>
  <c r="P901" i="3"/>
  <c r="Q901" i="3" s="1"/>
  <c r="R901" i="3" s="1"/>
  <c r="S901" i="3" s="1"/>
  <c r="AA901" i="3"/>
  <c r="AC901" i="3"/>
  <c r="Z901" i="3"/>
  <c r="U900" i="3" l="1"/>
  <c r="Y899" i="3"/>
  <c r="T901" i="3"/>
  <c r="E901" i="3" l="1"/>
  <c r="H901" i="3" s="1"/>
  <c r="K901" i="3" s="1"/>
  <c r="AE901" i="3" s="1"/>
  <c r="AG901" i="3"/>
  <c r="D901" i="3"/>
  <c r="AH901" i="3"/>
  <c r="F901" i="3" l="1"/>
  <c r="G901" i="3"/>
  <c r="V901" i="3"/>
  <c r="A902" i="3"/>
  <c r="B902" i="3" s="1"/>
  <c r="AD902" i="3" l="1"/>
  <c r="AC902" i="3"/>
  <c r="P902" i="3"/>
  <c r="Q902" i="3" s="1"/>
  <c r="R902" i="3" s="1"/>
  <c r="S902" i="3" s="1"/>
  <c r="Z902" i="3"/>
  <c r="AA902" i="3"/>
  <c r="I901" i="3"/>
  <c r="W901" i="3" s="1"/>
  <c r="J901" i="3"/>
  <c r="M901" i="3"/>
  <c r="N901" i="3" s="1"/>
  <c r="T902" i="3" l="1"/>
  <c r="L901" i="3"/>
  <c r="U901" i="3" l="1"/>
  <c r="E902" i="3" s="1"/>
  <c r="H902" i="3" s="1"/>
  <c r="AH902" i="3"/>
  <c r="AG902" i="3"/>
  <c r="Y900" i="3"/>
  <c r="D902" i="3" l="1"/>
  <c r="F902" i="3" s="1"/>
  <c r="K902" i="3"/>
  <c r="AE902" i="3" s="1"/>
  <c r="G902" i="3" l="1"/>
  <c r="J902" i="3" s="1"/>
  <c r="V902" i="3"/>
  <c r="A903" i="3"/>
  <c r="B903" i="3" s="1"/>
  <c r="M902" i="3" l="1"/>
  <c r="N902" i="3" s="1"/>
  <c r="I902" i="3"/>
  <c r="W902" i="3" s="1"/>
  <c r="L902" i="3"/>
  <c r="Z903" i="3"/>
  <c r="AC903" i="3"/>
  <c r="P903" i="3"/>
  <c r="Q903" i="3" s="1"/>
  <c r="R903" i="3" s="1"/>
  <c r="S903" i="3" s="1"/>
  <c r="AD903" i="3"/>
  <c r="AA903" i="3"/>
  <c r="T903" i="3" l="1"/>
  <c r="AH903" i="3" s="1"/>
  <c r="U902" i="3"/>
  <c r="Y901" i="3"/>
  <c r="D903" i="3" l="1"/>
  <c r="E903" i="3"/>
  <c r="H903" i="3" s="1"/>
  <c r="AG903" i="3"/>
  <c r="K903" i="3" l="1"/>
  <c r="AE903" i="3" s="1"/>
  <c r="F903" i="3"/>
  <c r="G903" i="3"/>
  <c r="I903" i="3" l="1"/>
  <c r="J903" i="3"/>
  <c r="M903" i="3"/>
  <c r="N903" i="3" s="1"/>
  <c r="V903" i="3"/>
  <c r="A904" i="3"/>
  <c r="B904" i="3" s="1"/>
  <c r="W903" i="3" l="1"/>
  <c r="L903" i="3"/>
  <c r="AC904" i="3"/>
  <c r="Z904" i="3"/>
  <c r="P904" i="3"/>
  <c r="Q904" i="3" s="1"/>
  <c r="R904" i="3" s="1"/>
  <c r="S904" i="3" s="1"/>
  <c r="AA904" i="3"/>
  <c r="U903" i="3" l="1"/>
  <c r="Y902" i="3"/>
  <c r="T904" i="3"/>
  <c r="AH904" i="3" s="1"/>
  <c r="E904" i="3" l="1"/>
  <c r="H904" i="3" s="1"/>
  <c r="AG904" i="3"/>
  <c r="D904" i="3"/>
  <c r="K904" i="3" l="1"/>
  <c r="AE904" i="3" s="1"/>
  <c r="F904" i="3"/>
  <c r="G904" i="3"/>
  <c r="V904" i="3" l="1"/>
  <c r="A905" i="3"/>
  <c r="B905" i="3" s="1"/>
  <c r="I904" i="3"/>
  <c r="J904" i="3"/>
  <c r="AD904" i="3" s="1"/>
  <c r="M904" i="3"/>
  <c r="N904" i="3" s="1"/>
  <c r="L904" i="3" l="1"/>
  <c r="W904" i="3"/>
  <c r="AA905" i="3"/>
  <c r="Z905" i="3"/>
  <c r="AD905" i="3"/>
  <c r="AC905" i="3"/>
  <c r="P905" i="3"/>
  <c r="Q905" i="3" s="1"/>
  <c r="R905" i="3" s="1"/>
  <c r="S905" i="3" s="1"/>
  <c r="U904" i="3" l="1"/>
  <c r="Y903" i="3"/>
  <c r="T905" i="3"/>
  <c r="D905" i="3" l="1"/>
  <c r="G905" i="3" s="1"/>
  <c r="E905" i="3"/>
  <c r="H905" i="3" s="1"/>
  <c r="K905" i="3" s="1"/>
  <c r="AE905" i="3" s="1"/>
  <c r="AG905" i="3"/>
  <c r="AH905" i="3"/>
  <c r="F905" i="3" l="1"/>
  <c r="I905" i="3"/>
  <c r="J905" i="3"/>
  <c r="M905" i="3"/>
  <c r="N905" i="3" s="1"/>
  <c r="V905" i="3"/>
  <c r="A906" i="3"/>
  <c r="B906" i="3" s="1"/>
  <c r="L905" i="3" l="1"/>
  <c r="W905" i="3"/>
  <c r="AC906" i="3"/>
  <c r="P906" i="3"/>
  <c r="Q906" i="3" s="1"/>
  <c r="R906" i="3" s="1"/>
  <c r="S906" i="3" s="1"/>
  <c r="Z906" i="3"/>
  <c r="AD906" i="3"/>
  <c r="AA906" i="3"/>
  <c r="T906" i="3" l="1"/>
  <c r="U905" i="3"/>
  <c r="Y904" i="3"/>
  <c r="D906" i="3" l="1"/>
  <c r="G906" i="3" s="1"/>
  <c r="AG906" i="3"/>
  <c r="E906" i="3"/>
  <c r="H906" i="3" s="1"/>
  <c r="AH906" i="3"/>
  <c r="F906" i="3" l="1"/>
  <c r="I906" i="3"/>
  <c r="J906" i="3"/>
  <c r="M906" i="3"/>
  <c r="N906" i="3" s="1"/>
  <c r="K906" i="3"/>
  <c r="AE906" i="3" s="1"/>
  <c r="V906" i="3" l="1"/>
  <c r="W906" i="3" s="1"/>
  <c r="A907" i="3"/>
  <c r="B907" i="3" s="1"/>
  <c r="L906" i="3"/>
  <c r="U906" i="3" l="1"/>
  <c r="Y905" i="3"/>
  <c r="Z907" i="3"/>
  <c r="AC907" i="3"/>
  <c r="AA907" i="3"/>
  <c r="P907" i="3"/>
  <c r="Q907" i="3" s="1"/>
  <c r="R907" i="3" s="1"/>
  <c r="S907" i="3" s="1"/>
  <c r="AD907" i="3"/>
  <c r="T907" i="3" l="1"/>
  <c r="AG907" i="3" s="1"/>
  <c r="E907" i="3" l="1"/>
  <c r="H907" i="3" s="1"/>
  <c r="K907" i="3" s="1"/>
  <c r="AE907" i="3" s="1"/>
  <c r="D907" i="3"/>
  <c r="AH907" i="3"/>
  <c r="V907" i="3" l="1"/>
  <c r="A908" i="3"/>
  <c r="B908" i="3" s="1"/>
  <c r="F907" i="3"/>
  <c r="G907" i="3"/>
  <c r="I907" i="3" l="1"/>
  <c r="W907" i="3" s="1"/>
  <c r="J907" i="3"/>
  <c r="M907" i="3"/>
  <c r="N907" i="3" s="1"/>
  <c r="P908" i="3"/>
  <c r="Q908" i="3" s="1"/>
  <c r="R908" i="3" s="1"/>
  <c r="S908" i="3" s="1"/>
  <c r="AA908" i="3"/>
  <c r="Z908" i="3"/>
  <c r="AC908" i="3"/>
  <c r="T908" i="3" l="1"/>
  <c r="L907" i="3"/>
  <c r="AG908" i="3" l="1"/>
  <c r="AH908" i="3"/>
  <c r="U907" i="3"/>
  <c r="E908" i="3" s="1"/>
  <c r="H908" i="3" s="1"/>
  <c r="Y906" i="3"/>
  <c r="D908" i="3" l="1"/>
  <c r="G908" i="3" s="1"/>
  <c r="K908" i="3"/>
  <c r="AE908" i="3" s="1"/>
  <c r="F908" i="3" l="1"/>
  <c r="I908" i="3"/>
  <c r="J908" i="3"/>
  <c r="AD908" i="3" s="1"/>
  <c r="M908" i="3"/>
  <c r="N908" i="3" s="1"/>
  <c r="V908" i="3"/>
  <c r="A909" i="3"/>
  <c r="B909" i="3" s="1"/>
  <c r="W908" i="3" l="1"/>
  <c r="L908" i="3"/>
  <c r="AA909" i="3"/>
  <c r="Z909" i="3"/>
  <c r="P909" i="3"/>
  <c r="Q909" i="3" s="1"/>
  <c r="R909" i="3" s="1"/>
  <c r="S909" i="3" s="1"/>
  <c r="AD909" i="3"/>
  <c r="AC909" i="3"/>
  <c r="U908" i="3" l="1"/>
  <c r="Y907" i="3"/>
  <c r="T909" i="3"/>
  <c r="AH909" i="3" s="1"/>
  <c r="AG909" i="3" l="1"/>
  <c r="D909" i="3"/>
  <c r="G909" i="3" s="1"/>
  <c r="E909" i="3"/>
  <c r="H909" i="3" s="1"/>
  <c r="K909" i="3" s="1"/>
  <c r="AE909" i="3" s="1"/>
  <c r="F909" i="3" l="1"/>
  <c r="V909" i="3"/>
  <c r="A910" i="3"/>
  <c r="B910" i="3" s="1"/>
  <c r="I909" i="3"/>
  <c r="J909" i="3"/>
  <c r="M909" i="3"/>
  <c r="N909" i="3" s="1"/>
  <c r="W909" i="3" l="1"/>
  <c r="L909" i="3"/>
  <c r="AA910" i="3"/>
  <c r="AC910" i="3"/>
  <c r="P910" i="3"/>
  <c r="Q910" i="3" s="1"/>
  <c r="R910" i="3" s="1"/>
  <c r="S910" i="3" s="1"/>
  <c r="AD910" i="3"/>
  <c r="Z910" i="3"/>
  <c r="U909" i="3" l="1"/>
  <c r="Y908" i="3"/>
  <c r="T910" i="3"/>
  <c r="AH910" i="3" s="1"/>
  <c r="D910" i="3" l="1"/>
  <c r="G910" i="3" s="1"/>
  <c r="AG910" i="3"/>
  <c r="E910" i="3"/>
  <c r="H910" i="3" s="1"/>
  <c r="F910" i="3" l="1"/>
  <c r="I910" i="3"/>
  <c r="J910" i="3"/>
  <c r="M910" i="3"/>
  <c r="N910" i="3" s="1"/>
  <c r="K910" i="3"/>
  <c r="AE910" i="3" s="1"/>
  <c r="V910" i="3" l="1"/>
  <c r="W910" i="3" s="1"/>
  <c r="A911" i="3"/>
  <c r="B911" i="3" s="1"/>
  <c r="L910" i="3"/>
  <c r="U910" i="3" l="1"/>
  <c r="Y909" i="3"/>
  <c r="AD911" i="3"/>
  <c r="AA911" i="3"/>
  <c r="P911" i="3"/>
  <c r="Q911" i="3" s="1"/>
  <c r="R911" i="3" s="1"/>
  <c r="S911" i="3" s="1"/>
  <c r="Z911" i="3"/>
  <c r="AC911" i="3"/>
  <c r="T911" i="3" l="1"/>
  <c r="E911" i="3" s="1"/>
  <c r="H911" i="3" s="1"/>
  <c r="AH911" i="3" l="1"/>
  <c r="D911" i="3"/>
  <c r="G911" i="3" s="1"/>
  <c r="AG911" i="3"/>
  <c r="K911" i="3"/>
  <c r="AE911" i="3" s="1"/>
  <c r="F911" i="3" l="1"/>
  <c r="I911" i="3"/>
  <c r="J911" i="3"/>
  <c r="M911" i="3"/>
  <c r="N911" i="3" s="1"/>
  <c r="V911" i="3"/>
  <c r="A912" i="3"/>
  <c r="B912" i="3" s="1"/>
  <c r="W911" i="3" l="1"/>
  <c r="L911" i="3"/>
  <c r="AA912" i="3"/>
  <c r="AD912" i="3"/>
  <c r="AC912" i="3"/>
  <c r="P912" i="3"/>
  <c r="Q912" i="3" s="1"/>
  <c r="R912" i="3" s="1"/>
  <c r="S912" i="3" s="1"/>
  <c r="Z912" i="3"/>
  <c r="T912" i="3" l="1"/>
  <c r="U911" i="3"/>
  <c r="Y910" i="3"/>
  <c r="D912" i="3" l="1"/>
  <c r="G912" i="3" s="1"/>
  <c r="AG912" i="3"/>
  <c r="AH912" i="3"/>
  <c r="E912" i="3"/>
  <c r="H912" i="3" s="1"/>
  <c r="I912" i="3" l="1"/>
  <c r="J912" i="3"/>
  <c r="M912" i="3"/>
  <c r="N912" i="3" s="1"/>
  <c r="F912" i="3"/>
  <c r="K912" i="3"/>
  <c r="AE912" i="3" s="1"/>
  <c r="L912" i="3" l="1"/>
  <c r="V912" i="3"/>
  <c r="W912" i="3" s="1"/>
  <c r="A913" i="3"/>
  <c r="B913" i="3" s="1"/>
  <c r="U912" i="3" l="1"/>
  <c r="Y911" i="3"/>
  <c r="Z913" i="3"/>
  <c r="AD913" i="3"/>
  <c r="P913" i="3"/>
  <c r="Q913" i="3" s="1"/>
  <c r="R913" i="3" s="1"/>
  <c r="S913" i="3" s="1"/>
  <c r="AA913" i="3"/>
  <c r="AC913" i="3"/>
  <c r="T913" i="3" l="1"/>
  <c r="AH913" i="3" s="1"/>
  <c r="D913" i="3" l="1"/>
  <c r="G913" i="3" s="1"/>
  <c r="AG913" i="3"/>
  <c r="E913" i="3"/>
  <c r="H913" i="3" s="1"/>
  <c r="F913" i="3" l="1"/>
  <c r="I913" i="3"/>
  <c r="J913" i="3"/>
  <c r="M913" i="3"/>
  <c r="N913" i="3" s="1"/>
  <c r="K913" i="3"/>
  <c r="AE913" i="3" s="1"/>
  <c r="V913" i="3" l="1"/>
  <c r="W913" i="3" s="1"/>
  <c r="A914" i="3"/>
  <c r="B914" i="3" s="1"/>
  <c r="L913" i="3"/>
  <c r="U913" i="3" l="1"/>
  <c r="Y912" i="3"/>
  <c r="AA914" i="3"/>
  <c r="Z914" i="3"/>
  <c r="AC914" i="3"/>
  <c r="P914" i="3"/>
  <c r="Q914" i="3" s="1"/>
  <c r="R914" i="3" s="1"/>
  <c r="S914" i="3" s="1"/>
  <c r="T914" i="3" l="1"/>
  <c r="D914" i="3" s="1"/>
  <c r="E914" i="3" l="1"/>
  <c r="H914" i="3" s="1"/>
  <c r="K914" i="3" s="1"/>
  <c r="AE914" i="3" s="1"/>
  <c r="G914" i="3"/>
  <c r="AH914" i="3"/>
  <c r="AG914" i="3"/>
  <c r="F914" i="3" l="1"/>
  <c r="I914" i="3"/>
  <c r="J914" i="3"/>
  <c r="AD914" i="3" s="1"/>
  <c r="M914" i="3"/>
  <c r="N914" i="3" s="1"/>
  <c r="V914" i="3"/>
  <c r="A915" i="3"/>
  <c r="B915" i="3" s="1"/>
  <c r="W914" i="3" l="1"/>
  <c r="L914" i="3"/>
  <c r="P915" i="3"/>
  <c r="Q915" i="3" s="1"/>
  <c r="R915" i="3" s="1"/>
  <c r="S915" i="3" s="1"/>
  <c r="AA915" i="3"/>
  <c r="AC915" i="3"/>
  <c r="Z915" i="3"/>
  <c r="AD915" i="3"/>
  <c r="U914" i="3" l="1"/>
  <c r="Y913" i="3"/>
  <c r="T915" i="3"/>
  <c r="AH915" i="3" s="1"/>
  <c r="E915" i="3" l="1"/>
  <c r="H915" i="3" s="1"/>
  <c r="D915" i="3"/>
  <c r="AG915" i="3"/>
  <c r="K915" i="3" l="1"/>
  <c r="AE915" i="3" s="1"/>
  <c r="F915" i="3"/>
  <c r="G915" i="3"/>
  <c r="I915" i="3" l="1"/>
  <c r="J915" i="3"/>
  <c r="M915" i="3"/>
  <c r="N915" i="3" s="1"/>
  <c r="V915" i="3"/>
  <c r="A916" i="3"/>
  <c r="B916" i="3" s="1"/>
  <c r="W915" i="3" l="1"/>
  <c r="L915" i="3"/>
  <c r="AC916" i="3"/>
  <c r="AA916" i="3"/>
  <c r="Z916" i="3"/>
  <c r="P916" i="3"/>
  <c r="Q916" i="3" s="1"/>
  <c r="R916" i="3" s="1"/>
  <c r="S916" i="3" s="1"/>
  <c r="AD916" i="3"/>
  <c r="U915" i="3" l="1"/>
  <c r="Y914" i="3"/>
  <c r="T916" i="3"/>
  <c r="D916" i="3" l="1"/>
  <c r="G916" i="3" s="1"/>
  <c r="AG916" i="3"/>
  <c r="AH916" i="3"/>
  <c r="E916" i="3"/>
  <c r="H916" i="3" s="1"/>
  <c r="K916" i="3" l="1"/>
  <c r="AE916" i="3" s="1"/>
  <c r="I916" i="3"/>
  <c r="J916" i="3"/>
  <c r="M916" i="3"/>
  <c r="N916" i="3" s="1"/>
  <c r="F916" i="3"/>
  <c r="L916" i="3" l="1"/>
  <c r="V916" i="3"/>
  <c r="W916" i="3" s="1"/>
  <c r="A917" i="3"/>
  <c r="B917" i="3" s="1"/>
  <c r="U916" i="3" l="1"/>
  <c r="Y915" i="3"/>
  <c r="AD917" i="3"/>
  <c r="AC917" i="3"/>
  <c r="Z917" i="3"/>
  <c r="P917" i="3"/>
  <c r="Q917" i="3" s="1"/>
  <c r="R917" i="3" s="1"/>
  <c r="S917" i="3" s="1"/>
  <c r="AA917" i="3"/>
  <c r="T917" i="3" l="1"/>
  <c r="AG917" i="3" s="1"/>
  <c r="E917" i="3" l="1"/>
  <c r="H917" i="3" s="1"/>
  <c r="K917" i="3" s="1"/>
  <c r="AE917" i="3" s="1"/>
  <c r="AH917" i="3"/>
  <c r="D917" i="3"/>
  <c r="F917" i="3" l="1"/>
  <c r="G917" i="3"/>
  <c r="J917" i="3" s="1"/>
  <c r="V917" i="3"/>
  <c r="A918" i="3"/>
  <c r="B918" i="3" s="1"/>
  <c r="M917" i="3" l="1"/>
  <c r="N917" i="3" s="1"/>
  <c r="I917" i="3"/>
  <c r="W917" i="3" s="1"/>
  <c r="L917" i="3"/>
  <c r="AC918" i="3"/>
  <c r="AA918" i="3"/>
  <c r="Z918" i="3"/>
  <c r="P918" i="3"/>
  <c r="Q918" i="3" s="1"/>
  <c r="R918" i="3" s="1"/>
  <c r="S918" i="3" s="1"/>
  <c r="T918" i="3" l="1"/>
  <c r="U917" i="3"/>
  <c r="Y916" i="3"/>
  <c r="E918" i="3" l="1"/>
  <c r="H918" i="3" s="1"/>
  <c r="K918" i="3" s="1"/>
  <c r="AE918" i="3" s="1"/>
  <c r="AH918" i="3"/>
  <c r="D918" i="3"/>
  <c r="G918" i="3" s="1"/>
  <c r="AG918" i="3"/>
  <c r="F918" i="3" l="1"/>
  <c r="I918" i="3"/>
  <c r="J918" i="3"/>
  <c r="AD918" i="3" s="1"/>
  <c r="M918" i="3"/>
  <c r="N918" i="3" s="1"/>
  <c r="V918" i="3"/>
  <c r="A919" i="3"/>
  <c r="B919" i="3" s="1"/>
  <c r="L918" i="3" l="1"/>
  <c r="W918" i="3"/>
  <c r="P919" i="3"/>
  <c r="Q919" i="3" s="1"/>
  <c r="R919" i="3" s="1"/>
  <c r="S919" i="3" s="1"/>
  <c r="Z919" i="3"/>
  <c r="AC919" i="3"/>
  <c r="AD919" i="3"/>
  <c r="AA919" i="3"/>
  <c r="U918" i="3" l="1"/>
  <c r="Y917" i="3"/>
  <c r="T919" i="3"/>
  <c r="AG919" i="3" s="1"/>
  <c r="E919" i="3" l="1"/>
  <c r="H919" i="3" s="1"/>
  <c r="K919" i="3" s="1"/>
  <c r="AE919" i="3" s="1"/>
  <c r="AH919" i="3"/>
  <c r="D919" i="3"/>
  <c r="V919" i="3" l="1"/>
  <c r="A920" i="3"/>
  <c r="B920" i="3" s="1"/>
  <c r="F919" i="3"/>
  <c r="G919" i="3"/>
  <c r="I919" i="3" l="1"/>
  <c r="W919" i="3" s="1"/>
  <c r="J919" i="3"/>
  <c r="M919" i="3"/>
  <c r="N919" i="3" s="1"/>
  <c r="AD920" i="3"/>
  <c r="AC920" i="3"/>
  <c r="P920" i="3"/>
  <c r="Q920" i="3" s="1"/>
  <c r="R920" i="3" s="1"/>
  <c r="S920" i="3" s="1"/>
  <c r="AA920" i="3"/>
  <c r="Z920" i="3"/>
  <c r="T920" i="3" l="1"/>
  <c r="L919" i="3"/>
  <c r="AH920" i="3" l="1"/>
  <c r="U919" i="3"/>
  <c r="E920" i="3" s="1"/>
  <c r="H920" i="3" s="1"/>
  <c r="AG920" i="3"/>
  <c r="Y918" i="3"/>
  <c r="D920" i="3" l="1"/>
  <c r="G920" i="3" s="1"/>
  <c r="K920" i="3"/>
  <c r="AE920" i="3" s="1"/>
  <c r="F920" i="3" l="1"/>
  <c r="V920" i="3"/>
  <c r="A921" i="3"/>
  <c r="B921" i="3" s="1"/>
  <c r="I920" i="3"/>
  <c r="J920" i="3"/>
  <c r="M920" i="3"/>
  <c r="N920" i="3" s="1"/>
  <c r="W920" i="3" l="1"/>
  <c r="L920" i="3"/>
  <c r="AA921" i="3"/>
  <c r="Z921" i="3"/>
  <c r="P921" i="3"/>
  <c r="Q921" i="3" s="1"/>
  <c r="R921" i="3" s="1"/>
  <c r="S921" i="3" s="1"/>
  <c r="AD921" i="3"/>
  <c r="AC921" i="3"/>
  <c r="U920" i="3" l="1"/>
  <c r="Y919" i="3"/>
  <c r="T921" i="3"/>
  <c r="AG921" i="3" s="1"/>
  <c r="E921" i="3" l="1"/>
  <c r="H921" i="3" s="1"/>
  <c r="K921" i="3" s="1"/>
  <c r="AE921" i="3" s="1"/>
  <c r="AH921" i="3"/>
  <c r="D921" i="3"/>
  <c r="G921" i="3" s="1"/>
  <c r="F921" i="3" l="1"/>
  <c r="I921" i="3"/>
  <c r="J921" i="3"/>
  <c r="M921" i="3"/>
  <c r="N921" i="3" s="1"/>
  <c r="V921" i="3"/>
  <c r="A922" i="3"/>
  <c r="B922" i="3" s="1"/>
  <c r="W921" i="3" l="1"/>
  <c r="L921" i="3"/>
  <c r="AC922" i="3"/>
  <c r="AA922" i="3"/>
  <c r="Z922" i="3"/>
  <c r="P922" i="3"/>
  <c r="Q922" i="3" s="1"/>
  <c r="R922" i="3" s="1"/>
  <c r="S922" i="3" s="1"/>
  <c r="AD922" i="3"/>
  <c r="U921" i="3" l="1"/>
  <c r="Y920" i="3"/>
  <c r="T922" i="3"/>
  <c r="E922" i="3" l="1"/>
  <c r="H922" i="3" s="1"/>
  <c r="K922" i="3" s="1"/>
  <c r="AE922" i="3" s="1"/>
  <c r="AH922" i="3"/>
  <c r="D922" i="3"/>
  <c r="AG922" i="3"/>
  <c r="F922" i="3" l="1"/>
  <c r="G922" i="3"/>
  <c r="V922" i="3"/>
  <c r="A923" i="3"/>
  <c r="B923" i="3" s="1"/>
  <c r="AD923" i="3" l="1"/>
  <c r="AC923" i="3"/>
  <c r="Z923" i="3"/>
  <c r="AA923" i="3"/>
  <c r="P923" i="3"/>
  <c r="Q923" i="3" s="1"/>
  <c r="R923" i="3" s="1"/>
  <c r="S923" i="3" s="1"/>
  <c r="I922" i="3"/>
  <c r="W922" i="3" s="1"/>
  <c r="J922" i="3"/>
  <c r="M922" i="3"/>
  <c r="N922" i="3" s="1"/>
  <c r="L922" i="3" l="1"/>
  <c r="T923" i="3"/>
  <c r="AH923" i="3" l="1"/>
  <c r="AG923" i="3"/>
  <c r="U922" i="3"/>
  <c r="D923" i="3" s="1"/>
  <c r="Y921" i="3"/>
  <c r="E923" i="3" l="1"/>
  <c r="H923" i="3" s="1"/>
  <c r="K923" i="3" s="1"/>
  <c r="AE923" i="3" s="1"/>
  <c r="G923" i="3"/>
  <c r="F923" i="3" l="1"/>
  <c r="V923" i="3"/>
  <c r="A924" i="3"/>
  <c r="B924" i="3" s="1"/>
  <c r="I923" i="3"/>
  <c r="J923" i="3"/>
  <c r="M923" i="3"/>
  <c r="N923" i="3" s="1"/>
  <c r="W923" i="3" l="1"/>
  <c r="L923" i="3"/>
  <c r="Z924" i="3"/>
  <c r="AC924" i="3"/>
  <c r="P924" i="3"/>
  <c r="Q924" i="3" s="1"/>
  <c r="R924" i="3" s="1"/>
  <c r="S924" i="3" s="1"/>
  <c r="AA924" i="3"/>
  <c r="U923" i="3" l="1"/>
  <c r="Y922" i="3"/>
  <c r="T924" i="3"/>
  <c r="AH924" i="3" s="1"/>
  <c r="D924" i="3" l="1"/>
  <c r="G924" i="3" s="1"/>
  <c r="AG924" i="3"/>
  <c r="E924" i="3"/>
  <c r="H924" i="3" s="1"/>
  <c r="K924" i="3" s="1"/>
  <c r="AE924" i="3" s="1"/>
  <c r="F924" i="3" l="1"/>
  <c r="I924" i="3"/>
  <c r="J924" i="3"/>
  <c r="AD924" i="3" s="1"/>
  <c r="M924" i="3"/>
  <c r="N924" i="3" s="1"/>
  <c r="V924" i="3"/>
  <c r="A925" i="3"/>
  <c r="B925" i="3" s="1"/>
  <c r="W924" i="3" l="1"/>
  <c r="L924" i="3"/>
  <c r="Z925" i="3"/>
  <c r="AA925" i="3"/>
  <c r="AD925" i="3"/>
  <c r="AC925" i="3"/>
  <c r="P925" i="3"/>
  <c r="Q925" i="3" s="1"/>
  <c r="R925" i="3" s="1"/>
  <c r="S925" i="3" s="1"/>
  <c r="T925" i="3" l="1"/>
  <c r="AG925" i="3" s="1"/>
  <c r="U924" i="3"/>
  <c r="Y923" i="3"/>
  <c r="AH925" i="3" l="1"/>
  <c r="E925" i="3"/>
  <c r="H925" i="3" s="1"/>
  <c r="D925" i="3"/>
  <c r="K925" i="3" l="1"/>
  <c r="AE925" i="3" s="1"/>
  <c r="F925" i="3"/>
  <c r="G925" i="3"/>
  <c r="I925" i="3" l="1"/>
  <c r="J925" i="3"/>
  <c r="M925" i="3"/>
  <c r="N925" i="3" s="1"/>
  <c r="V925" i="3"/>
  <c r="A926" i="3"/>
  <c r="B926" i="3" s="1"/>
  <c r="W925" i="3" l="1"/>
  <c r="L925" i="3"/>
  <c r="AC926" i="3"/>
  <c r="AA926" i="3"/>
  <c r="AD926" i="3"/>
  <c r="P926" i="3"/>
  <c r="Q926" i="3" s="1"/>
  <c r="R926" i="3" s="1"/>
  <c r="S926" i="3" s="1"/>
  <c r="Z926" i="3"/>
  <c r="U925" i="3" l="1"/>
  <c r="Y924" i="3"/>
  <c r="T926" i="3"/>
  <c r="AG926" i="3" s="1"/>
  <c r="E926" i="3" l="1"/>
  <c r="H926" i="3" s="1"/>
  <c r="K926" i="3" s="1"/>
  <c r="AE926" i="3" s="1"/>
  <c r="AH926" i="3"/>
  <c r="D926" i="3"/>
  <c r="V926" i="3" l="1"/>
  <c r="A927" i="3"/>
  <c r="B927" i="3" s="1"/>
  <c r="F926" i="3"/>
  <c r="G926" i="3"/>
  <c r="I926" i="3" l="1"/>
  <c r="W926" i="3" s="1"/>
  <c r="J926" i="3"/>
  <c r="M926" i="3"/>
  <c r="N926" i="3" s="1"/>
  <c r="AD927" i="3"/>
  <c r="Z927" i="3"/>
  <c r="P927" i="3"/>
  <c r="Q927" i="3" s="1"/>
  <c r="R927" i="3" s="1"/>
  <c r="S927" i="3" s="1"/>
  <c r="AA927" i="3"/>
  <c r="AC927" i="3"/>
  <c r="T927" i="3" l="1"/>
  <c r="L926" i="3"/>
  <c r="U926" i="3" l="1"/>
  <c r="D927" i="3" s="1"/>
  <c r="AG927" i="3"/>
  <c r="AH927" i="3"/>
  <c r="Y925" i="3"/>
  <c r="G927" i="3" l="1"/>
  <c r="E927" i="3"/>
  <c r="H927" i="3" s="1"/>
  <c r="F927" i="3" l="1"/>
  <c r="K927" i="3"/>
  <c r="AE927" i="3" s="1"/>
  <c r="I927" i="3"/>
  <c r="J927" i="3"/>
  <c r="M927" i="3"/>
  <c r="N927" i="3" s="1"/>
  <c r="L927" i="3" l="1"/>
  <c r="V927" i="3"/>
  <c r="W927" i="3" s="1"/>
  <c r="A928" i="3"/>
  <c r="B928" i="3" s="1"/>
  <c r="U927" i="3" l="1"/>
  <c r="Y926" i="3"/>
  <c r="AC928" i="3"/>
  <c r="AA928" i="3"/>
  <c r="Z928" i="3"/>
  <c r="P928" i="3"/>
  <c r="Q928" i="3" s="1"/>
  <c r="R928" i="3" s="1"/>
  <c r="S928" i="3" s="1"/>
  <c r="T928" i="3" l="1"/>
  <c r="D928" i="3" s="1"/>
  <c r="AH928" i="3" l="1"/>
  <c r="E928" i="3"/>
  <c r="H928" i="3" s="1"/>
  <c r="K928" i="3" s="1"/>
  <c r="AE928" i="3" s="1"/>
  <c r="AG928" i="3"/>
  <c r="G928" i="3"/>
  <c r="F928" i="3" l="1"/>
  <c r="I928" i="3"/>
  <c r="J928" i="3"/>
  <c r="AD928" i="3" s="1"/>
  <c r="M928" i="3"/>
  <c r="N928" i="3" s="1"/>
  <c r="V928" i="3"/>
  <c r="A929" i="3"/>
  <c r="B929" i="3" s="1"/>
  <c r="L928" i="3" l="1"/>
  <c r="P929" i="3"/>
  <c r="Q929" i="3" s="1"/>
  <c r="R929" i="3" s="1"/>
  <c r="S929" i="3" s="1"/>
  <c r="AD929" i="3"/>
  <c r="AC929" i="3"/>
  <c r="Z929" i="3"/>
  <c r="AA929" i="3"/>
  <c r="W928" i="3"/>
  <c r="T929" i="3" l="1"/>
  <c r="AG929" i="3" s="1"/>
  <c r="U928" i="3"/>
  <c r="Y927" i="3"/>
  <c r="AH929" i="3" l="1"/>
  <c r="D929" i="3"/>
  <c r="E929" i="3"/>
  <c r="H929" i="3" s="1"/>
  <c r="F929" i="3" l="1"/>
  <c r="G929" i="3"/>
  <c r="K929" i="3"/>
  <c r="AE929" i="3" s="1"/>
  <c r="V929" i="3" l="1"/>
  <c r="A930" i="3"/>
  <c r="B930" i="3" s="1"/>
  <c r="I929" i="3"/>
  <c r="J929" i="3"/>
  <c r="M929" i="3"/>
  <c r="N929" i="3" s="1"/>
  <c r="L929" i="3" l="1"/>
  <c r="AD930" i="3"/>
  <c r="P930" i="3"/>
  <c r="Q930" i="3" s="1"/>
  <c r="R930" i="3" s="1"/>
  <c r="S930" i="3" s="1"/>
  <c r="AC930" i="3"/>
  <c r="Z930" i="3"/>
  <c r="AA930" i="3"/>
  <c r="W929" i="3"/>
  <c r="T930" i="3" l="1"/>
  <c r="U929" i="3"/>
  <c r="Y928" i="3"/>
  <c r="D930" i="3" l="1"/>
  <c r="G930" i="3" s="1"/>
  <c r="AH930" i="3"/>
  <c r="E930" i="3"/>
  <c r="H930" i="3" s="1"/>
  <c r="AG930" i="3"/>
  <c r="F930" i="3" l="1"/>
  <c r="I930" i="3"/>
  <c r="J930" i="3"/>
  <c r="M930" i="3"/>
  <c r="N930" i="3" s="1"/>
  <c r="K930" i="3"/>
  <c r="AE930" i="3" s="1"/>
  <c r="V930" i="3" l="1"/>
  <c r="W930" i="3" s="1"/>
  <c r="A931" i="3"/>
  <c r="B931" i="3" s="1"/>
  <c r="L930" i="3"/>
  <c r="U930" i="3" l="1"/>
  <c r="Y929" i="3"/>
  <c r="AC931" i="3"/>
  <c r="AA931" i="3"/>
  <c r="Z931" i="3"/>
  <c r="P931" i="3"/>
  <c r="Q931" i="3" s="1"/>
  <c r="R931" i="3" s="1"/>
  <c r="S931" i="3" s="1"/>
  <c r="AD931" i="3"/>
  <c r="T931" i="3" l="1"/>
  <c r="AH931" i="3" s="1"/>
  <c r="E931" i="3" l="1"/>
  <c r="H931" i="3" s="1"/>
  <c r="D931" i="3"/>
  <c r="AG931" i="3"/>
  <c r="K931" i="3" l="1"/>
  <c r="AE931" i="3" s="1"/>
  <c r="F931" i="3"/>
  <c r="G931" i="3"/>
  <c r="I931" i="3" l="1"/>
  <c r="J931" i="3"/>
  <c r="M931" i="3"/>
  <c r="N931" i="3" s="1"/>
  <c r="V931" i="3"/>
  <c r="A932" i="3"/>
  <c r="B932" i="3" s="1"/>
  <c r="W931" i="3" l="1"/>
  <c r="L931" i="3"/>
  <c r="AA932" i="3"/>
  <c r="AD932" i="3"/>
  <c r="Z932" i="3"/>
  <c r="AC932" i="3"/>
  <c r="P932" i="3"/>
  <c r="Q932" i="3" s="1"/>
  <c r="R932" i="3" s="1"/>
  <c r="S932" i="3" s="1"/>
  <c r="U931" i="3" l="1"/>
  <c r="Y930" i="3"/>
  <c r="T932" i="3"/>
  <c r="AH932" i="3" s="1"/>
  <c r="E932" i="3" l="1"/>
  <c r="H932" i="3" s="1"/>
  <c r="D932" i="3"/>
  <c r="AG932" i="3"/>
  <c r="K932" i="3" l="1"/>
  <c r="AE932" i="3" s="1"/>
  <c r="F932" i="3"/>
  <c r="G932" i="3"/>
  <c r="V932" i="3" l="1"/>
  <c r="A933" i="3"/>
  <c r="B933" i="3" s="1"/>
  <c r="I932" i="3"/>
  <c r="J932" i="3"/>
  <c r="M932" i="3"/>
  <c r="N932" i="3" s="1"/>
  <c r="L932" i="3" l="1"/>
  <c r="W932" i="3"/>
  <c r="AA933" i="3"/>
  <c r="P933" i="3"/>
  <c r="Q933" i="3" s="1"/>
  <c r="R933" i="3" s="1"/>
  <c r="S933" i="3" s="1"/>
  <c r="Z933" i="3"/>
  <c r="AD933" i="3"/>
  <c r="AC933" i="3"/>
  <c r="U932" i="3" l="1"/>
  <c r="Y931" i="3"/>
  <c r="T933" i="3"/>
  <c r="D933" i="3" l="1"/>
  <c r="G933" i="3" s="1"/>
  <c r="AH933" i="3"/>
  <c r="AG933" i="3"/>
  <c r="E933" i="3"/>
  <c r="H933" i="3" s="1"/>
  <c r="K933" i="3" l="1"/>
  <c r="AE933" i="3" s="1"/>
  <c r="I933" i="3"/>
  <c r="J933" i="3"/>
  <c r="M933" i="3"/>
  <c r="N933" i="3" s="1"/>
  <c r="F933" i="3"/>
  <c r="V933" i="3" l="1"/>
  <c r="W933" i="3" s="1"/>
  <c r="A934" i="3"/>
  <c r="B934" i="3" s="1"/>
  <c r="L933" i="3"/>
  <c r="U933" i="3" l="1"/>
  <c r="Y932" i="3"/>
  <c r="AC934" i="3"/>
  <c r="Z934" i="3"/>
  <c r="P934" i="3"/>
  <c r="Q934" i="3" s="1"/>
  <c r="R934" i="3" s="1"/>
  <c r="S934" i="3" s="1"/>
  <c r="AA934" i="3"/>
  <c r="T934" i="3" l="1"/>
  <c r="AH934" i="3" s="1"/>
  <c r="AG934" i="3" l="1"/>
  <c r="D934" i="3"/>
  <c r="E934" i="3"/>
  <c r="H934" i="3" s="1"/>
  <c r="K934" i="3" l="1"/>
  <c r="AE934" i="3" s="1"/>
  <c r="F934" i="3"/>
  <c r="G934" i="3"/>
  <c r="V934" i="3" l="1"/>
  <c r="A935" i="3"/>
  <c r="B935" i="3" s="1"/>
  <c r="I934" i="3"/>
  <c r="J934" i="3"/>
  <c r="AD934" i="3" s="1"/>
  <c r="M934" i="3"/>
  <c r="N934" i="3" s="1"/>
  <c r="W934" i="3" l="1"/>
  <c r="L934" i="3"/>
  <c r="AD935" i="3"/>
  <c r="P935" i="3"/>
  <c r="Q935" i="3" s="1"/>
  <c r="R935" i="3" s="1"/>
  <c r="S935" i="3" s="1"/>
  <c r="AA935" i="3"/>
  <c r="AC935" i="3"/>
  <c r="Z935" i="3"/>
  <c r="T935" i="3" l="1"/>
  <c r="U934" i="3"/>
  <c r="Y933" i="3"/>
  <c r="E935" i="3" l="1"/>
  <c r="H935" i="3" s="1"/>
  <c r="K935" i="3" s="1"/>
  <c r="AE935" i="3" s="1"/>
  <c r="AH935" i="3"/>
  <c r="AG935" i="3"/>
  <c r="D935" i="3"/>
  <c r="V935" i="3" l="1"/>
  <c r="A936" i="3"/>
  <c r="B936" i="3" s="1"/>
  <c r="F935" i="3"/>
  <c r="G935" i="3"/>
  <c r="I935" i="3" l="1"/>
  <c r="W935" i="3" s="1"/>
  <c r="J935" i="3"/>
  <c r="M935" i="3"/>
  <c r="N935" i="3" s="1"/>
  <c r="P936" i="3"/>
  <c r="Q936" i="3" s="1"/>
  <c r="R936" i="3" s="1"/>
  <c r="S936" i="3" s="1"/>
  <c r="AD936" i="3"/>
  <c r="AC936" i="3"/>
  <c r="Z936" i="3"/>
  <c r="AA936" i="3"/>
  <c r="T936" i="3" l="1"/>
  <c r="L935" i="3"/>
  <c r="AH936" i="3" l="1"/>
  <c r="U935" i="3"/>
  <c r="E936" i="3" s="1"/>
  <c r="H936" i="3" s="1"/>
  <c r="AG936" i="3"/>
  <c r="Y934" i="3"/>
  <c r="D936" i="3" l="1"/>
  <c r="F936" i="3" s="1"/>
  <c r="K936" i="3"/>
  <c r="AE936" i="3" s="1"/>
  <c r="G936" i="3" l="1"/>
  <c r="J936" i="3" s="1"/>
  <c r="V936" i="3"/>
  <c r="A937" i="3"/>
  <c r="B937" i="3" s="1"/>
  <c r="M936" i="3" l="1"/>
  <c r="N936" i="3" s="1"/>
  <c r="I936" i="3"/>
  <c r="W936" i="3" s="1"/>
  <c r="L936" i="3"/>
  <c r="AD937" i="3"/>
  <c r="P937" i="3"/>
  <c r="Q937" i="3" s="1"/>
  <c r="R937" i="3" s="1"/>
  <c r="S937" i="3" s="1"/>
  <c r="AA937" i="3"/>
  <c r="Z937" i="3"/>
  <c r="AC937" i="3"/>
  <c r="U936" i="3" l="1"/>
  <c r="Y935" i="3"/>
  <c r="T937" i="3"/>
  <c r="AG937" i="3" s="1"/>
  <c r="E937" i="3" l="1"/>
  <c r="H937" i="3" s="1"/>
  <c r="K937" i="3" s="1"/>
  <c r="AE937" i="3" s="1"/>
  <c r="D937" i="3"/>
  <c r="G937" i="3" s="1"/>
  <c r="AH937" i="3"/>
  <c r="F937" i="3" l="1"/>
  <c r="V937" i="3"/>
  <c r="A938" i="3"/>
  <c r="B938" i="3" s="1"/>
  <c r="I937" i="3"/>
  <c r="J937" i="3"/>
  <c r="M937" i="3"/>
  <c r="N937" i="3" s="1"/>
  <c r="W937" i="3" l="1"/>
  <c r="L937" i="3"/>
  <c r="Z938" i="3"/>
  <c r="P938" i="3"/>
  <c r="Q938" i="3" s="1"/>
  <c r="R938" i="3" s="1"/>
  <c r="S938" i="3" s="1"/>
  <c r="AA938" i="3"/>
  <c r="AC938" i="3"/>
  <c r="T938" i="3" l="1"/>
  <c r="AG938" i="3" s="1"/>
  <c r="U937" i="3"/>
  <c r="Y936" i="3"/>
  <c r="D938" i="3" l="1"/>
  <c r="AH938" i="3"/>
  <c r="E938" i="3"/>
  <c r="H938" i="3" s="1"/>
  <c r="F938" i="3" l="1"/>
  <c r="G938" i="3"/>
  <c r="J938" i="3" s="1"/>
  <c r="AD938" i="3" s="1"/>
  <c r="K938" i="3"/>
  <c r="AE938" i="3" s="1"/>
  <c r="I938" i="3" l="1"/>
  <c r="M938" i="3"/>
  <c r="N938" i="3" s="1"/>
  <c r="V938" i="3"/>
  <c r="A939" i="3"/>
  <c r="B939" i="3" s="1"/>
  <c r="L938" i="3"/>
  <c r="W938" i="3" l="1"/>
  <c r="U938" i="3"/>
  <c r="Y937" i="3"/>
  <c r="AA939" i="3"/>
  <c r="P939" i="3"/>
  <c r="Q939" i="3" s="1"/>
  <c r="R939" i="3" s="1"/>
  <c r="S939" i="3" s="1"/>
  <c r="Z939" i="3"/>
  <c r="AD939" i="3"/>
  <c r="AC939" i="3"/>
  <c r="T939" i="3" l="1"/>
  <c r="E939" i="3" s="1"/>
  <c r="H939" i="3" s="1"/>
  <c r="K939" i="3" l="1"/>
  <c r="AE939" i="3" s="1"/>
  <c r="AG939" i="3"/>
  <c r="D939" i="3"/>
  <c r="AH939" i="3"/>
  <c r="F939" i="3" l="1"/>
  <c r="G939" i="3"/>
  <c r="V939" i="3"/>
  <c r="A940" i="3"/>
  <c r="B940" i="3" s="1"/>
  <c r="AC940" i="3" l="1"/>
  <c r="Z940" i="3"/>
  <c r="P940" i="3"/>
  <c r="Q940" i="3" s="1"/>
  <c r="R940" i="3" s="1"/>
  <c r="S940" i="3" s="1"/>
  <c r="AA940" i="3"/>
  <c r="AD940" i="3"/>
  <c r="I939" i="3"/>
  <c r="W939" i="3" s="1"/>
  <c r="J939" i="3"/>
  <c r="M939" i="3"/>
  <c r="N939" i="3" s="1"/>
  <c r="T940" i="3" l="1"/>
  <c r="L939" i="3"/>
  <c r="AG940" i="3" l="1"/>
  <c r="AH940" i="3"/>
  <c r="U939" i="3"/>
  <c r="D940" i="3" s="1"/>
  <c r="Y938" i="3"/>
  <c r="E940" i="3" l="1"/>
  <c r="H940" i="3" s="1"/>
  <c r="K940" i="3" s="1"/>
  <c r="AE940" i="3" s="1"/>
  <c r="G940" i="3"/>
  <c r="F940" i="3" l="1"/>
  <c r="I940" i="3"/>
  <c r="J940" i="3"/>
  <c r="M940" i="3"/>
  <c r="N940" i="3" s="1"/>
  <c r="V940" i="3"/>
  <c r="A941" i="3"/>
  <c r="B941" i="3" s="1"/>
  <c r="W940" i="3" l="1"/>
  <c r="L940" i="3"/>
  <c r="AD941" i="3"/>
  <c r="P941" i="3"/>
  <c r="Q941" i="3" s="1"/>
  <c r="R941" i="3" s="1"/>
  <c r="S941" i="3" s="1"/>
  <c r="Z941" i="3"/>
  <c r="AC941" i="3"/>
  <c r="AA941" i="3"/>
  <c r="T941" i="3" l="1"/>
  <c r="U940" i="3"/>
  <c r="Y939" i="3"/>
  <c r="E941" i="3" l="1"/>
  <c r="H941" i="3" s="1"/>
  <c r="K941" i="3" s="1"/>
  <c r="AE941" i="3" s="1"/>
  <c r="AH941" i="3"/>
  <c r="AG941" i="3"/>
  <c r="D941" i="3"/>
  <c r="F941" i="3" l="1"/>
  <c r="G941" i="3"/>
  <c r="V941" i="3"/>
  <c r="A942" i="3"/>
  <c r="B942" i="3" s="1"/>
  <c r="Z942" i="3" l="1"/>
  <c r="AD942" i="3"/>
  <c r="AC942" i="3"/>
  <c r="AA942" i="3"/>
  <c r="P942" i="3"/>
  <c r="Q942" i="3" s="1"/>
  <c r="R942" i="3" s="1"/>
  <c r="S942" i="3" s="1"/>
  <c r="I941" i="3"/>
  <c r="W941" i="3" s="1"/>
  <c r="J941" i="3"/>
  <c r="M941" i="3"/>
  <c r="N941" i="3" s="1"/>
  <c r="T942" i="3" l="1"/>
  <c r="L941" i="3"/>
  <c r="U941" i="3" l="1"/>
  <c r="E942" i="3" s="1"/>
  <c r="H942" i="3" s="1"/>
  <c r="AG942" i="3"/>
  <c r="AH942" i="3"/>
  <c r="Y940" i="3"/>
  <c r="D942" i="3" l="1"/>
  <c r="G942" i="3" s="1"/>
  <c r="K942" i="3"/>
  <c r="AE942" i="3" s="1"/>
  <c r="F942" i="3" l="1"/>
  <c r="I942" i="3"/>
  <c r="J942" i="3"/>
  <c r="M942" i="3"/>
  <c r="N942" i="3" s="1"/>
  <c r="V942" i="3"/>
  <c r="A943" i="3"/>
  <c r="B943" i="3" s="1"/>
  <c r="W942" i="3" l="1"/>
  <c r="L942" i="3"/>
  <c r="AA943" i="3"/>
  <c r="AC943" i="3"/>
  <c r="P943" i="3"/>
  <c r="Q943" i="3" s="1"/>
  <c r="R943" i="3" s="1"/>
  <c r="S943" i="3" s="1"/>
  <c r="Z943" i="3"/>
  <c r="AD943" i="3"/>
  <c r="U942" i="3" l="1"/>
  <c r="Y941" i="3"/>
  <c r="T943" i="3"/>
  <c r="AG943" i="3" s="1"/>
  <c r="E943" i="3" l="1"/>
  <c r="H943" i="3" s="1"/>
  <c r="K943" i="3" s="1"/>
  <c r="AE943" i="3" s="1"/>
  <c r="D943" i="3"/>
  <c r="AH943" i="3"/>
  <c r="F943" i="3" l="1"/>
  <c r="G943" i="3"/>
  <c r="M943" i="3" s="1"/>
  <c r="N943" i="3" s="1"/>
  <c r="V943" i="3"/>
  <c r="A944" i="3"/>
  <c r="B944" i="3" s="1"/>
  <c r="I943" i="3" l="1"/>
  <c r="W943" i="3" s="1"/>
  <c r="J943" i="3"/>
  <c r="L943" i="3" s="1"/>
  <c r="P944" i="3"/>
  <c r="Q944" i="3" s="1"/>
  <c r="R944" i="3" s="1"/>
  <c r="S944" i="3" s="1"/>
  <c r="AC944" i="3"/>
  <c r="Z944" i="3"/>
  <c r="AA944" i="3"/>
  <c r="U943" i="3" l="1"/>
  <c r="Y942" i="3"/>
  <c r="T944" i="3"/>
  <c r="AH944" i="3" s="1"/>
  <c r="D944" i="3" l="1"/>
  <c r="E944" i="3"/>
  <c r="H944" i="3" s="1"/>
  <c r="AG944" i="3"/>
  <c r="F944" i="3" l="1"/>
  <c r="G944" i="3"/>
  <c r="K944" i="3"/>
  <c r="AE944" i="3" s="1"/>
  <c r="I944" i="3" l="1"/>
  <c r="J944" i="3"/>
  <c r="AD944" i="3" s="1"/>
  <c r="M944" i="3"/>
  <c r="N944" i="3" s="1"/>
  <c r="V944" i="3"/>
  <c r="A945" i="3"/>
  <c r="B945" i="3" s="1"/>
  <c r="W944" i="3" l="1"/>
  <c r="L944" i="3"/>
  <c r="P945" i="3"/>
  <c r="Q945" i="3" s="1"/>
  <c r="R945" i="3" s="1"/>
  <c r="S945" i="3" s="1"/>
  <c r="AC945" i="3"/>
  <c r="Z945" i="3"/>
  <c r="AD945" i="3"/>
  <c r="AA945" i="3"/>
  <c r="U944" i="3" l="1"/>
  <c r="Y943" i="3"/>
  <c r="T945" i="3"/>
  <c r="D945" i="3" l="1"/>
  <c r="G945" i="3" s="1"/>
  <c r="AH945" i="3"/>
  <c r="E945" i="3"/>
  <c r="H945" i="3" s="1"/>
  <c r="AG945" i="3"/>
  <c r="F945" i="3" l="1"/>
  <c r="I945" i="3"/>
  <c r="J945" i="3"/>
  <c r="M945" i="3"/>
  <c r="N945" i="3" s="1"/>
  <c r="K945" i="3"/>
  <c r="AE945" i="3" s="1"/>
  <c r="V945" i="3" l="1"/>
  <c r="W945" i="3" s="1"/>
  <c r="A946" i="3"/>
  <c r="B946" i="3" s="1"/>
  <c r="L945" i="3"/>
  <c r="U945" i="3" l="1"/>
  <c r="Y944" i="3"/>
  <c r="P946" i="3"/>
  <c r="Q946" i="3" s="1"/>
  <c r="R946" i="3" s="1"/>
  <c r="S946" i="3" s="1"/>
  <c r="AC946" i="3"/>
  <c r="AA946" i="3"/>
  <c r="AD946" i="3"/>
  <c r="Z946" i="3"/>
  <c r="T946" i="3" l="1"/>
  <c r="E946" i="3" s="1"/>
  <c r="H946" i="3" s="1"/>
  <c r="K946" i="3" l="1"/>
  <c r="AE946" i="3" s="1"/>
  <c r="AG946" i="3"/>
  <c r="D946" i="3"/>
  <c r="AH946" i="3"/>
  <c r="F946" i="3" l="1"/>
  <c r="G946" i="3"/>
  <c r="V946" i="3"/>
  <c r="A947" i="3"/>
  <c r="B947" i="3" s="1"/>
  <c r="Z947" i="3" l="1"/>
  <c r="AC947" i="3"/>
  <c r="P947" i="3"/>
  <c r="Q947" i="3" s="1"/>
  <c r="R947" i="3" s="1"/>
  <c r="S947" i="3" s="1"/>
  <c r="AA947" i="3"/>
  <c r="AD947" i="3"/>
  <c r="I946" i="3"/>
  <c r="W946" i="3" s="1"/>
  <c r="J946" i="3"/>
  <c r="M946" i="3"/>
  <c r="N946" i="3" s="1"/>
  <c r="L946" i="3" l="1"/>
  <c r="T947" i="3"/>
  <c r="AH947" i="3" l="1"/>
  <c r="AG947" i="3"/>
  <c r="U946" i="3"/>
  <c r="E947" i="3" s="1"/>
  <c r="H947" i="3" s="1"/>
  <c r="Y945" i="3"/>
  <c r="D947" i="3" l="1"/>
  <c r="G947" i="3" s="1"/>
  <c r="K947" i="3"/>
  <c r="AE947" i="3" s="1"/>
  <c r="F947" i="3" l="1"/>
  <c r="V947" i="3"/>
  <c r="A948" i="3"/>
  <c r="B948" i="3" s="1"/>
  <c r="I947" i="3"/>
  <c r="J947" i="3"/>
  <c r="M947" i="3"/>
  <c r="N947" i="3" s="1"/>
  <c r="W947" i="3" l="1"/>
  <c r="L947" i="3"/>
  <c r="P948" i="3"/>
  <c r="Q948" i="3" s="1"/>
  <c r="R948" i="3" s="1"/>
  <c r="S948" i="3" s="1"/>
  <c r="AA948" i="3"/>
  <c r="Z948" i="3"/>
  <c r="AC948" i="3"/>
  <c r="U947" i="3" l="1"/>
  <c r="Y946" i="3"/>
  <c r="T948" i="3"/>
  <c r="AH948" i="3" s="1"/>
  <c r="AG948" i="3" l="1"/>
  <c r="E948" i="3"/>
  <c r="H948" i="3" s="1"/>
  <c r="D948" i="3"/>
  <c r="K948" i="3" l="1"/>
  <c r="AE948" i="3" s="1"/>
  <c r="F948" i="3"/>
  <c r="G948" i="3"/>
  <c r="I948" i="3" l="1"/>
  <c r="J948" i="3"/>
  <c r="AD948" i="3" s="1"/>
  <c r="M948" i="3"/>
  <c r="N948" i="3" s="1"/>
  <c r="V948" i="3"/>
  <c r="A949" i="3"/>
  <c r="B949" i="3" s="1"/>
  <c r="W948" i="3" l="1"/>
  <c r="L948" i="3"/>
  <c r="AD949" i="3"/>
  <c r="AA949" i="3"/>
  <c r="AC949" i="3"/>
  <c r="Z949" i="3"/>
  <c r="P949" i="3"/>
  <c r="Q949" i="3" s="1"/>
  <c r="R949" i="3" s="1"/>
  <c r="S949" i="3" s="1"/>
  <c r="U948" i="3" l="1"/>
  <c r="Y947" i="3"/>
  <c r="T949" i="3"/>
  <c r="AH949" i="3" s="1"/>
  <c r="AG949" i="3" l="1"/>
  <c r="D949" i="3"/>
  <c r="G949" i="3" s="1"/>
  <c r="E949" i="3"/>
  <c r="H949" i="3" s="1"/>
  <c r="K949" i="3" s="1"/>
  <c r="AE949" i="3" s="1"/>
  <c r="F949" i="3" l="1"/>
  <c r="I949" i="3"/>
  <c r="J949" i="3"/>
  <c r="M949" i="3"/>
  <c r="N949" i="3" s="1"/>
  <c r="V949" i="3"/>
  <c r="A950" i="3"/>
  <c r="B950" i="3" s="1"/>
  <c r="W949" i="3" l="1"/>
  <c r="L949" i="3"/>
  <c r="Z950" i="3"/>
  <c r="AC950" i="3"/>
  <c r="P950" i="3"/>
  <c r="Q950" i="3" s="1"/>
  <c r="R950" i="3" s="1"/>
  <c r="S950" i="3" s="1"/>
  <c r="AD950" i="3"/>
  <c r="AA950" i="3"/>
  <c r="T950" i="3" l="1"/>
  <c r="U949" i="3"/>
  <c r="Y948" i="3"/>
  <c r="D950" i="3" l="1"/>
  <c r="G950" i="3" s="1"/>
  <c r="AG950" i="3"/>
  <c r="E950" i="3"/>
  <c r="H950" i="3" s="1"/>
  <c r="K950" i="3" s="1"/>
  <c r="AE950" i="3" s="1"/>
  <c r="AH950" i="3"/>
  <c r="F950" i="3" l="1"/>
  <c r="I950" i="3"/>
  <c r="J950" i="3"/>
  <c r="M950" i="3"/>
  <c r="N950" i="3" s="1"/>
  <c r="V950" i="3"/>
  <c r="A951" i="3"/>
  <c r="B951" i="3" s="1"/>
  <c r="W950" i="3" l="1"/>
  <c r="P951" i="3"/>
  <c r="Q951" i="3" s="1"/>
  <c r="R951" i="3" s="1"/>
  <c r="S951" i="3" s="1"/>
  <c r="AA951" i="3"/>
  <c r="AC951" i="3"/>
  <c r="AD951" i="3"/>
  <c r="Z951" i="3"/>
  <c r="L950" i="3"/>
  <c r="T951" i="3" l="1"/>
  <c r="U950" i="3"/>
  <c r="Y949" i="3"/>
  <c r="D951" i="3" l="1"/>
  <c r="G951" i="3" s="1"/>
  <c r="AH951" i="3"/>
  <c r="AG951" i="3"/>
  <c r="E951" i="3"/>
  <c r="H951" i="3" s="1"/>
  <c r="K951" i="3" s="1"/>
  <c r="AE951" i="3" s="1"/>
  <c r="F951" i="3" l="1"/>
  <c r="I951" i="3"/>
  <c r="J951" i="3"/>
  <c r="M951" i="3"/>
  <c r="N951" i="3" s="1"/>
  <c r="V951" i="3"/>
  <c r="A952" i="3"/>
  <c r="B952" i="3" s="1"/>
  <c r="AC952" i="3" l="1"/>
  <c r="Z952" i="3"/>
  <c r="AD952" i="3"/>
  <c r="P952" i="3"/>
  <c r="Q952" i="3" s="1"/>
  <c r="R952" i="3" s="1"/>
  <c r="S952" i="3" s="1"/>
  <c r="AA952" i="3"/>
  <c r="W951" i="3"/>
  <c r="L951" i="3"/>
  <c r="U951" i="3" l="1"/>
  <c r="Y950" i="3"/>
  <c r="T952" i="3"/>
  <c r="D952" i="3" l="1"/>
  <c r="G952" i="3" s="1"/>
  <c r="E952" i="3"/>
  <c r="H952" i="3" s="1"/>
  <c r="AH952" i="3"/>
  <c r="AG952" i="3"/>
  <c r="F952" i="3" l="1"/>
  <c r="I952" i="3"/>
  <c r="J952" i="3"/>
  <c r="M952" i="3"/>
  <c r="N952" i="3" s="1"/>
  <c r="K952" i="3"/>
  <c r="AE952" i="3" s="1"/>
  <c r="V952" i="3" l="1"/>
  <c r="W952" i="3" s="1"/>
  <c r="A953" i="3"/>
  <c r="B953" i="3" s="1"/>
  <c r="L952" i="3"/>
  <c r="U952" i="3" l="1"/>
  <c r="Y951" i="3"/>
  <c r="Z953" i="3"/>
  <c r="AA953" i="3"/>
  <c r="AD953" i="3"/>
  <c r="P953" i="3"/>
  <c r="Q953" i="3" s="1"/>
  <c r="R953" i="3" s="1"/>
  <c r="S953" i="3" s="1"/>
  <c r="AC953" i="3"/>
  <c r="T953" i="3" l="1"/>
  <c r="AG953" i="3" s="1"/>
  <c r="E953" i="3" l="1"/>
  <c r="H953" i="3" s="1"/>
  <c r="K953" i="3" s="1"/>
  <c r="AE953" i="3" s="1"/>
  <c r="AH953" i="3"/>
  <c r="D953" i="3"/>
  <c r="G953" i="3" s="1"/>
  <c r="F953" i="3" l="1"/>
  <c r="I953" i="3"/>
  <c r="J953" i="3"/>
  <c r="M953" i="3"/>
  <c r="N953" i="3" s="1"/>
  <c r="V953" i="3"/>
  <c r="A954" i="3"/>
  <c r="B954" i="3" s="1"/>
  <c r="W953" i="3" l="1"/>
  <c r="L953" i="3"/>
  <c r="AA954" i="3"/>
  <c r="P954" i="3"/>
  <c r="Q954" i="3" s="1"/>
  <c r="R954" i="3" s="1"/>
  <c r="S954" i="3" s="1"/>
  <c r="AC954" i="3"/>
  <c r="Z954" i="3"/>
  <c r="T954" i="3" l="1"/>
  <c r="U953" i="3"/>
  <c r="Y952" i="3"/>
  <c r="E954" i="3" l="1"/>
  <c r="H954" i="3" s="1"/>
  <c r="K954" i="3" s="1"/>
  <c r="AE954" i="3" s="1"/>
  <c r="AG954" i="3"/>
  <c r="AH954" i="3"/>
  <c r="D954" i="3"/>
  <c r="G954" i="3" s="1"/>
  <c r="F954" i="3" l="1"/>
  <c r="V954" i="3"/>
  <c r="A955" i="3"/>
  <c r="B955" i="3" s="1"/>
  <c r="I954" i="3"/>
  <c r="J954" i="3"/>
  <c r="AD954" i="3" s="1"/>
  <c r="M954" i="3"/>
  <c r="N954" i="3" s="1"/>
  <c r="W954" i="3" l="1"/>
  <c r="L954" i="3"/>
  <c r="P955" i="3"/>
  <c r="Q955" i="3" s="1"/>
  <c r="R955" i="3" s="1"/>
  <c r="S955" i="3" s="1"/>
  <c r="AA955" i="3"/>
  <c r="AC955" i="3"/>
  <c r="Z955" i="3"/>
  <c r="U954" i="3" l="1"/>
  <c r="Y953" i="3"/>
  <c r="T955" i="3"/>
  <c r="AG955" i="3" s="1"/>
  <c r="AH955" i="3" l="1"/>
  <c r="D955" i="3"/>
  <c r="E955" i="3"/>
  <c r="H955" i="3" s="1"/>
  <c r="F955" i="3" l="1"/>
  <c r="G955" i="3"/>
  <c r="K955" i="3"/>
  <c r="AE955" i="3" s="1"/>
  <c r="I955" i="3" l="1"/>
  <c r="J955" i="3"/>
  <c r="AD955" i="3" s="1"/>
  <c r="M955" i="3"/>
  <c r="N955" i="3" s="1"/>
  <c r="V955" i="3"/>
  <c r="A956" i="3"/>
  <c r="B956" i="3" s="1"/>
  <c r="W955" i="3" l="1"/>
  <c r="L955" i="3"/>
  <c r="AA956" i="3"/>
  <c r="P956" i="3"/>
  <c r="Q956" i="3" s="1"/>
  <c r="R956" i="3" s="1"/>
  <c r="S956" i="3" s="1"/>
  <c r="Z956" i="3"/>
  <c r="AC956" i="3"/>
  <c r="U955" i="3" l="1"/>
  <c r="Y954" i="3"/>
  <c r="T956" i="3"/>
  <c r="AH956" i="3" s="1"/>
  <c r="AG956" i="3" l="1"/>
  <c r="E956" i="3"/>
  <c r="H956" i="3" s="1"/>
  <c r="K956" i="3" s="1"/>
  <c r="AE956" i="3" s="1"/>
  <c r="D956" i="3"/>
  <c r="V956" i="3" l="1"/>
  <c r="A957" i="3"/>
  <c r="B957" i="3" s="1"/>
  <c r="F956" i="3"/>
  <c r="G956" i="3"/>
  <c r="I956" i="3" l="1"/>
  <c r="W956" i="3" s="1"/>
  <c r="J956" i="3"/>
  <c r="AD956" i="3" s="1"/>
  <c r="M956" i="3"/>
  <c r="N956" i="3" s="1"/>
  <c r="AA957" i="3"/>
  <c r="Z957" i="3"/>
  <c r="P957" i="3"/>
  <c r="Q957" i="3" s="1"/>
  <c r="R957" i="3" s="1"/>
  <c r="S957" i="3" s="1"/>
  <c r="AC957" i="3"/>
  <c r="T957" i="3" l="1"/>
  <c r="L956" i="3"/>
  <c r="AG957" i="3" l="1"/>
  <c r="U956" i="3"/>
  <c r="E957" i="3" s="1"/>
  <c r="H957" i="3" s="1"/>
  <c r="AH957" i="3"/>
  <c r="Y955" i="3"/>
  <c r="D957" i="3" l="1"/>
  <c r="G957" i="3" s="1"/>
  <c r="K957" i="3"/>
  <c r="AE957" i="3" s="1"/>
  <c r="F957" i="3" l="1"/>
  <c r="I957" i="3"/>
  <c r="J957" i="3"/>
  <c r="AD957" i="3" s="1"/>
  <c r="M957" i="3"/>
  <c r="N957" i="3" s="1"/>
  <c r="V957" i="3"/>
  <c r="A958" i="3"/>
  <c r="B958" i="3" s="1"/>
  <c r="W957" i="3" l="1"/>
  <c r="L957" i="3"/>
  <c r="AC958" i="3"/>
  <c r="AA958" i="3"/>
  <c r="P958" i="3"/>
  <c r="Q958" i="3" s="1"/>
  <c r="R958" i="3" s="1"/>
  <c r="S958" i="3" s="1"/>
  <c r="Z958" i="3"/>
  <c r="T958" i="3" l="1"/>
  <c r="AH958" i="3" s="1"/>
  <c r="U957" i="3"/>
  <c r="Y956" i="3"/>
  <c r="AG958" i="3" l="1"/>
  <c r="D958" i="3"/>
  <c r="E958" i="3"/>
  <c r="H958" i="3" s="1"/>
  <c r="K958" i="3" l="1"/>
  <c r="AE958" i="3" s="1"/>
  <c r="F958" i="3"/>
  <c r="G958" i="3"/>
  <c r="V958" i="3" l="1"/>
  <c r="A959" i="3"/>
  <c r="B959" i="3" s="1"/>
  <c r="I958" i="3"/>
  <c r="J958" i="3"/>
  <c r="AD958" i="3" s="1"/>
  <c r="M958" i="3"/>
  <c r="N958" i="3" s="1"/>
  <c r="W958" i="3" l="1"/>
  <c r="L958" i="3"/>
  <c r="Z959" i="3"/>
  <c r="AC959" i="3"/>
  <c r="P959" i="3"/>
  <c r="Q959" i="3" s="1"/>
  <c r="R959" i="3" s="1"/>
  <c r="S959" i="3" s="1"/>
  <c r="AA959" i="3"/>
  <c r="T959" i="3" l="1"/>
  <c r="AH959" i="3" s="1"/>
  <c r="U958" i="3"/>
  <c r="Y957" i="3"/>
  <c r="AG959" i="3" l="1"/>
  <c r="E959" i="3"/>
  <c r="H959" i="3" s="1"/>
  <c r="K959" i="3" s="1"/>
  <c r="AE959" i="3" s="1"/>
  <c r="D959" i="3"/>
  <c r="F959" i="3" l="1"/>
  <c r="G959" i="3"/>
  <c r="V959" i="3"/>
  <c r="A960" i="3"/>
  <c r="B960" i="3" s="1"/>
  <c r="Z960" i="3" l="1"/>
  <c r="AA960" i="3"/>
  <c r="P960" i="3"/>
  <c r="Q960" i="3" s="1"/>
  <c r="R960" i="3" s="1"/>
  <c r="S960" i="3" s="1"/>
  <c r="AC960" i="3"/>
  <c r="I959" i="3"/>
  <c r="W959" i="3" s="1"/>
  <c r="J959" i="3"/>
  <c r="AD959" i="3" s="1"/>
  <c r="M959" i="3"/>
  <c r="N959" i="3" s="1"/>
  <c r="T960" i="3" l="1"/>
  <c r="L959" i="3"/>
  <c r="U959" i="3" l="1"/>
  <c r="E960" i="3" s="1"/>
  <c r="H960" i="3" s="1"/>
  <c r="AG960" i="3"/>
  <c r="AH960" i="3"/>
  <c r="Y958" i="3"/>
  <c r="D960" i="3" l="1"/>
  <c r="G960" i="3" s="1"/>
  <c r="K960" i="3"/>
  <c r="AE960" i="3" s="1"/>
  <c r="F960" i="3" l="1"/>
  <c r="I960" i="3"/>
  <c r="J960" i="3"/>
  <c r="AD960" i="3" s="1"/>
  <c r="M960" i="3"/>
  <c r="N960" i="3" s="1"/>
  <c r="V960" i="3"/>
  <c r="A961" i="3"/>
  <c r="B961" i="3" s="1"/>
  <c r="W960" i="3" l="1"/>
  <c r="P961" i="3"/>
  <c r="Q961" i="3" s="1"/>
  <c r="R961" i="3" s="1"/>
  <c r="S961" i="3" s="1"/>
  <c r="AC961" i="3"/>
  <c r="Z961" i="3"/>
  <c r="AA961" i="3"/>
  <c r="L960" i="3"/>
  <c r="U960" i="3" l="1"/>
  <c r="Y959" i="3"/>
  <c r="T961" i="3"/>
  <c r="D961" i="3" l="1"/>
  <c r="G961" i="3" s="1"/>
  <c r="AH961" i="3"/>
  <c r="AG961" i="3"/>
  <c r="E961" i="3"/>
  <c r="H961" i="3" s="1"/>
  <c r="K961" i="3" l="1"/>
  <c r="AE961" i="3" s="1"/>
  <c r="I961" i="3"/>
  <c r="J961" i="3"/>
  <c r="AD961" i="3" s="1"/>
  <c r="M961" i="3"/>
  <c r="N961" i="3" s="1"/>
  <c r="F961" i="3"/>
  <c r="L961" i="3" l="1"/>
  <c r="V961" i="3"/>
  <c r="W961" i="3" s="1"/>
  <c r="A962" i="3"/>
  <c r="B962" i="3" s="1"/>
  <c r="Z962" i="3" l="1"/>
  <c r="AA962" i="3"/>
  <c r="P962" i="3"/>
  <c r="Q962" i="3" s="1"/>
  <c r="R962" i="3" s="1"/>
  <c r="S962" i="3" s="1"/>
  <c r="AC962" i="3"/>
  <c r="U961" i="3"/>
  <c r="Y960" i="3"/>
  <c r="T962" i="3" l="1"/>
  <c r="E962" i="3" s="1"/>
  <c r="H962" i="3" s="1"/>
  <c r="AH962" i="3" l="1"/>
  <c r="K962" i="3"/>
  <c r="AE962" i="3" s="1"/>
  <c r="D962" i="3"/>
  <c r="AG962" i="3"/>
  <c r="V962" i="3" l="1"/>
  <c r="A963" i="3"/>
  <c r="B963" i="3" s="1"/>
  <c r="F962" i="3"/>
  <c r="G962" i="3"/>
  <c r="P963" i="3" l="1"/>
  <c r="Q963" i="3" s="1"/>
  <c r="R963" i="3" s="1"/>
  <c r="S963" i="3" s="1"/>
  <c r="AC963" i="3"/>
  <c r="Z963" i="3"/>
  <c r="AA963" i="3"/>
  <c r="I962" i="3"/>
  <c r="W962" i="3" s="1"/>
  <c r="J962" i="3"/>
  <c r="AD962" i="3" s="1"/>
  <c r="M962" i="3"/>
  <c r="N962" i="3" s="1"/>
  <c r="T963" i="3" l="1"/>
  <c r="L962" i="3"/>
  <c r="U962" i="3" l="1"/>
  <c r="E963" i="3" s="1"/>
  <c r="H963" i="3" s="1"/>
  <c r="AG963" i="3"/>
  <c r="AH963" i="3"/>
  <c r="Y961" i="3"/>
  <c r="D963" i="3" l="1"/>
  <c r="G963" i="3" s="1"/>
  <c r="K963" i="3"/>
  <c r="AE963" i="3" s="1"/>
  <c r="F963" i="3" l="1"/>
  <c r="I963" i="3"/>
  <c r="J963" i="3"/>
  <c r="AD963" i="3" s="1"/>
  <c r="M963" i="3"/>
  <c r="N963" i="3" s="1"/>
  <c r="V963" i="3"/>
  <c r="A964" i="3"/>
  <c r="B964" i="3" s="1"/>
  <c r="W963" i="3" l="1"/>
  <c r="L963" i="3"/>
  <c r="Z964" i="3"/>
  <c r="P964" i="3"/>
  <c r="Q964" i="3" s="1"/>
  <c r="R964" i="3" s="1"/>
  <c r="S964" i="3" s="1"/>
  <c r="AA964" i="3"/>
  <c r="AC964" i="3"/>
  <c r="U963" i="3" l="1"/>
  <c r="Y962" i="3"/>
  <c r="T964" i="3"/>
  <c r="D964" i="3" l="1"/>
  <c r="G964" i="3" s="1"/>
  <c r="E964" i="3"/>
  <c r="H964" i="3" s="1"/>
  <c r="K964" i="3" s="1"/>
  <c r="AE964" i="3" s="1"/>
  <c r="AH964" i="3"/>
  <c r="AG964" i="3"/>
  <c r="F964" i="3" l="1"/>
  <c r="I964" i="3"/>
  <c r="J964" i="3"/>
  <c r="AD964" i="3" s="1"/>
  <c r="M964" i="3"/>
  <c r="N964" i="3" s="1"/>
  <c r="V964" i="3"/>
  <c r="A965" i="3"/>
  <c r="B965" i="3" s="1"/>
  <c r="W964" i="3" l="1"/>
  <c r="L964" i="3"/>
  <c r="AC965" i="3"/>
  <c r="AD965" i="3"/>
  <c r="P965" i="3"/>
  <c r="Q965" i="3" s="1"/>
  <c r="R965" i="3" s="1"/>
  <c r="S965" i="3" s="1"/>
  <c r="AA965" i="3"/>
  <c r="Z965" i="3"/>
  <c r="U964" i="3" l="1"/>
  <c r="Y963" i="3"/>
  <c r="T965" i="3"/>
  <c r="AH965" i="3" s="1"/>
  <c r="AG965" i="3" l="1"/>
  <c r="E965" i="3"/>
  <c r="H965" i="3" s="1"/>
  <c r="D965" i="3"/>
  <c r="F965" i="3" l="1"/>
  <c r="G965" i="3"/>
  <c r="K965" i="3"/>
  <c r="AE965" i="3" s="1"/>
  <c r="V965" i="3" l="1"/>
  <c r="A966" i="3"/>
  <c r="B966" i="3" s="1"/>
  <c r="I965" i="3"/>
  <c r="J965" i="3"/>
  <c r="M965" i="3"/>
  <c r="N965" i="3" s="1"/>
  <c r="L965" i="3" l="1"/>
  <c r="P966" i="3"/>
  <c r="Q966" i="3" s="1"/>
  <c r="R966" i="3" s="1"/>
  <c r="S966" i="3" s="1"/>
  <c r="AD966" i="3"/>
  <c r="AA966" i="3"/>
  <c r="Z966" i="3"/>
  <c r="AC966" i="3"/>
  <c r="W965" i="3"/>
  <c r="T966" i="3" l="1"/>
  <c r="AG966" i="3" s="1"/>
  <c r="U965" i="3"/>
  <c r="Y964" i="3"/>
  <c r="E966" i="3" l="1"/>
  <c r="H966" i="3" s="1"/>
  <c r="D966" i="3"/>
  <c r="AH966" i="3"/>
  <c r="K966" i="3" l="1"/>
  <c r="AE966" i="3" s="1"/>
  <c r="F966" i="3"/>
  <c r="G966" i="3"/>
  <c r="I966" i="3" l="1"/>
  <c r="J966" i="3"/>
  <c r="M966" i="3"/>
  <c r="N966" i="3" s="1"/>
  <c r="V966" i="3"/>
  <c r="A967" i="3"/>
  <c r="B967" i="3" s="1"/>
  <c r="W966" i="3" l="1"/>
  <c r="L966" i="3"/>
  <c r="AA967" i="3"/>
  <c r="P967" i="3"/>
  <c r="Q967" i="3" s="1"/>
  <c r="R967" i="3" s="1"/>
  <c r="S967" i="3" s="1"/>
  <c r="AC967" i="3"/>
  <c r="Z967" i="3"/>
  <c r="AD967" i="3"/>
  <c r="U966" i="3" l="1"/>
  <c r="Y965" i="3"/>
  <c r="T967" i="3"/>
  <c r="E967" i="3" l="1"/>
  <c r="H967" i="3" s="1"/>
  <c r="K967" i="3" s="1"/>
  <c r="AE967" i="3" s="1"/>
  <c r="AH967" i="3"/>
  <c r="AG967" i="3"/>
  <c r="D967" i="3"/>
  <c r="V967" i="3" l="1"/>
  <c r="A968" i="3"/>
  <c r="B968" i="3" s="1"/>
  <c r="F967" i="3"/>
  <c r="G967" i="3"/>
  <c r="I967" i="3" l="1"/>
  <c r="W967" i="3" s="1"/>
  <c r="J967" i="3"/>
  <c r="M967" i="3"/>
  <c r="N967" i="3" s="1"/>
  <c r="Z968" i="3"/>
  <c r="AA968" i="3"/>
  <c r="P968" i="3"/>
  <c r="Q968" i="3" s="1"/>
  <c r="R968" i="3" s="1"/>
  <c r="S968" i="3" s="1"/>
  <c r="AC968" i="3"/>
  <c r="L967" i="3" l="1"/>
  <c r="T968" i="3"/>
  <c r="AH968" i="3" l="1"/>
  <c r="AG968" i="3"/>
  <c r="U967" i="3"/>
  <c r="E968" i="3" s="1"/>
  <c r="H968" i="3" s="1"/>
  <c r="Y966" i="3"/>
  <c r="K968" i="3" l="1"/>
  <c r="AE968" i="3" s="1"/>
  <c r="D968" i="3"/>
  <c r="V968" i="3" l="1"/>
  <c r="A969" i="3"/>
  <c r="B969" i="3" s="1"/>
  <c r="F968" i="3"/>
  <c r="G968" i="3"/>
  <c r="I968" i="3" l="1"/>
  <c r="W968" i="3" s="1"/>
  <c r="J968" i="3"/>
  <c r="AD968" i="3" s="1"/>
  <c r="M968" i="3"/>
  <c r="N968" i="3" s="1"/>
  <c r="AA969" i="3"/>
  <c r="Z969" i="3"/>
  <c r="AD969" i="3"/>
  <c r="P969" i="3"/>
  <c r="Q969" i="3" s="1"/>
  <c r="R969" i="3" s="1"/>
  <c r="S969" i="3" s="1"/>
  <c r="AC969" i="3"/>
  <c r="T969" i="3" l="1"/>
  <c r="L968" i="3"/>
  <c r="AH969" i="3" l="1"/>
  <c r="U968" i="3"/>
  <c r="D969" i="3" s="1"/>
  <c r="AG969" i="3"/>
  <c r="Y967" i="3"/>
  <c r="G969" i="3" l="1"/>
  <c r="E969" i="3"/>
  <c r="H969" i="3" s="1"/>
  <c r="F969" i="3" l="1"/>
  <c r="I969" i="3"/>
  <c r="J969" i="3"/>
  <c r="M969" i="3"/>
  <c r="N969" i="3" s="1"/>
  <c r="K969" i="3"/>
  <c r="AE969" i="3" s="1"/>
  <c r="V969" i="3" l="1"/>
  <c r="W969" i="3" s="1"/>
  <c r="A970" i="3"/>
  <c r="B970" i="3" s="1"/>
  <c r="L969" i="3"/>
  <c r="U969" i="3" l="1"/>
  <c r="Y968" i="3"/>
  <c r="AA970" i="3"/>
  <c r="P970" i="3"/>
  <c r="Q970" i="3" s="1"/>
  <c r="R970" i="3" s="1"/>
  <c r="S970" i="3" s="1"/>
  <c r="AC970" i="3"/>
  <c r="Z970" i="3"/>
  <c r="AD970" i="3"/>
  <c r="T970" i="3" l="1"/>
  <c r="E970" i="3" s="1"/>
  <c r="H970" i="3" s="1"/>
  <c r="AH970" i="3" l="1"/>
  <c r="K970" i="3"/>
  <c r="AE970" i="3" s="1"/>
  <c r="D970" i="3"/>
  <c r="AG970" i="3"/>
  <c r="V970" i="3" l="1"/>
  <c r="A971" i="3"/>
  <c r="B971" i="3" s="1"/>
  <c r="F970" i="3"/>
  <c r="G970" i="3"/>
  <c r="I970" i="3" l="1"/>
  <c r="W970" i="3" s="1"/>
  <c r="J970" i="3"/>
  <c r="M970" i="3"/>
  <c r="N970" i="3" s="1"/>
  <c r="P971" i="3"/>
  <c r="Q971" i="3" s="1"/>
  <c r="R971" i="3" s="1"/>
  <c r="S971" i="3" s="1"/>
  <c r="AD971" i="3"/>
  <c r="Z971" i="3"/>
  <c r="AC971" i="3"/>
  <c r="AA971" i="3"/>
  <c r="T971" i="3" l="1"/>
  <c r="L970" i="3"/>
  <c r="U970" i="3" l="1"/>
  <c r="E971" i="3" s="1"/>
  <c r="H971" i="3" s="1"/>
  <c r="AH971" i="3"/>
  <c r="AG971" i="3"/>
  <c r="Y969" i="3"/>
  <c r="K971" i="3" l="1"/>
  <c r="AE971" i="3" s="1"/>
  <c r="D971" i="3"/>
  <c r="V971" i="3" l="1"/>
  <c r="A972" i="3"/>
  <c r="B972" i="3" s="1"/>
  <c r="F971" i="3"/>
  <c r="G971" i="3"/>
  <c r="I971" i="3" l="1"/>
  <c r="W971" i="3" s="1"/>
  <c r="J971" i="3"/>
  <c r="M971" i="3"/>
  <c r="N971" i="3" s="1"/>
  <c r="AC972" i="3"/>
  <c r="AD972" i="3"/>
  <c r="Z972" i="3"/>
  <c r="P972" i="3"/>
  <c r="Q972" i="3" s="1"/>
  <c r="R972" i="3" s="1"/>
  <c r="S972" i="3" s="1"/>
  <c r="AA972" i="3"/>
  <c r="T972" i="3" l="1"/>
  <c r="L971" i="3"/>
  <c r="U971" i="3" l="1"/>
  <c r="D972" i="3" s="1"/>
  <c r="AH972" i="3"/>
  <c r="AG972" i="3"/>
  <c r="Y970" i="3"/>
  <c r="E972" i="3" l="1"/>
  <c r="H972" i="3" s="1"/>
  <c r="K972" i="3" s="1"/>
  <c r="AE972" i="3" s="1"/>
  <c r="G972" i="3"/>
  <c r="F972" i="3" l="1"/>
  <c r="V972" i="3"/>
  <c r="A973" i="3"/>
  <c r="B973" i="3" s="1"/>
  <c r="I972" i="3"/>
  <c r="J972" i="3"/>
  <c r="M972" i="3"/>
  <c r="N972" i="3" s="1"/>
  <c r="W972" i="3" l="1"/>
  <c r="L972" i="3"/>
  <c r="AC973" i="3"/>
  <c r="P973" i="3"/>
  <c r="Q973" i="3" s="1"/>
  <c r="R973" i="3" s="1"/>
  <c r="S973" i="3" s="1"/>
  <c r="Z973" i="3"/>
  <c r="AD973" i="3"/>
  <c r="AA973" i="3"/>
  <c r="U972" i="3" l="1"/>
  <c r="Y971" i="3"/>
  <c r="T973" i="3"/>
  <c r="AG973" i="3" s="1"/>
  <c r="D973" i="3" l="1"/>
  <c r="G973" i="3" s="1"/>
  <c r="E973" i="3"/>
  <c r="H973" i="3" s="1"/>
  <c r="K973" i="3" s="1"/>
  <c r="AE973" i="3" s="1"/>
  <c r="AH973" i="3"/>
  <c r="F973" i="3" l="1"/>
  <c r="I973" i="3"/>
  <c r="J973" i="3"/>
  <c r="M973" i="3"/>
  <c r="N973" i="3" s="1"/>
  <c r="V973" i="3"/>
  <c r="A974" i="3"/>
  <c r="B974" i="3" s="1"/>
  <c r="W973" i="3" l="1"/>
  <c r="L973" i="3"/>
  <c r="P974" i="3"/>
  <c r="Q974" i="3" s="1"/>
  <c r="R974" i="3" s="1"/>
  <c r="S974" i="3" s="1"/>
  <c r="AA974" i="3"/>
  <c r="Z974" i="3"/>
  <c r="AC974" i="3"/>
  <c r="T974" i="3" l="1"/>
  <c r="AG974" i="3" s="1"/>
  <c r="U973" i="3"/>
  <c r="Y972" i="3"/>
  <c r="AH974" i="3" l="1"/>
  <c r="E974" i="3"/>
  <c r="H974" i="3" s="1"/>
  <c r="D974" i="3"/>
  <c r="K974" i="3" l="1"/>
  <c r="AE974" i="3" s="1"/>
  <c r="F974" i="3"/>
  <c r="G974" i="3"/>
  <c r="I974" i="3" l="1"/>
  <c r="J974" i="3"/>
  <c r="AD974" i="3" s="1"/>
  <c r="M974" i="3"/>
  <c r="N974" i="3" s="1"/>
  <c r="V974" i="3"/>
  <c r="A975" i="3"/>
  <c r="B975" i="3" s="1"/>
  <c r="W974" i="3" l="1"/>
  <c r="L974" i="3"/>
  <c r="AD975" i="3"/>
  <c r="P975" i="3"/>
  <c r="Q975" i="3" s="1"/>
  <c r="R975" i="3" s="1"/>
  <c r="S975" i="3" s="1"/>
  <c r="AC975" i="3"/>
  <c r="Z975" i="3"/>
  <c r="AA975" i="3"/>
  <c r="U974" i="3" l="1"/>
  <c r="Y973" i="3"/>
  <c r="T975" i="3"/>
  <c r="D975" i="3" l="1"/>
  <c r="G975" i="3" s="1"/>
  <c r="AH975" i="3"/>
  <c r="E975" i="3"/>
  <c r="H975" i="3" s="1"/>
  <c r="K975" i="3" s="1"/>
  <c r="AE975" i="3" s="1"/>
  <c r="AG975" i="3"/>
  <c r="F975" i="3" l="1"/>
  <c r="V975" i="3"/>
  <c r="A976" i="3"/>
  <c r="B976" i="3" s="1"/>
  <c r="I975" i="3"/>
  <c r="J975" i="3"/>
  <c r="M975" i="3"/>
  <c r="N975" i="3" s="1"/>
  <c r="W975" i="3" l="1"/>
  <c r="L975" i="3"/>
  <c r="AA976" i="3"/>
  <c r="AC976" i="3"/>
  <c r="Z976" i="3"/>
  <c r="AD976" i="3"/>
  <c r="P976" i="3"/>
  <c r="Q976" i="3" s="1"/>
  <c r="R976" i="3" s="1"/>
  <c r="S976" i="3" s="1"/>
  <c r="U975" i="3" l="1"/>
  <c r="Y974" i="3"/>
  <c r="T976" i="3"/>
  <c r="AG976" i="3" s="1"/>
  <c r="AH976" i="3" l="1"/>
  <c r="E976" i="3"/>
  <c r="H976" i="3" s="1"/>
  <c r="D976" i="3"/>
  <c r="K976" i="3" l="1"/>
  <c r="AE976" i="3" s="1"/>
  <c r="F976" i="3"/>
  <c r="G976" i="3"/>
  <c r="I976" i="3" l="1"/>
  <c r="J976" i="3"/>
  <c r="M976" i="3"/>
  <c r="N976" i="3" s="1"/>
  <c r="V976" i="3"/>
  <c r="A977" i="3"/>
  <c r="B977" i="3" s="1"/>
  <c r="W976" i="3" l="1"/>
  <c r="L976" i="3"/>
  <c r="Z977" i="3"/>
  <c r="P977" i="3"/>
  <c r="Q977" i="3" s="1"/>
  <c r="R977" i="3" s="1"/>
  <c r="S977" i="3" s="1"/>
  <c r="AC977" i="3"/>
  <c r="AA977" i="3"/>
  <c r="AD977" i="3"/>
  <c r="T977" i="3" l="1"/>
  <c r="U976" i="3"/>
  <c r="Y975" i="3"/>
  <c r="E977" i="3" l="1"/>
  <c r="H977" i="3" s="1"/>
  <c r="K977" i="3" s="1"/>
  <c r="AE977" i="3" s="1"/>
  <c r="AG977" i="3"/>
  <c r="D977" i="3"/>
  <c r="G977" i="3" s="1"/>
  <c r="AH977" i="3"/>
  <c r="F977" i="3" l="1"/>
  <c r="I977" i="3"/>
  <c r="J977" i="3"/>
  <c r="M977" i="3"/>
  <c r="N977" i="3" s="1"/>
  <c r="V977" i="3"/>
  <c r="A978" i="3"/>
  <c r="B978" i="3" s="1"/>
  <c r="W977" i="3" l="1"/>
  <c r="L977" i="3"/>
  <c r="AC978" i="3"/>
  <c r="Z978" i="3"/>
  <c r="AA978" i="3"/>
  <c r="P978" i="3"/>
  <c r="Q978" i="3" s="1"/>
  <c r="R978" i="3" s="1"/>
  <c r="S978" i="3" s="1"/>
  <c r="T978" i="3" l="1"/>
  <c r="U977" i="3"/>
  <c r="Y976" i="3"/>
  <c r="D978" i="3" l="1"/>
  <c r="G978" i="3" s="1"/>
  <c r="E978" i="3"/>
  <c r="H978" i="3" s="1"/>
  <c r="K978" i="3" s="1"/>
  <c r="AE978" i="3" s="1"/>
  <c r="AH978" i="3"/>
  <c r="AG978" i="3"/>
  <c r="F978" i="3" l="1"/>
  <c r="I978" i="3"/>
  <c r="J978" i="3"/>
  <c r="AD978" i="3" s="1"/>
  <c r="M978" i="3"/>
  <c r="N978" i="3" s="1"/>
  <c r="V978" i="3"/>
  <c r="A979" i="3"/>
  <c r="B979" i="3" s="1"/>
  <c r="W978" i="3" l="1"/>
  <c r="L978" i="3"/>
  <c r="AC979" i="3"/>
  <c r="AA979" i="3"/>
  <c r="AD979" i="3"/>
  <c r="Z979" i="3"/>
  <c r="P979" i="3"/>
  <c r="Q979" i="3" s="1"/>
  <c r="R979" i="3" s="1"/>
  <c r="S979" i="3" s="1"/>
  <c r="T979" i="3" l="1"/>
  <c r="U978" i="3"/>
  <c r="Y977" i="3"/>
  <c r="D979" i="3" l="1"/>
  <c r="G979" i="3" s="1"/>
  <c r="AH979" i="3"/>
  <c r="E979" i="3"/>
  <c r="H979" i="3" s="1"/>
  <c r="K979" i="3" s="1"/>
  <c r="AE979" i="3" s="1"/>
  <c r="AG979" i="3"/>
  <c r="F979" i="3" l="1"/>
  <c r="V979" i="3"/>
  <c r="A980" i="3"/>
  <c r="B980" i="3" s="1"/>
  <c r="I979" i="3"/>
  <c r="J979" i="3"/>
  <c r="M979" i="3"/>
  <c r="N979" i="3" s="1"/>
  <c r="W979" i="3" l="1"/>
  <c r="L979" i="3"/>
  <c r="P980" i="3"/>
  <c r="Q980" i="3" s="1"/>
  <c r="R980" i="3" s="1"/>
  <c r="S980" i="3" s="1"/>
  <c r="AA980" i="3"/>
  <c r="AD980" i="3"/>
  <c r="AC980" i="3"/>
  <c r="Z980" i="3"/>
  <c r="U979" i="3" l="1"/>
  <c r="Y978" i="3"/>
  <c r="T980" i="3"/>
  <c r="AH980" i="3" s="1"/>
  <c r="D980" i="3" l="1"/>
  <c r="G980" i="3" s="1"/>
  <c r="E980" i="3"/>
  <c r="H980" i="3" s="1"/>
  <c r="K980" i="3" s="1"/>
  <c r="AE980" i="3" s="1"/>
  <c r="AG980" i="3"/>
  <c r="F980" i="3" l="1"/>
  <c r="I980" i="3"/>
  <c r="J980" i="3"/>
  <c r="M980" i="3"/>
  <c r="N980" i="3" s="1"/>
  <c r="V980" i="3"/>
  <c r="A981" i="3"/>
  <c r="B981" i="3" s="1"/>
  <c r="W980" i="3" l="1"/>
  <c r="L980" i="3"/>
  <c r="AD981" i="3"/>
  <c r="AA981" i="3"/>
  <c r="AC981" i="3"/>
  <c r="Z981" i="3"/>
  <c r="P981" i="3"/>
  <c r="Q981" i="3" s="1"/>
  <c r="R981" i="3" s="1"/>
  <c r="S981" i="3" s="1"/>
  <c r="U980" i="3" l="1"/>
  <c r="Y979" i="3"/>
  <c r="T981" i="3"/>
  <c r="AH981" i="3" s="1"/>
  <c r="D981" i="3" l="1"/>
  <c r="G981" i="3" s="1"/>
  <c r="AG981" i="3"/>
  <c r="E981" i="3"/>
  <c r="H981" i="3" s="1"/>
  <c r="F981" i="3" l="1"/>
  <c r="I981" i="3"/>
  <c r="J981" i="3"/>
  <c r="M981" i="3"/>
  <c r="N981" i="3" s="1"/>
  <c r="K981" i="3"/>
  <c r="AE981" i="3" s="1"/>
  <c r="V981" i="3" l="1"/>
  <c r="W981" i="3" s="1"/>
  <c r="A982" i="3"/>
  <c r="B982" i="3" s="1"/>
  <c r="L981" i="3"/>
  <c r="U981" i="3" l="1"/>
  <c r="Y980" i="3"/>
  <c r="P982" i="3"/>
  <c r="Q982" i="3" s="1"/>
  <c r="R982" i="3" s="1"/>
  <c r="S982" i="3" s="1"/>
  <c r="AD982" i="3"/>
  <c r="AC982" i="3"/>
  <c r="AA982" i="3"/>
  <c r="Z982" i="3"/>
  <c r="T982" i="3" l="1"/>
  <c r="E982" i="3" s="1"/>
  <c r="H982" i="3" s="1"/>
  <c r="AG982" i="3" l="1"/>
  <c r="AH982" i="3"/>
  <c r="D982" i="3"/>
  <c r="G982" i="3" s="1"/>
  <c r="K982" i="3"/>
  <c r="AE982" i="3" s="1"/>
  <c r="F982" i="3" l="1"/>
  <c r="I982" i="3"/>
  <c r="J982" i="3"/>
  <c r="M982" i="3"/>
  <c r="N982" i="3" s="1"/>
  <c r="V982" i="3"/>
  <c r="A983" i="3"/>
  <c r="B983" i="3" s="1"/>
  <c r="W982" i="3" l="1"/>
  <c r="L982" i="3"/>
  <c r="AD983" i="3"/>
  <c r="Z983" i="3"/>
  <c r="P983" i="3"/>
  <c r="Q983" i="3" s="1"/>
  <c r="R983" i="3" s="1"/>
  <c r="S983" i="3" s="1"/>
  <c r="AA983" i="3"/>
  <c r="AC983" i="3"/>
  <c r="U982" i="3" l="1"/>
  <c r="Y981" i="3"/>
  <c r="T983" i="3"/>
  <c r="AG983" i="3" s="1"/>
  <c r="E983" i="3" l="1"/>
  <c r="H983" i="3" s="1"/>
  <c r="K983" i="3" s="1"/>
  <c r="AE983" i="3" s="1"/>
  <c r="D983" i="3"/>
  <c r="AH983" i="3"/>
  <c r="F983" i="3" l="1"/>
  <c r="G983" i="3"/>
  <c r="M983" i="3" s="1"/>
  <c r="N983" i="3" s="1"/>
  <c r="V983" i="3"/>
  <c r="A984" i="3"/>
  <c r="B984" i="3" s="1"/>
  <c r="I983" i="3" l="1"/>
  <c r="W983" i="3" s="1"/>
  <c r="J983" i="3"/>
  <c r="L983" i="3" s="1"/>
  <c r="P984" i="3"/>
  <c r="Q984" i="3" s="1"/>
  <c r="R984" i="3" s="1"/>
  <c r="S984" i="3" s="1"/>
  <c r="AA984" i="3"/>
  <c r="Z984" i="3"/>
  <c r="AC984" i="3"/>
  <c r="U983" i="3" l="1"/>
  <c r="Y982" i="3"/>
  <c r="T984" i="3"/>
  <c r="E984" i="3" l="1"/>
  <c r="H984" i="3" s="1"/>
  <c r="K984" i="3" s="1"/>
  <c r="AE984" i="3" s="1"/>
  <c r="AG984" i="3"/>
  <c r="D984" i="3"/>
  <c r="AH984" i="3"/>
  <c r="F984" i="3" l="1"/>
  <c r="G984" i="3"/>
  <c r="V984" i="3"/>
  <c r="A985" i="3"/>
  <c r="B985" i="3" s="1"/>
  <c r="AA985" i="3" l="1"/>
  <c r="Z985" i="3"/>
  <c r="P985" i="3"/>
  <c r="Q985" i="3" s="1"/>
  <c r="R985" i="3" s="1"/>
  <c r="S985" i="3" s="1"/>
  <c r="AD985" i="3"/>
  <c r="AC985" i="3"/>
  <c r="I984" i="3"/>
  <c r="W984" i="3" s="1"/>
  <c r="J984" i="3"/>
  <c r="AD984" i="3" s="1"/>
  <c r="M984" i="3"/>
  <c r="N984" i="3" s="1"/>
  <c r="T985" i="3" l="1"/>
  <c r="L984" i="3"/>
  <c r="AG985" i="3" l="1"/>
  <c r="AH985" i="3"/>
  <c r="U984" i="3"/>
  <c r="D985" i="3" s="1"/>
  <c r="Y983" i="3"/>
  <c r="G985" i="3" l="1"/>
  <c r="E985" i="3"/>
  <c r="H985" i="3" s="1"/>
  <c r="I985" i="3" l="1"/>
  <c r="J985" i="3"/>
  <c r="M985" i="3"/>
  <c r="N985" i="3" s="1"/>
  <c r="F985" i="3"/>
  <c r="K985" i="3"/>
  <c r="AE985" i="3" s="1"/>
  <c r="L985" i="3" l="1"/>
  <c r="V985" i="3"/>
  <c r="W985" i="3" s="1"/>
  <c r="A986" i="3"/>
  <c r="B986" i="3" s="1"/>
  <c r="U985" i="3" l="1"/>
  <c r="Y984" i="3"/>
  <c r="AC986" i="3"/>
  <c r="P986" i="3"/>
  <c r="Q986" i="3" s="1"/>
  <c r="R986" i="3" s="1"/>
  <c r="S986" i="3" s="1"/>
  <c r="Z986" i="3"/>
  <c r="AD986" i="3"/>
  <c r="AA986" i="3"/>
  <c r="T986" i="3" l="1"/>
  <c r="E986" i="3" s="1"/>
  <c r="H986" i="3" s="1"/>
  <c r="AG986" i="3" l="1"/>
  <c r="K986" i="3"/>
  <c r="AE986" i="3" s="1"/>
  <c r="AH986" i="3"/>
  <c r="D986" i="3"/>
  <c r="F986" i="3" l="1"/>
  <c r="G986" i="3"/>
  <c r="V986" i="3"/>
  <c r="A987" i="3"/>
  <c r="B987" i="3" s="1"/>
  <c r="Z987" i="3" l="1"/>
  <c r="AC987" i="3"/>
  <c r="P987" i="3"/>
  <c r="Q987" i="3" s="1"/>
  <c r="R987" i="3" s="1"/>
  <c r="S987" i="3" s="1"/>
  <c r="AD987" i="3"/>
  <c r="AA987" i="3"/>
  <c r="I986" i="3"/>
  <c r="W986" i="3" s="1"/>
  <c r="J986" i="3"/>
  <c r="M986" i="3"/>
  <c r="N986" i="3" s="1"/>
  <c r="L986" i="3" l="1"/>
  <c r="T987" i="3"/>
  <c r="U986" i="3" l="1"/>
  <c r="E987" i="3" s="1"/>
  <c r="H987" i="3" s="1"/>
  <c r="AH987" i="3"/>
  <c r="AG987" i="3"/>
  <c r="Y985" i="3"/>
  <c r="K987" i="3" l="1"/>
  <c r="AE987" i="3" s="1"/>
  <c r="D987" i="3"/>
  <c r="V987" i="3" l="1"/>
  <c r="A988" i="3"/>
  <c r="B988" i="3" s="1"/>
  <c r="F987" i="3"/>
  <c r="G987" i="3"/>
  <c r="I987" i="3" l="1"/>
  <c r="W987" i="3" s="1"/>
  <c r="J987" i="3"/>
  <c r="M987" i="3"/>
  <c r="N987" i="3" s="1"/>
  <c r="AC988" i="3"/>
  <c r="Z988" i="3"/>
  <c r="AA988" i="3"/>
  <c r="P988" i="3"/>
  <c r="Q988" i="3" s="1"/>
  <c r="R988" i="3" s="1"/>
  <c r="S988" i="3" s="1"/>
  <c r="L987" i="3" l="1"/>
  <c r="T988" i="3"/>
  <c r="AH988" i="3" l="1"/>
  <c r="U987" i="3"/>
  <c r="E988" i="3" s="1"/>
  <c r="H988" i="3" s="1"/>
  <c r="AG988" i="3"/>
  <c r="Y986" i="3"/>
  <c r="D988" i="3" l="1"/>
  <c r="G988" i="3" s="1"/>
  <c r="K988" i="3"/>
  <c r="AE988" i="3" s="1"/>
  <c r="F988" i="3" l="1"/>
  <c r="I988" i="3"/>
  <c r="J988" i="3"/>
  <c r="AD988" i="3" s="1"/>
  <c r="M988" i="3"/>
  <c r="N988" i="3" s="1"/>
  <c r="V988" i="3"/>
  <c r="A989" i="3"/>
  <c r="B989" i="3" s="1"/>
  <c r="W988" i="3" l="1"/>
  <c r="L988" i="3"/>
  <c r="AC989" i="3"/>
  <c r="AD989" i="3"/>
  <c r="P989" i="3"/>
  <c r="Q989" i="3" s="1"/>
  <c r="R989" i="3" s="1"/>
  <c r="S989" i="3" s="1"/>
  <c r="Z989" i="3"/>
  <c r="AA989" i="3"/>
  <c r="T989" i="3" l="1"/>
  <c r="U988" i="3"/>
  <c r="Y987" i="3"/>
  <c r="D989" i="3" l="1"/>
  <c r="G989" i="3" s="1"/>
  <c r="AG989" i="3"/>
  <c r="E989" i="3"/>
  <c r="H989" i="3" s="1"/>
  <c r="AH989" i="3"/>
  <c r="F989" i="3" l="1"/>
  <c r="I989" i="3"/>
  <c r="J989" i="3"/>
  <c r="M989" i="3"/>
  <c r="N989" i="3" s="1"/>
  <c r="K989" i="3"/>
  <c r="AE989" i="3" s="1"/>
  <c r="L989" i="3" l="1"/>
  <c r="V989" i="3"/>
  <c r="W989" i="3" s="1"/>
  <c r="A990" i="3"/>
  <c r="B990" i="3" s="1"/>
  <c r="U989" i="3" l="1"/>
  <c r="Y988" i="3"/>
  <c r="AC990" i="3"/>
  <c r="AD990" i="3"/>
  <c r="AA990" i="3"/>
  <c r="Z990" i="3"/>
  <c r="P990" i="3"/>
  <c r="Q990" i="3" s="1"/>
  <c r="R990" i="3" s="1"/>
  <c r="S990" i="3" s="1"/>
  <c r="T990" i="3" l="1"/>
  <c r="E990" i="3" s="1"/>
  <c r="H990" i="3" s="1"/>
  <c r="AH990" i="3" l="1"/>
  <c r="D990" i="3"/>
  <c r="G990" i="3" s="1"/>
  <c r="AG990" i="3"/>
  <c r="K990" i="3"/>
  <c r="AE990" i="3" s="1"/>
  <c r="F990" i="3" l="1"/>
  <c r="V990" i="3"/>
  <c r="A991" i="3"/>
  <c r="B991" i="3" s="1"/>
  <c r="I990" i="3"/>
  <c r="J990" i="3"/>
  <c r="M990" i="3"/>
  <c r="N990" i="3" s="1"/>
  <c r="L990" i="3" l="1"/>
  <c r="W990" i="3"/>
  <c r="AA991" i="3"/>
  <c r="AD991" i="3"/>
  <c r="P991" i="3"/>
  <c r="Q991" i="3" s="1"/>
  <c r="R991" i="3" s="1"/>
  <c r="S991" i="3" s="1"/>
  <c r="Z991" i="3"/>
  <c r="AC991" i="3"/>
  <c r="U990" i="3" l="1"/>
  <c r="Y989" i="3"/>
  <c r="T991" i="3"/>
  <c r="D991" i="3" l="1"/>
  <c r="G991" i="3" s="1"/>
  <c r="E991" i="3"/>
  <c r="H991" i="3" s="1"/>
  <c r="K991" i="3" s="1"/>
  <c r="AE991" i="3" s="1"/>
  <c r="AG991" i="3"/>
  <c r="AH991" i="3"/>
  <c r="F991" i="3" l="1"/>
  <c r="V991" i="3"/>
  <c r="A992" i="3"/>
  <c r="B992" i="3" s="1"/>
  <c r="I991" i="3"/>
  <c r="J991" i="3"/>
  <c r="M991" i="3"/>
  <c r="N991" i="3" s="1"/>
  <c r="W991" i="3" l="1"/>
  <c r="L991" i="3"/>
  <c r="AC992" i="3"/>
  <c r="AD992" i="3"/>
  <c r="Z992" i="3"/>
  <c r="AA992" i="3"/>
  <c r="P992" i="3"/>
  <c r="Q992" i="3" s="1"/>
  <c r="R992" i="3" s="1"/>
  <c r="S992" i="3" s="1"/>
  <c r="U991" i="3" l="1"/>
  <c r="Y990" i="3"/>
  <c r="T992" i="3"/>
  <c r="AG992" i="3" s="1"/>
  <c r="D992" i="3" l="1"/>
  <c r="AH992" i="3"/>
  <c r="E992" i="3"/>
  <c r="H992" i="3" s="1"/>
  <c r="K992" i="3" s="1"/>
  <c r="AE992" i="3" s="1"/>
  <c r="F992" i="3" l="1"/>
  <c r="G992" i="3"/>
  <c r="M992" i="3" s="1"/>
  <c r="N992" i="3" s="1"/>
  <c r="V992" i="3"/>
  <c r="A993" i="3"/>
  <c r="B993" i="3" s="1"/>
  <c r="I992" i="3" l="1"/>
  <c r="W992" i="3" s="1"/>
  <c r="J992" i="3"/>
  <c r="L992" i="3" s="1"/>
  <c r="AD993" i="3"/>
  <c r="Z993" i="3"/>
  <c r="AA993" i="3"/>
  <c r="P993" i="3"/>
  <c r="Q993" i="3" s="1"/>
  <c r="R993" i="3" s="1"/>
  <c r="S993" i="3" s="1"/>
  <c r="AC993" i="3"/>
  <c r="U992" i="3" l="1"/>
  <c r="Y991" i="3"/>
  <c r="T993" i="3"/>
  <c r="AH993" i="3" s="1"/>
  <c r="D993" i="3" l="1"/>
  <c r="G993" i="3" s="1"/>
  <c r="E993" i="3"/>
  <c r="H993" i="3" s="1"/>
  <c r="K993" i="3" s="1"/>
  <c r="AE993" i="3" s="1"/>
  <c r="AG993" i="3"/>
  <c r="F993" i="3" l="1"/>
  <c r="V993" i="3"/>
  <c r="A994" i="3"/>
  <c r="B994" i="3" s="1"/>
  <c r="I993" i="3"/>
  <c r="J993" i="3"/>
  <c r="M993" i="3"/>
  <c r="N993" i="3" s="1"/>
  <c r="L993" i="3" l="1"/>
  <c r="W993" i="3"/>
  <c r="AA994" i="3"/>
  <c r="P994" i="3"/>
  <c r="Q994" i="3" s="1"/>
  <c r="R994" i="3" s="1"/>
  <c r="S994" i="3" s="1"/>
  <c r="Z994" i="3"/>
  <c r="AC994" i="3"/>
  <c r="U993" i="3" l="1"/>
  <c r="Y992" i="3"/>
  <c r="T994" i="3"/>
  <c r="AH994" i="3" s="1"/>
  <c r="E994" i="3" l="1"/>
  <c r="H994" i="3" s="1"/>
  <c r="K994" i="3" s="1"/>
  <c r="AE994" i="3" s="1"/>
  <c r="D994" i="3"/>
  <c r="AG994" i="3"/>
  <c r="F994" i="3" l="1"/>
  <c r="G994" i="3"/>
  <c r="J994" i="3" s="1"/>
  <c r="AD994" i="3" s="1"/>
  <c r="V994" i="3"/>
  <c r="A995" i="3"/>
  <c r="B995" i="3" s="1"/>
  <c r="M994" i="3" l="1"/>
  <c r="N994" i="3" s="1"/>
  <c r="I994" i="3"/>
  <c r="W994" i="3" s="1"/>
  <c r="L994" i="3"/>
  <c r="AA995" i="3"/>
  <c r="AD995" i="3"/>
  <c r="P995" i="3"/>
  <c r="Q995" i="3" s="1"/>
  <c r="R995" i="3" s="1"/>
  <c r="S995" i="3" s="1"/>
  <c r="AC995" i="3"/>
  <c r="Z995" i="3"/>
  <c r="T995" i="3" l="1"/>
  <c r="U994" i="3"/>
  <c r="Y993" i="3"/>
  <c r="D995" i="3" l="1"/>
  <c r="G995" i="3" s="1"/>
  <c r="E995" i="3"/>
  <c r="H995" i="3" s="1"/>
  <c r="K995" i="3" s="1"/>
  <c r="AE995" i="3" s="1"/>
  <c r="AH995" i="3"/>
  <c r="AG995" i="3"/>
  <c r="F995" i="3" l="1"/>
  <c r="I995" i="3"/>
  <c r="J995" i="3"/>
  <c r="M995" i="3"/>
  <c r="N995" i="3" s="1"/>
  <c r="V995" i="3"/>
  <c r="A996" i="3"/>
  <c r="B996" i="3" s="1"/>
  <c r="W995" i="3" l="1"/>
  <c r="L995" i="3"/>
  <c r="Z996" i="3"/>
  <c r="AD996" i="3"/>
  <c r="P996" i="3"/>
  <c r="Q996" i="3" s="1"/>
  <c r="R996" i="3" s="1"/>
  <c r="S996" i="3" s="1"/>
  <c r="AA996" i="3"/>
  <c r="AC996" i="3"/>
  <c r="U995" i="3" l="1"/>
  <c r="Y994" i="3"/>
  <c r="T996" i="3"/>
  <c r="D996" i="3" l="1"/>
  <c r="G996" i="3" s="1"/>
  <c r="AG996" i="3"/>
  <c r="E996" i="3"/>
  <c r="H996" i="3" s="1"/>
  <c r="K996" i="3" s="1"/>
  <c r="AE996" i="3" s="1"/>
  <c r="AH996" i="3"/>
  <c r="F996" i="3" l="1"/>
  <c r="I996" i="3"/>
  <c r="J996" i="3"/>
  <c r="M996" i="3"/>
  <c r="N996" i="3" s="1"/>
  <c r="V996" i="3"/>
  <c r="A997" i="3"/>
  <c r="B997" i="3" s="1"/>
  <c r="AD997" i="3" l="1"/>
  <c r="P997" i="3"/>
  <c r="Q997" i="3" s="1"/>
  <c r="R997" i="3" s="1"/>
  <c r="S997" i="3" s="1"/>
  <c r="Z997" i="3"/>
  <c r="AA997" i="3"/>
  <c r="AC997" i="3"/>
  <c r="L996" i="3"/>
  <c r="W996" i="3"/>
  <c r="U996" i="3" l="1"/>
  <c r="Y995" i="3"/>
  <c r="T997" i="3"/>
  <c r="AH997" i="3" s="1"/>
  <c r="AG997" i="3" l="1"/>
  <c r="D997" i="3"/>
  <c r="E997" i="3"/>
  <c r="H997" i="3" s="1"/>
  <c r="K997" i="3" s="1"/>
  <c r="AE997" i="3" s="1"/>
  <c r="F997" i="3" l="1"/>
  <c r="G997" i="3"/>
  <c r="I997" i="3" s="1"/>
  <c r="V997" i="3"/>
  <c r="A998" i="3"/>
  <c r="B998" i="3" s="1"/>
  <c r="J997" i="3" l="1"/>
  <c r="L997" i="3" s="1"/>
  <c r="M997" i="3"/>
  <c r="N997" i="3" s="1"/>
  <c r="W997" i="3"/>
  <c r="Z998" i="3"/>
  <c r="P998" i="3"/>
  <c r="Q998" i="3" s="1"/>
  <c r="R998" i="3" s="1"/>
  <c r="S998" i="3" s="1"/>
  <c r="AC998" i="3"/>
  <c r="AA998" i="3"/>
  <c r="T998" i="3" l="1"/>
  <c r="AG998" i="3" s="1"/>
  <c r="U997" i="3"/>
  <c r="Y996" i="3"/>
  <c r="E998" i="3" l="1"/>
  <c r="H998" i="3" s="1"/>
  <c r="K998" i="3" s="1"/>
  <c r="AE998" i="3" s="1"/>
  <c r="AH998" i="3"/>
  <c r="D998" i="3"/>
  <c r="V998" i="3" l="1"/>
  <c r="A999" i="3"/>
  <c r="B999" i="3" s="1"/>
  <c r="F998" i="3"/>
  <c r="G998" i="3"/>
  <c r="I998" i="3" l="1"/>
  <c r="W998" i="3" s="1"/>
  <c r="J998" i="3"/>
  <c r="AD998" i="3" s="1"/>
  <c r="M998" i="3"/>
  <c r="N998" i="3" s="1"/>
  <c r="AD999" i="3"/>
  <c r="Z999" i="3"/>
  <c r="AC999" i="3"/>
  <c r="AA999" i="3"/>
  <c r="P999" i="3"/>
  <c r="Q999" i="3" s="1"/>
  <c r="R999" i="3" s="1"/>
  <c r="S999" i="3" s="1"/>
  <c r="T999" i="3" l="1"/>
  <c r="L998" i="3"/>
  <c r="AG999" i="3" l="1"/>
  <c r="U998" i="3"/>
  <c r="D999" i="3" s="1"/>
  <c r="AH999" i="3"/>
  <c r="Y997" i="3"/>
  <c r="E999" i="3" l="1"/>
  <c r="H999" i="3" s="1"/>
  <c r="K999" i="3" s="1"/>
  <c r="AE999" i="3" s="1"/>
  <c r="G999" i="3"/>
  <c r="F999" i="3" l="1"/>
  <c r="I999" i="3"/>
  <c r="J999" i="3"/>
  <c r="M999" i="3"/>
  <c r="N999" i="3" s="1"/>
  <c r="V999" i="3"/>
  <c r="A1000" i="3"/>
  <c r="B1000" i="3" s="1"/>
  <c r="W999" i="3" l="1"/>
  <c r="L999" i="3"/>
  <c r="AC1000" i="3"/>
  <c r="AD1000" i="3"/>
  <c r="P1000" i="3"/>
  <c r="Q1000" i="3" s="1"/>
  <c r="R1000" i="3" s="1"/>
  <c r="S1000" i="3" s="1"/>
  <c r="Z1000" i="3"/>
  <c r="AA1000" i="3"/>
  <c r="U999" i="3" l="1"/>
  <c r="Y998" i="3"/>
  <c r="T1000" i="3"/>
  <c r="AG1000" i="3" s="1"/>
  <c r="D1000" i="3" l="1"/>
  <c r="G1000" i="3" s="1"/>
  <c r="AH1000" i="3"/>
  <c r="E1000" i="3"/>
  <c r="H1000" i="3" s="1"/>
  <c r="K1000" i="3" s="1"/>
  <c r="AE1000" i="3" s="1"/>
  <c r="F1000" i="3" l="1"/>
  <c r="I1000" i="3"/>
  <c r="J1000" i="3"/>
  <c r="M1000" i="3"/>
  <c r="N1000" i="3" s="1"/>
  <c r="V1000" i="3"/>
  <c r="A1001" i="3"/>
  <c r="B1001" i="3" s="1"/>
  <c r="W1000" i="3" l="1"/>
  <c r="L1000" i="3"/>
  <c r="P1001" i="3"/>
  <c r="Q1001" i="3" s="1"/>
  <c r="R1001" i="3" s="1"/>
  <c r="S1001" i="3" s="1"/>
  <c r="Z1001" i="3"/>
  <c r="AC1001" i="3"/>
  <c r="AA1001" i="3"/>
  <c r="AD1001" i="3"/>
  <c r="U1000" i="3" l="1"/>
  <c r="Y999" i="3"/>
  <c r="T1001" i="3"/>
  <c r="D1001" i="3" l="1"/>
  <c r="G1001" i="3" s="1"/>
  <c r="E1001" i="3"/>
  <c r="H1001" i="3" s="1"/>
  <c r="AG1001" i="3"/>
  <c r="AH1001" i="3"/>
  <c r="F1001" i="3" l="1"/>
  <c r="I1001" i="3"/>
  <c r="J1001" i="3"/>
  <c r="M1001" i="3"/>
  <c r="N1001" i="3" s="1"/>
  <c r="K1001" i="3"/>
  <c r="AE1001" i="3" s="1"/>
  <c r="V1001" i="3" l="1"/>
  <c r="W1001" i="3" s="1"/>
  <c r="A1002" i="3"/>
  <c r="B1002" i="3" s="1"/>
  <c r="L1001" i="3"/>
  <c r="U1001" i="3" l="1"/>
  <c r="Y1000" i="3"/>
  <c r="AD1002" i="3"/>
  <c r="AA1002" i="3"/>
  <c r="Z1002" i="3"/>
  <c r="AC1002" i="3"/>
  <c r="P1002" i="3"/>
  <c r="Q1002" i="3" s="1"/>
  <c r="R1002" i="3" s="1"/>
  <c r="S1002" i="3" s="1"/>
  <c r="T1002" i="3" l="1"/>
  <c r="AG1002" i="3" s="1"/>
  <c r="AH1002" i="3" l="1"/>
  <c r="D1002" i="3"/>
  <c r="G1002" i="3" s="1"/>
  <c r="E1002" i="3"/>
  <c r="H1002" i="3" s="1"/>
  <c r="K1002" i="3" s="1"/>
  <c r="AE1002" i="3" s="1"/>
  <c r="F1002" i="3" l="1"/>
  <c r="I1002" i="3"/>
  <c r="J1002" i="3"/>
  <c r="M1002" i="3"/>
  <c r="N1002" i="3" s="1"/>
  <c r="V1002" i="3"/>
  <c r="A1003" i="3"/>
  <c r="B1003" i="3" s="1"/>
  <c r="W1002" i="3" l="1"/>
  <c r="L1002" i="3"/>
  <c r="AC1003" i="3"/>
  <c r="P1003" i="3"/>
  <c r="Q1003" i="3" s="1"/>
  <c r="R1003" i="3" s="1"/>
  <c r="S1003" i="3" s="1"/>
  <c r="AA1003" i="3"/>
  <c r="Z1003" i="3"/>
  <c r="AD1003" i="3"/>
  <c r="T1003" i="3" l="1"/>
  <c r="AH1003" i="3" s="1"/>
  <c r="U1002" i="3"/>
  <c r="Y1001" i="3"/>
  <c r="D1003" i="3" l="1"/>
  <c r="G1003" i="3" s="1"/>
  <c r="E1003" i="3"/>
  <c r="H1003" i="3" s="1"/>
  <c r="K1003" i="3" s="1"/>
  <c r="AE1003" i="3" s="1"/>
  <c r="AG1003" i="3"/>
  <c r="F1003" i="3" l="1"/>
  <c r="I1003" i="3"/>
  <c r="J1003" i="3"/>
  <c r="M1003" i="3"/>
  <c r="N1003" i="3" s="1"/>
  <c r="V1003" i="3"/>
  <c r="A1004" i="3"/>
  <c r="B1004" i="3" s="1"/>
  <c r="W1003" i="3" l="1"/>
  <c r="L1003" i="3"/>
  <c r="P1004" i="3"/>
  <c r="Q1004" i="3" s="1"/>
  <c r="R1004" i="3" s="1"/>
  <c r="S1004" i="3" s="1"/>
  <c r="T1004" i="3" s="1"/>
  <c r="AA1004" i="3"/>
  <c r="Z1004" i="3"/>
  <c r="AC1004" i="3"/>
  <c r="AG1004" i="3" l="1"/>
  <c r="AH1004" i="3"/>
  <c r="U1003" i="3"/>
  <c r="D1004" i="3" s="1"/>
  <c r="Y1002" i="3"/>
  <c r="J50" i="1"/>
  <c r="L50" i="1"/>
  <c r="I50" i="1"/>
  <c r="J26" i="1"/>
  <c r="K50" i="1"/>
  <c r="M50" i="1"/>
  <c r="K26" i="1"/>
  <c r="I26" i="1"/>
  <c r="K28" i="1"/>
  <c r="I48" i="1"/>
  <c r="L48" i="1"/>
  <c r="M48" i="1"/>
  <c r="K48" i="1"/>
  <c r="J48" i="1"/>
  <c r="I28" i="1"/>
  <c r="J28" i="1"/>
  <c r="E1004" i="3" l="1"/>
  <c r="H1004" i="3" s="1"/>
  <c r="K1004" i="3" s="1"/>
  <c r="AE1004" i="3" s="1"/>
  <c r="C125" i="1"/>
  <c r="C158" i="1"/>
  <c r="C33" i="1"/>
  <c r="C129" i="1"/>
  <c r="C124" i="1"/>
  <c r="C127" i="1"/>
  <c r="C35" i="1"/>
  <c r="J49" i="1" s="1"/>
  <c r="C132" i="1"/>
  <c r="C133" i="1" s="1"/>
  <c r="M26" i="1"/>
  <c r="I72" i="7"/>
  <c r="I73" i="7" s="1"/>
  <c r="I70" i="7"/>
  <c r="G1004" i="3"/>
  <c r="B129" i="1"/>
  <c r="B124" i="1"/>
  <c r="B128" i="1"/>
  <c r="D158" i="1"/>
  <c r="B125" i="1"/>
  <c r="B127" i="1"/>
  <c r="B130" i="1"/>
  <c r="B126" i="1"/>
  <c r="D33" i="1"/>
  <c r="D35" i="1"/>
  <c r="J51" i="1" s="1"/>
  <c r="C149" i="1"/>
  <c r="C150" i="1" s="1"/>
  <c r="C141" i="1"/>
  <c r="C144" i="1"/>
  <c r="C146" i="1"/>
  <c r="C142" i="1"/>
  <c r="B141" i="1"/>
  <c r="B144" i="1"/>
  <c r="B143" i="1"/>
  <c r="B147" i="1"/>
  <c r="B145" i="1"/>
  <c r="B142" i="1"/>
  <c r="B146" i="1"/>
  <c r="M28" i="1"/>
  <c r="H72" i="7"/>
  <c r="H73" i="7" s="1"/>
  <c r="H70" i="7"/>
  <c r="F1004" i="3" l="1"/>
  <c r="L25" i="1" s="1"/>
  <c r="H51" i="1"/>
  <c r="D34" i="1"/>
  <c r="L44" i="1"/>
  <c r="I1004" i="3"/>
  <c r="J1004" i="3"/>
  <c r="M1004" i="3"/>
  <c r="N1004" i="3" s="1"/>
  <c r="E31" i="7"/>
  <c r="H49" i="1"/>
  <c r="C34" i="1"/>
  <c r="V1004" i="3"/>
  <c r="L1004" i="3" l="1"/>
  <c r="Y1004" i="3" s="1"/>
  <c r="AD1004" i="3"/>
  <c r="W1004" i="3"/>
  <c r="B136" i="1"/>
  <c r="B138" i="1"/>
  <c r="B134" i="1"/>
  <c r="B133" i="1" s="1"/>
  <c r="F137" i="1"/>
  <c r="F138" i="1"/>
  <c r="C136" i="1"/>
  <c r="C138" i="1"/>
  <c r="K25" i="1"/>
  <c r="K44" i="1"/>
  <c r="B151" i="1"/>
  <c r="B150" i="1" s="1"/>
  <c r="B155" i="1"/>
  <c r="B153" i="1"/>
  <c r="H117" i="7"/>
  <c r="E62" i="7"/>
  <c r="F62" i="7" s="1"/>
  <c r="E120" i="7"/>
  <c r="F120" i="7" s="1"/>
  <c r="E119" i="7"/>
  <c r="F119" i="7" s="1"/>
  <c r="E133" i="7"/>
  <c r="E63" i="7"/>
  <c r="F63" i="7" s="1"/>
  <c r="H59" i="7"/>
  <c r="L31" i="7"/>
  <c r="E65" i="7"/>
  <c r="F65" i="7" s="1"/>
  <c r="Y1003" i="3" l="1"/>
  <c r="M43" i="1" s="1"/>
  <c r="U1004" i="3"/>
  <c r="J45" i="1"/>
  <c r="I43" i="1"/>
  <c r="K43" i="1"/>
  <c r="H27" i="1"/>
  <c r="J31" i="7" s="1"/>
  <c r="L45" i="1"/>
  <c r="M45" i="1"/>
  <c r="K45" i="1"/>
  <c r="H45" i="1"/>
  <c r="I46" i="1"/>
  <c r="H46" i="1"/>
  <c r="J27" i="1"/>
  <c r="D164" i="1" s="1"/>
  <c r="M46" i="1"/>
  <c r="K27" i="1"/>
  <c r="K31" i="7" s="1"/>
  <c r="K24" i="1"/>
  <c r="S26" i="6" s="1"/>
  <c r="L43" i="1"/>
  <c r="L46" i="1"/>
  <c r="I27" i="1"/>
  <c r="B164" i="1" s="1"/>
  <c r="J43" i="1"/>
  <c r="I45" i="1"/>
  <c r="J46" i="1"/>
  <c r="H29" i="1"/>
  <c r="F155" i="1" s="1"/>
  <c r="M31" i="7"/>
  <c r="E121" i="7"/>
  <c r="F121" i="7" s="1"/>
  <c r="H116" i="7"/>
  <c r="H58" i="7"/>
  <c r="E64" i="7"/>
  <c r="F64" i="7" s="1"/>
  <c r="H55" i="7" l="1"/>
  <c r="H112" i="7"/>
  <c r="H53" i="7"/>
  <c r="P32" i="1"/>
  <c r="P33" i="1"/>
  <c r="I67" i="7"/>
  <c r="H43" i="1"/>
  <c r="K46" i="1"/>
  <c r="H47" i="1"/>
  <c r="M47" i="1"/>
  <c r="L47" i="1"/>
  <c r="K47" i="1"/>
  <c r="K29" i="1" s="1"/>
  <c r="M29" i="1" s="1"/>
  <c r="J47" i="1"/>
  <c r="J29" i="1"/>
  <c r="P31" i="1"/>
  <c r="F197" i="1"/>
  <c r="F194" i="1"/>
  <c r="F175" i="1"/>
  <c r="D189" i="1"/>
  <c r="F165" i="1"/>
  <c r="F167" i="1"/>
  <c r="D169" i="1"/>
  <c r="D195" i="1"/>
  <c r="D197" i="1"/>
  <c r="D199" i="1"/>
  <c r="D176" i="1"/>
  <c r="D171" i="1"/>
  <c r="D200" i="1"/>
  <c r="D162" i="1"/>
  <c r="D188" i="1"/>
  <c r="F198" i="1"/>
  <c r="D168" i="1"/>
  <c r="D194" i="1"/>
  <c r="F187" i="1"/>
  <c r="F166" i="1"/>
  <c r="F174" i="1"/>
  <c r="F188" i="1"/>
  <c r="F172" i="1"/>
  <c r="F173" i="1"/>
  <c r="D167" i="1"/>
  <c r="F22" i="1"/>
  <c r="D180" i="1"/>
  <c r="F201" i="1"/>
  <c r="D163" i="1"/>
  <c r="F200" i="1"/>
  <c r="D165" i="1"/>
  <c r="D173" i="1"/>
  <c r="D184" i="1"/>
  <c r="F168" i="1"/>
  <c r="F169" i="1"/>
  <c r="D193" i="1"/>
  <c r="F186" i="1"/>
  <c r="F170" i="1"/>
  <c r="H44" i="7"/>
  <c r="D174" i="1"/>
  <c r="D172" i="1"/>
  <c r="F176" i="1"/>
  <c r="D182" i="1"/>
  <c r="D192" i="1"/>
  <c r="D186" i="1"/>
  <c r="F164" i="1"/>
  <c r="F199" i="1"/>
  <c r="D196" i="1"/>
  <c r="F183" i="1"/>
  <c r="D191" i="1"/>
  <c r="F189" i="1"/>
  <c r="F163" i="1"/>
  <c r="F177" i="1"/>
  <c r="D166" i="1"/>
  <c r="D187" i="1"/>
  <c r="D198" i="1"/>
  <c r="F195" i="1"/>
  <c r="H11" i="7"/>
  <c r="F185" i="1"/>
  <c r="D183" i="1"/>
  <c r="F190" i="1"/>
  <c r="F184" i="1"/>
  <c r="F191" i="1"/>
  <c r="F182" i="1"/>
  <c r="D181" i="1"/>
  <c r="D185" i="1"/>
  <c r="F196" i="1"/>
  <c r="D177" i="1"/>
  <c r="F193" i="1"/>
  <c r="F171" i="1"/>
  <c r="D190" i="1"/>
  <c r="F192" i="1"/>
  <c r="D175" i="1"/>
  <c r="F178" i="1"/>
  <c r="F181" i="1"/>
  <c r="D170" i="1"/>
  <c r="B172" i="1"/>
  <c r="B182" i="1"/>
  <c r="B171" i="1"/>
  <c r="B187" i="1"/>
  <c r="B165" i="1"/>
  <c r="B176" i="1"/>
  <c r="B167" i="1"/>
  <c r="B175" i="1"/>
  <c r="B173" i="1"/>
  <c r="B185" i="1"/>
  <c r="H113" i="7"/>
  <c r="B181" i="1"/>
  <c r="B200" i="1"/>
  <c r="B189" i="1"/>
  <c r="B166" i="1"/>
  <c r="B186" i="1"/>
  <c r="B169" i="1"/>
  <c r="H114" i="7"/>
  <c r="B199" i="1"/>
  <c r="B198" i="1"/>
  <c r="B180" i="1"/>
  <c r="B192" i="1"/>
  <c r="C159" i="1"/>
  <c r="B193" i="1"/>
  <c r="E128" i="7"/>
  <c r="F128" i="7" s="1"/>
  <c r="B195" i="1"/>
  <c r="B174" i="1"/>
  <c r="B183" i="1"/>
  <c r="B191" i="1"/>
  <c r="B194" i="1"/>
  <c r="B177" i="1"/>
  <c r="B184" i="1"/>
  <c r="B196" i="1"/>
  <c r="F136" i="1"/>
  <c r="C137" i="1" s="1"/>
  <c r="B190" i="1"/>
  <c r="B163" i="1"/>
  <c r="B170" i="1"/>
  <c r="B197" i="1"/>
  <c r="H31" i="7"/>
  <c r="B162" i="1"/>
  <c r="B168" i="1"/>
  <c r="H54" i="7"/>
  <c r="B188" i="1"/>
  <c r="B159" i="1"/>
  <c r="H57" i="7"/>
  <c r="F154" i="1"/>
  <c r="B152" i="1" l="1"/>
  <c r="H115" i="7"/>
  <c r="S25" i="6"/>
  <c r="D31" i="7"/>
  <c r="D159" i="1"/>
  <c r="H19" i="7"/>
  <c r="C121" i="1"/>
  <c r="P30" i="1"/>
  <c r="B121" i="1"/>
  <c r="H56" i="7"/>
  <c r="E129" i="7"/>
  <c r="F129" i="7" s="1"/>
  <c r="B154" i="1"/>
  <c r="C135" i="1"/>
  <c r="C154" i="1"/>
  <c r="C152" i="1"/>
  <c r="B135" i="1"/>
  <c r="B137" i="1"/>
  <c r="C1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M363040</author>
    <author>Léo Côme</author>
    <author>collectif</author>
  </authors>
  <commentList>
    <comment ref="M5" authorId="0" shapeId="0" xr:uid="{00000000-0006-0000-0000-000001000000}">
      <text>
        <r>
          <rPr>
            <sz val="8"/>
            <color indexed="8"/>
            <rFont val="Tahoma"/>
            <family val="2"/>
          </rPr>
          <t xml:space="preserve">Définir les propriétés du 1er changement de diamètre.
Laisser cette colonne vide si la fusée n'a pas de Jupe ou Rétreint.
</t>
        </r>
        <r>
          <rPr>
            <i/>
            <sz val="8"/>
            <color indexed="8"/>
            <rFont val="Tahoma"/>
            <family val="2"/>
          </rPr>
          <t>Set properties of the 1st diameter transition.
Leave this column blank if no skirt/shrink on the rocket.</t>
        </r>
      </text>
    </comment>
    <comment ref="O5" authorId="0" shapeId="0" xr:uid="{00000000-0006-0000-0000-000002000000}">
      <text>
        <r>
          <rPr>
            <sz val="8"/>
            <color indexed="8"/>
            <rFont val="Tahoma"/>
            <family val="2"/>
          </rPr>
          <t xml:space="preserve">Définir les propriétés du 2e changement de diamètre.
Laisser cette colonne vide si la fusée n'a pas de 2e Jupe ou Rétreint.
</t>
        </r>
        <r>
          <rPr>
            <i/>
            <sz val="8"/>
            <color indexed="8"/>
            <rFont val="Tahoma"/>
            <family val="2"/>
          </rPr>
          <t>Set properties of the 2nd diameter transition.
Leave this column blank if no 2nd skirt/shrink on the rocket.</t>
        </r>
      </text>
    </comment>
    <comment ref="L6" authorId="1" shapeId="0" xr:uid="{00000000-0006-0000-0000-000003000000}">
      <text>
        <r>
          <rPr>
            <b/>
            <sz val="8"/>
            <color indexed="8"/>
            <rFont val="Tahoma"/>
            <family val="2"/>
          </rPr>
          <t>Hauteur</t>
        </r>
        <r>
          <rPr>
            <sz val="8"/>
            <color indexed="8"/>
            <rFont val="Tahoma"/>
            <family val="2"/>
          </rPr>
          <t xml:space="preserve"> du changement de diamètre (cf. schéma sur fond bleu).
</t>
        </r>
        <r>
          <rPr>
            <i/>
            <sz val="8"/>
            <color indexed="8"/>
            <rFont val="Tahoma"/>
            <family val="2"/>
          </rPr>
          <t>Height of the tronconical transition (cf. blue schematic).</t>
        </r>
      </text>
    </comment>
    <comment ref="L7" authorId="1" shapeId="0" xr:uid="{00000000-0006-0000-0000-000004000000}">
      <text>
        <r>
          <rPr>
            <sz val="8"/>
            <color indexed="8"/>
            <rFont val="Tahoma"/>
            <family val="2"/>
          </rPr>
          <t xml:space="preserve">Diamètre de la partie située </t>
        </r>
        <r>
          <rPr>
            <b/>
            <sz val="8"/>
            <color indexed="8"/>
            <rFont val="Tahoma"/>
            <family val="2"/>
          </rPr>
          <t>au dessus</t>
        </r>
        <r>
          <rPr>
            <sz val="8"/>
            <color indexed="8"/>
            <rFont val="Tahoma"/>
            <family val="2"/>
          </rPr>
          <t xml:space="preserve"> du changement de diamètre.
</t>
        </r>
        <r>
          <rPr>
            <i/>
            <sz val="8"/>
            <color indexed="8"/>
            <rFont val="Tahoma"/>
            <family val="2"/>
          </rPr>
          <t>Upper Diameter (cf. blue schematic).</t>
        </r>
      </text>
    </comment>
    <comment ref="L8" authorId="1" shapeId="0" xr:uid="{00000000-0006-0000-0000-000005000000}">
      <text>
        <r>
          <rPr>
            <sz val="8"/>
            <color indexed="8"/>
            <rFont val="Tahoma"/>
            <family val="2"/>
          </rPr>
          <t xml:space="preserve">Diamètre de la partie située </t>
        </r>
        <r>
          <rPr>
            <b/>
            <sz val="8"/>
            <color indexed="8"/>
            <rFont val="Tahoma"/>
            <family val="2"/>
          </rPr>
          <t>en dessous</t>
        </r>
        <r>
          <rPr>
            <sz val="8"/>
            <color indexed="8"/>
            <rFont val="Tahoma"/>
            <family val="2"/>
          </rPr>
          <t xml:space="preserve"> du changement de diamètre.
</t>
        </r>
        <r>
          <rPr>
            <i/>
            <sz val="8"/>
            <color indexed="8"/>
            <rFont val="Tahoma"/>
            <family val="2"/>
          </rPr>
          <t>Lower Diameter (cf. blue schematic).</t>
        </r>
      </text>
    </comment>
    <comment ref="L9" authorId="0" shapeId="0" xr:uid="{00000000-0006-0000-0000-000006000000}">
      <text>
        <r>
          <rPr>
            <sz val="8"/>
            <color indexed="8"/>
            <rFont val="Tahoma"/>
            <family val="2"/>
          </rPr>
          <t xml:space="preserve">Distance entre la pointe de l'ogive et le haut du changement de diamètre.
</t>
        </r>
        <r>
          <rPr>
            <i/>
            <sz val="8"/>
            <color indexed="8"/>
            <rFont val="Tahoma"/>
            <family val="2"/>
          </rPr>
          <t>Distance betwenn the tip of the nose cone and the top of the skirt/shrink.</t>
        </r>
      </text>
    </comment>
    <comment ref="S12" authorId="0" shapeId="0" xr:uid="{00000000-0006-0000-0000-000008000000}">
      <text>
        <r>
          <rPr>
            <sz val="8"/>
            <color indexed="8"/>
            <rFont val="Tahoma"/>
            <family val="2"/>
          </rPr>
          <t xml:space="preserve">Distance entre la pointe de l'ogive et le </t>
        </r>
        <r>
          <rPr>
            <b/>
            <sz val="8"/>
            <color indexed="8"/>
            <rFont val="Tahoma"/>
            <family val="2"/>
          </rPr>
          <t>haut</t>
        </r>
        <r>
          <rPr>
            <sz val="8"/>
            <color indexed="8"/>
            <rFont val="Tahoma"/>
            <family val="2"/>
          </rPr>
          <t xml:space="preserve"> du propulseur (hors ergot).
</t>
        </r>
        <r>
          <rPr>
            <i/>
            <sz val="8"/>
            <color indexed="8"/>
            <rFont val="Tahoma"/>
            <family val="2"/>
          </rPr>
          <t xml:space="preserve">Distance between the tip of the nose cone and the </t>
        </r>
        <r>
          <rPr>
            <b/>
            <i/>
            <sz val="8"/>
            <color indexed="8"/>
            <rFont val="Tahoma"/>
            <family val="2"/>
          </rPr>
          <t xml:space="preserve">top </t>
        </r>
        <r>
          <rPr>
            <i/>
            <sz val="8"/>
            <color indexed="8"/>
            <rFont val="Tahoma"/>
            <family val="2"/>
          </rPr>
          <t>of the motor.</t>
        </r>
      </text>
    </comment>
    <comment ref="B13" authorId="0" shapeId="0" xr:uid="{00000000-0006-0000-0000-000007000000}">
      <text>
        <r>
          <rPr>
            <sz val="8"/>
            <color indexed="8"/>
            <rFont val="Tahoma"/>
            <family val="2"/>
          </rPr>
          <t xml:space="preserve">Position du </t>
        </r>
        <r>
          <rPr>
            <b/>
            <sz val="8"/>
            <color indexed="8"/>
            <rFont val="Tahoma"/>
            <family val="2"/>
          </rPr>
          <t>Centre de Masse</t>
        </r>
        <r>
          <rPr>
            <sz val="8"/>
            <color indexed="8"/>
            <rFont val="Tahoma"/>
            <family val="2"/>
          </rPr>
          <t xml:space="preserve"> (CdG) par rapport à la pointe de l'ogive,
à mesurer ou estimer sur votre fusée.
</t>
        </r>
        <r>
          <rPr>
            <i/>
            <sz val="8"/>
            <color indexed="8"/>
            <rFont val="Tahoma"/>
            <family val="2"/>
          </rPr>
          <t>Position of Center of Mass (CoG) from the top of the nose cone.</t>
        </r>
      </text>
    </comment>
    <comment ref="L13" authorId="1" shapeId="0" xr:uid="{00000000-0006-0000-0000-00000A000000}">
      <text>
        <r>
          <rPr>
            <sz val="8"/>
            <color indexed="8"/>
            <rFont val="Tahoma"/>
            <family val="2"/>
          </rPr>
          <t xml:space="preserve">Centre de Masse du propulseur par rapport au haut du propulseur.
</t>
        </r>
        <r>
          <rPr>
            <i/>
            <sz val="8"/>
            <color indexed="8"/>
            <rFont val="Tahoma"/>
            <family val="2"/>
          </rPr>
          <t>Motor Center of Mass, mesured from top of motor.</t>
        </r>
      </text>
    </comment>
    <comment ref="B14" authorId="0" shapeId="0" xr:uid="{00000000-0006-0000-0000-000009000000}">
      <text>
        <r>
          <rPr>
            <sz val="8"/>
            <color indexed="8"/>
            <rFont val="Tahoma"/>
            <family val="2"/>
          </rPr>
          <t xml:space="preserve">Longueur totale du fuselage avec l'ogive,
hors propu hors antenne hors ailerons.
</t>
        </r>
        <r>
          <rPr>
            <i/>
            <sz val="8"/>
            <color indexed="8"/>
            <rFont val="Tahoma"/>
            <family val="2"/>
          </rPr>
          <t>Total length of the body including nose cone.</t>
        </r>
      </text>
    </comment>
    <comment ref="S14" authorId="0" shapeId="0" xr:uid="{00000000-0006-0000-0000-00000C000000}">
      <text>
        <r>
          <rPr>
            <sz val="8"/>
            <color indexed="8"/>
            <rFont val="Tahoma"/>
            <family val="2"/>
          </rPr>
          <t xml:space="preserve">Distance entre la pointe de l'ogive et le </t>
        </r>
        <r>
          <rPr>
            <b/>
            <sz val="8"/>
            <color indexed="8"/>
            <rFont val="Tahoma"/>
            <family val="2"/>
          </rPr>
          <t>bas</t>
        </r>
        <r>
          <rPr>
            <sz val="8"/>
            <color indexed="8"/>
            <rFont val="Tahoma"/>
            <family val="2"/>
          </rPr>
          <t xml:space="preserve"> du propulseur (hors tuyère).
</t>
        </r>
        <r>
          <rPr>
            <i/>
            <sz val="8"/>
            <color indexed="8"/>
            <rFont val="Tahoma"/>
            <family val="2"/>
          </rPr>
          <t xml:space="preserve">Distance between the tip of the nose cone and the </t>
        </r>
        <r>
          <rPr>
            <b/>
            <i/>
            <sz val="8"/>
            <color indexed="8"/>
            <rFont val="Tahoma"/>
            <family val="2"/>
          </rPr>
          <t>bottom</t>
        </r>
        <r>
          <rPr>
            <i/>
            <sz val="8"/>
            <color indexed="8"/>
            <rFont val="Tahoma"/>
            <family val="2"/>
          </rPr>
          <t xml:space="preserve"> of the motor.</t>
        </r>
      </text>
    </comment>
    <comment ref="B15" authorId="0" shapeId="0" xr:uid="{00000000-0006-0000-0000-00000B000000}">
      <text>
        <r>
          <rPr>
            <sz val="8"/>
            <color indexed="8"/>
            <rFont val="Tahoma"/>
            <family val="2"/>
          </rPr>
          <t xml:space="preserve">Diamètre de référence, utilisé pour calculer : Cnα, Finesse, Marge Statique.
Par défaut D_réf = D_ogive ; on peux écraser avec le diamètre "principal".
</t>
        </r>
        <r>
          <rPr>
            <i/>
            <sz val="8"/>
            <color indexed="8"/>
            <rFont val="Tahoma"/>
            <family val="2"/>
          </rPr>
          <t>Reference Diameter, used to compute: Cnα, Finesse, Static Margin.
By default D_ref = D_ogive ; one can overwrtie with the "main" diameter.</t>
        </r>
      </text>
    </comment>
    <comment ref="L15" authorId="1" shapeId="0" xr:uid="{00000000-0006-0000-0000-00000D000000}">
      <text>
        <r>
          <rPr>
            <sz val="8"/>
            <color indexed="8"/>
            <rFont val="Tahoma"/>
            <family val="2"/>
          </rPr>
          <t xml:space="preserve">Les positions des </t>
        </r>
        <r>
          <rPr>
            <sz val="8"/>
            <color indexed="12"/>
            <rFont val="Tahoma"/>
            <family val="2"/>
          </rPr>
          <t>Centres de Masse</t>
        </r>
        <r>
          <rPr>
            <sz val="8"/>
            <color indexed="8"/>
            <rFont val="Tahoma"/>
            <family val="2"/>
          </rPr>
          <t xml:space="preserve"> de la fusée avec propulseur plein et vide
sont représentées sur le schéma de la fusée par un </t>
        </r>
        <r>
          <rPr>
            <sz val="8"/>
            <color indexed="12"/>
            <rFont val="Tahoma"/>
            <family val="2"/>
          </rPr>
          <t>segment vertical bleu</t>
        </r>
        <r>
          <rPr>
            <sz val="8"/>
            <color indexed="8"/>
            <rFont val="Tahoma"/>
            <family val="2"/>
          </rPr>
          <t xml:space="preserve">.
</t>
        </r>
        <r>
          <rPr>
            <i/>
            <sz val="8"/>
            <color indexed="8"/>
            <rFont val="Tahoma"/>
            <family val="2"/>
          </rPr>
          <t xml:space="preserve">Rocket Center of Mass are shown whith a </t>
        </r>
        <r>
          <rPr>
            <i/>
            <sz val="8"/>
            <color indexed="12"/>
            <rFont val="Tahoma"/>
            <family val="2"/>
          </rPr>
          <t>blue segment</t>
        </r>
        <r>
          <rPr>
            <i/>
            <sz val="8"/>
            <color indexed="8"/>
            <rFont val="Tahoma"/>
            <family val="2"/>
          </rPr>
          <t xml:space="preserve"> in Rocket schematic.</t>
        </r>
      </text>
    </comment>
    <comment ref="S17" authorId="0" shapeId="0" xr:uid="{00000000-0006-0000-0000-00000E000000}">
      <text>
        <r>
          <rPr>
            <sz val="8"/>
            <color indexed="8"/>
            <rFont val="Tahoma"/>
            <family val="2"/>
          </rPr>
          <t xml:space="preserve">Distance entre la pointe de l'ogive et le point </t>
        </r>
        <r>
          <rPr>
            <b/>
            <sz val="8"/>
            <color indexed="8"/>
            <rFont val="Tahoma"/>
            <family val="2"/>
          </rPr>
          <t>supérieur</t>
        </r>
        <r>
          <rPr>
            <sz val="8"/>
            <color indexed="8"/>
            <rFont val="Tahoma"/>
            <family val="2"/>
          </rPr>
          <t xml:space="preserve"> de l'encastrement des ailerons.
</t>
        </r>
        <r>
          <rPr>
            <i/>
            <sz val="8"/>
            <color indexed="8"/>
            <rFont val="Tahoma"/>
            <family val="2"/>
          </rPr>
          <t xml:space="preserve">Distance between the tip of the nose and the </t>
        </r>
        <r>
          <rPr>
            <b/>
            <i/>
            <sz val="8"/>
            <color indexed="8"/>
            <rFont val="Tahoma"/>
            <family val="2"/>
          </rPr>
          <t>upper</t>
        </r>
        <r>
          <rPr>
            <i/>
            <sz val="8"/>
            <color indexed="8"/>
            <rFont val="Tahoma"/>
            <family val="2"/>
          </rPr>
          <t xml:space="preserve"> point of fins attachment on the rocket.</t>
        </r>
      </text>
    </comment>
    <comment ref="S18" authorId="1" shapeId="0" xr:uid="{00000000-0006-0000-0000-000010000000}">
      <text>
        <r>
          <rPr>
            <sz val="8"/>
            <color indexed="8"/>
            <rFont val="Tahoma"/>
            <family val="2"/>
          </rPr>
          <t>Longueur de l'</t>
        </r>
        <r>
          <rPr>
            <b/>
            <sz val="8"/>
            <color indexed="8"/>
            <rFont val="Tahoma"/>
            <family val="2"/>
          </rPr>
          <t>e</t>
        </r>
        <r>
          <rPr>
            <b/>
            <u/>
            <sz val="8"/>
            <color indexed="8"/>
            <rFont val="Tahoma"/>
            <family val="2"/>
          </rPr>
          <t>m</t>
        </r>
        <r>
          <rPr>
            <b/>
            <sz val="8"/>
            <color indexed="8"/>
            <rFont val="Tahoma"/>
            <family val="2"/>
          </rPr>
          <t>planture</t>
        </r>
        <r>
          <rPr>
            <sz val="8"/>
            <color indexed="8"/>
            <rFont val="Tahoma"/>
            <family val="2"/>
          </rPr>
          <t xml:space="preserve"> d'un aileron.
</t>
        </r>
        <r>
          <rPr>
            <i/>
            <sz val="8"/>
            <color indexed="8"/>
            <rFont val="Tahoma"/>
            <family val="2"/>
          </rPr>
          <t>Root edge length of one fin.</t>
        </r>
      </text>
    </comment>
    <comment ref="B19" authorId="0" shapeId="0" xr:uid="{00000000-0006-0000-0000-00000F000000}">
      <text>
        <r>
          <rPr>
            <sz val="8"/>
            <color indexed="8"/>
            <rFont val="Tahoma"/>
            <family val="2"/>
          </rPr>
          <t xml:space="preserve">Distance entre la pointe de l'ogive et le </t>
        </r>
        <r>
          <rPr>
            <b/>
            <sz val="8"/>
            <color indexed="8"/>
            <rFont val="Tahoma"/>
            <family val="2"/>
          </rPr>
          <t>bas</t>
        </r>
        <r>
          <rPr>
            <sz val="8"/>
            <color indexed="8"/>
            <rFont val="Tahoma"/>
            <family val="2"/>
          </rPr>
          <t xml:space="preserve"> du propulseur (hors tuyère).
</t>
        </r>
        <r>
          <rPr>
            <i/>
            <sz val="8"/>
            <color indexed="8"/>
            <rFont val="Tahoma"/>
            <family val="2"/>
          </rPr>
          <t xml:space="preserve">Distance between the tip of the nose cone and the </t>
        </r>
        <r>
          <rPr>
            <b/>
            <i/>
            <sz val="8"/>
            <color indexed="8"/>
            <rFont val="Tahoma"/>
            <family val="2"/>
          </rPr>
          <t>bottom</t>
        </r>
        <r>
          <rPr>
            <i/>
            <sz val="8"/>
            <color indexed="8"/>
            <rFont val="Tahoma"/>
            <family val="2"/>
          </rPr>
          <t xml:space="preserve"> of the motor.</t>
        </r>
      </text>
    </comment>
    <comment ref="S19" authorId="0" shapeId="0" xr:uid="{00000000-0006-0000-0000-000011000000}">
      <text>
        <r>
          <rPr>
            <sz val="8"/>
            <color indexed="8"/>
            <rFont val="Tahoma"/>
            <family val="2"/>
          </rPr>
          <t xml:space="preserve">Distance entre la pointe de l'ogive et le point </t>
        </r>
        <r>
          <rPr>
            <b/>
            <sz val="8"/>
            <color indexed="8"/>
            <rFont val="Tahoma"/>
            <family val="2"/>
          </rPr>
          <t>inférieur</t>
        </r>
        <r>
          <rPr>
            <sz val="8"/>
            <color indexed="8"/>
            <rFont val="Tahoma"/>
            <family val="2"/>
          </rPr>
          <t xml:space="preserve"> de l'encastrement des ailerons.
</t>
        </r>
        <r>
          <rPr>
            <i/>
            <sz val="8"/>
            <color indexed="8"/>
            <rFont val="Tahoma"/>
            <family val="2"/>
          </rPr>
          <t xml:space="preserve">Distance between the tip of the nose and the </t>
        </r>
        <r>
          <rPr>
            <b/>
            <i/>
            <sz val="8"/>
            <color indexed="8"/>
            <rFont val="Tahoma"/>
            <family val="2"/>
          </rPr>
          <t>lower</t>
        </r>
        <r>
          <rPr>
            <i/>
            <sz val="8"/>
            <color indexed="8"/>
            <rFont val="Tahoma"/>
            <family val="2"/>
          </rPr>
          <t xml:space="preserve"> point of fins attachment on the rocket.</t>
        </r>
      </text>
    </comment>
    <comment ref="B24" authorId="0" shapeId="0" xr:uid="{00000000-0006-0000-0000-000012000000}">
      <text>
        <r>
          <rPr>
            <sz val="8"/>
            <color indexed="8"/>
            <rFont val="Tahoma"/>
            <family val="2"/>
          </rPr>
          <t xml:space="preserve">Diamètre à la base de l'ogive.
</t>
        </r>
        <r>
          <rPr>
            <i/>
            <sz val="8"/>
            <color indexed="8"/>
            <rFont val="Tahoma"/>
            <family val="2"/>
          </rPr>
          <t>Diameter at the basement of the nose cone.</t>
        </r>
      </text>
    </comment>
    <comment ref="E25" authorId="1" shapeId="0" xr:uid="{00000000-0006-0000-0000-000013000000}">
      <text>
        <r>
          <rPr>
            <sz val="8"/>
            <color indexed="8"/>
            <rFont val="Tahoma"/>
            <family val="2"/>
          </rPr>
          <t xml:space="preserve">Les parties masquées des ailerons du bas sont représentées 
sur le schéma de la fusée par des </t>
        </r>
        <r>
          <rPr>
            <sz val="8"/>
            <color indexed="10"/>
            <rFont val="Tahoma"/>
            <family val="2"/>
          </rPr>
          <t>zones en rouge</t>
        </r>
        <r>
          <rPr>
            <sz val="8"/>
            <color indexed="8"/>
            <rFont val="Tahoma"/>
            <family val="2"/>
          </rPr>
          <t xml:space="preserve">.
Ce sont les parties situées juste en dessous des ailerons du haut.
</t>
        </r>
        <r>
          <rPr>
            <i/>
            <sz val="8"/>
            <color indexed="8"/>
            <rFont val="Tahoma"/>
            <family val="2"/>
          </rPr>
          <t xml:space="preserve">The fin-fin interaction zone is located just below the upper fins,
shown in </t>
        </r>
        <r>
          <rPr>
            <i/>
            <sz val="8"/>
            <color indexed="10"/>
            <rFont val="Tahoma"/>
            <family val="2"/>
          </rPr>
          <t>red</t>
        </r>
        <r>
          <rPr>
            <i/>
            <sz val="8"/>
            <color indexed="8"/>
            <rFont val="Tahoma"/>
            <family val="2"/>
          </rPr>
          <t xml:space="preserve"> in the Rocket schematic.</t>
        </r>
      </text>
    </comment>
    <comment ref="F27" authorId="0" shapeId="0" xr:uid="{00000000-0006-0000-0000-000015000000}">
      <text>
        <r>
          <rPr>
            <sz val="8"/>
            <color indexed="8"/>
            <rFont val="Tahoma"/>
            <family val="2"/>
          </rPr>
          <t xml:space="preserve">La </t>
        </r>
        <r>
          <rPr>
            <b/>
            <sz val="8"/>
            <color indexed="8"/>
            <rFont val="Tahoma"/>
            <family val="2"/>
          </rPr>
          <t>Finesse</t>
        </r>
        <r>
          <rPr>
            <sz val="8"/>
            <color indexed="8"/>
            <rFont val="Tahoma"/>
            <family val="2"/>
          </rPr>
          <t xml:space="preserve"> représente l'allongement de la fusée, rapport Longueur/Diamètre.
</t>
        </r>
        <r>
          <rPr>
            <i/>
            <sz val="8"/>
            <color indexed="8"/>
            <rFont val="Tahoma"/>
            <family val="2"/>
          </rPr>
          <t>Finesse represents the relative length of the rocket. Finesse = L/D</t>
        </r>
      </text>
    </comment>
    <comment ref="B28" authorId="1" shapeId="0" xr:uid="{00000000-0006-0000-0000-000014000000}">
      <text>
        <r>
          <rPr>
            <sz val="8"/>
            <color indexed="8"/>
            <rFont val="Tahoma"/>
            <family val="2"/>
          </rPr>
          <t>Longueur de l'</t>
        </r>
        <r>
          <rPr>
            <b/>
            <sz val="8"/>
            <color indexed="8"/>
            <rFont val="Tahoma"/>
            <family val="2"/>
          </rPr>
          <t>e</t>
        </r>
        <r>
          <rPr>
            <b/>
            <u/>
            <sz val="8"/>
            <color indexed="8"/>
            <rFont val="Tahoma"/>
            <family val="2"/>
          </rPr>
          <t>m</t>
        </r>
        <r>
          <rPr>
            <b/>
            <sz val="8"/>
            <color indexed="8"/>
            <rFont val="Tahoma"/>
            <family val="2"/>
          </rPr>
          <t>planture</t>
        </r>
        <r>
          <rPr>
            <sz val="8"/>
            <color indexed="8"/>
            <rFont val="Tahoma"/>
            <family val="2"/>
          </rPr>
          <t xml:space="preserve"> d'un aileron.
</t>
        </r>
        <r>
          <rPr>
            <i/>
            <sz val="8"/>
            <color indexed="8"/>
            <rFont val="Tahoma"/>
            <family val="2"/>
          </rPr>
          <t>Root edge length of one fin.</t>
        </r>
      </text>
    </comment>
    <comment ref="F28" authorId="0" shapeId="0" xr:uid="{00000000-0006-0000-0000-000017000000}">
      <text>
        <r>
          <rPr>
            <sz val="8"/>
            <color indexed="8"/>
            <rFont val="Tahoma"/>
            <family val="2"/>
          </rPr>
          <t xml:space="preserve">Le gradient de </t>
        </r>
        <r>
          <rPr>
            <b/>
            <sz val="8"/>
            <color indexed="16"/>
            <rFont val="Tahoma"/>
            <family val="2"/>
          </rPr>
          <t>Portance</t>
        </r>
        <r>
          <rPr>
            <sz val="8"/>
            <color indexed="8"/>
            <rFont val="Tahoma"/>
            <family val="2"/>
          </rPr>
          <t xml:space="preserve"> Cnα indique l'efficacité des ailerons.
Pour l'augmenter, il faut augmenter la taille des ailerons, et inversement.
</t>
        </r>
        <r>
          <rPr>
            <i/>
            <sz val="8"/>
            <color indexed="16"/>
            <rFont val="Tahoma"/>
            <family val="2"/>
          </rPr>
          <t>Lift</t>
        </r>
        <r>
          <rPr>
            <i/>
            <sz val="8"/>
            <color indexed="8"/>
            <rFont val="Tahoma"/>
            <family val="2"/>
          </rPr>
          <t xml:space="preserve"> gradient, Cnα, represents the fins efficiency. 
To increase it, one must increase the size of the fins, and conversely.</t>
        </r>
      </text>
    </comment>
    <comment ref="B29" authorId="1" shapeId="0" xr:uid="{00000000-0006-0000-0000-000016000000}">
      <text>
        <r>
          <rPr>
            <sz val="8"/>
            <color indexed="8"/>
            <rFont val="Tahoma"/>
            <family val="2"/>
          </rPr>
          <t xml:space="preserve">Longueur du </t>
        </r>
        <r>
          <rPr>
            <b/>
            <sz val="8"/>
            <color indexed="8"/>
            <rFont val="Tahoma"/>
            <family val="2"/>
          </rPr>
          <t>saumo</t>
        </r>
        <r>
          <rPr>
            <b/>
            <u/>
            <sz val="8"/>
            <color indexed="8"/>
            <rFont val="Tahoma"/>
            <family val="2"/>
          </rPr>
          <t>n</t>
        </r>
        <r>
          <rPr>
            <sz val="8"/>
            <color indexed="8"/>
            <rFont val="Tahoma"/>
            <family val="2"/>
          </rPr>
          <t xml:space="preserve"> d'un aileron.
</t>
        </r>
        <r>
          <rPr>
            <i/>
            <sz val="8"/>
            <color indexed="8"/>
            <rFont val="Tahoma"/>
            <family val="2"/>
          </rPr>
          <t>Tip edge length of one fin.</t>
        </r>
      </text>
    </comment>
    <comment ref="F29" authorId="0" shapeId="0" xr:uid="{00000000-0006-0000-0000-000019000000}">
      <text>
        <r>
          <rPr>
            <sz val="8"/>
            <color indexed="8"/>
            <rFont val="Tahoma"/>
            <family val="2"/>
          </rPr>
          <t xml:space="preserve">La </t>
        </r>
        <r>
          <rPr>
            <b/>
            <sz val="8"/>
            <color indexed="8"/>
            <rFont val="Tahoma"/>
            <family val="2"/>
          </rPr>
          <t>Marge Statique</t>
        </r>
        <r>
          <rPr>
            <sz val="8"/>
            <color indexed="8"/>
            <rFont val="Tahoma"/>
            <family val="2"/>
          </rPr>
          <t xml:space="preserve">, MS, est la distance entre le Centre de Masse et le Centre de Pression, 
exprimée en nombre de Diamètre de Référence, pour une fusée avec propulseur plein puis vide.
Pour augmenter la MS, il faut soit :
- abaisser le Centre de Portance (position des ailerons)
- rehausser le Centre de Masse
</t>
        </r>
        <r>
          <rPr>
            <i/>
            <sz val="8"/>
            <color indexed="8"/>
            <rFont val="Tahoma"/>
            <family val="2"/>
          </rPr>
          <t>Static Margin, MS, is the distance between the Center of Mass and the Center of Pressure, 
measured in number of reference diameter, for a rocket with loaded motor, then empty motor.
In order to increase MS, one must either:
- lower the Center of Pressure (position of fins)
- Move up the Center of Mass</t>
        </r>
      </text>
    </comment>
    <comment ref="B30" authorId="1" shapeId="0" xr:uid="{00000000-0006-0000-0000-000018000000}">
      <text>
        <r>
          <rPr>
            <b/>
            <sz val="8"/>
            <color indexed="8"/>
            <rFont val="Tahoma"/>
            <family val="2"/>
          </rPr>
          <t>Flèche</t>
        </r>
        <r>
          <rPr>
            <sz val="8"/>
            <color indexed="8"/>
            <rFont val="Tahoma"/>
            <family val="2"/>
          </rPr>
          <t xml:space="preserve"> du bord d'attaque (négatif si besoin).
</t>
        </r>
        <r>
          <rPr>
            <i/>
            <sz val="8"/>
            <color indexed="8"/>
            <rFont val="Tahoma"/>
            <family val="2"/>
          </rPr>
          <t>Offset of the Leading edge.</t>
        </r>
      </text>
    </comment>
    <comment ref="F30" authorId="0" shapeId="0" xr:uid="{00000000-0006-0000-0000-00001B000000}">
      <text>
        <r>
          <rPr>
            <sz val="8"/>
            <color indexed="8"/>
            <rFont val="Tahoma"/>
            <family val="2"/>
          </rPr>
          <t xml:space="preserve">Le </t>
        </r>
        <r>
          <rPr>
            <b/>
            <sz val="8"/>
            <color indexed="8"/>
            <rFont val="Tahoma"/>
            <family val="2"/>
          </rPr>
          <t>produit</t>
        </r>
        <r>
          <rPr>
            <sz val="8"/>
            <color indexed="8"/>
            <rFont val="Tahoma"/>
            <family val="2"/>
          </rPr>
          <t xml:space="preserve"> MS*Cnα représente le </t>
        </r>
        <r>
          <rPr>
            <b/>
            <sz val="8"/>
            <color indexed="8"/>
            <rFont val="Tahoma"/>
            <family val="2"/>
          </rPr>
          <t>couple</t>
        </r>
        <r>
          <rPr>
            <sz val="8"/>
            <color indexed="8"/>
            <rFont val="Tahoma"/>
            <family val="2"/>
          </rPr>
          <t xml:space="preserve"> de rappel de la Portance.
Pour augmenter le produit, il faut augmenter la MS et/ou le Cnα, et inversement.
</t>
        </r>
        <r>
          <rPr>
            <i/>
            <sz val="8"/>
            <color indexed="8"/>
            <rFont val="Tahoma"/>
            <family val="2"/>
          </rPr>
          <t>The product MS*Cnα represents the lift torque.
To increase it, one must increase the Static Margin and/or the Cnα, and conversely.</t>
        </r>
      </text>
    </comment>
    <comment ref="B31" authorId="1" shapeId="0" xr:uid="{00000000-0006-0000-0000-00001A000000}">
      <text>
        <r>
          <rPr>
            <b/>
            <u/>
            <sz val="8"/>
            <color indexed="8"/>
            <rFont val="Tahoma"/>
            <family val="2"/>
          </rPr>
          <t>E</t>
        </r>
        <r>
          <rPr>
            <b/>
            <sz val="8"/>
            <color indexed="8"/>
            <rFont val="Tahoma"/>
            <family val="2"/>
          </rPr>
          <t>nvergure</t>
        </r>
        <r>
          <rPr>
            <sz val="8"/>
            <color indexed="8"/>
            <rFont val="Tahoma"/>
            <family val="2"/>
          </rPr>
          <t xml:space="preserve"> d'un aileron.
</t>
        </r>
        <r>
          <rPr>
            <i/>
            <sz val="8"/>
            <color indexed="8"/>
            <rFont val="Tahoma"/>
            <family val="2"/>
          </rPr>
          <t>Span of one fin.</t>
        </r>
      </text>
    </comment>
    <comment ref="F31" authorId="0" shapeId="0" xr:uid="{00000000-0006-0000-0000-00001C000000}">
      <text>
        <r>
          <rPr>
            <sz val="8"/>
            <color indexed="8"/>
            <rFont val="Tahoma"/>
            <family val="2"/>
          </rPr>
          <t xml:space="preserve">Le Xcp est la </t>
        </r>
        <r>
          <rPr>
            <b/>
            <sz val="8"/>
            <color indexed="16"/>
            <rFont val="Tahoma"/>
            <family val="2"/>
          </rPr>
          <t>position du Centre de Poussée Aérodynamique</t>
        </r>
        <r>
          <rPr>
            <sz val="8"/>
            <color indexed="8"/>
            <rFont val="Tahoma"/>
            <family val="2"/>
          </rPr>
          <t xml:space="preserve"> (CPA), 
aussi appelé Centre de Pression (CP), Centre Latéral de Poussée (CLP), 
ou Foyer, exprimée par rapport à la pointe de l'ogive.
</t>
        </r>
        <r>
          <rPr>
            <i/>
            <sz val="8"/>
            <color indexed="8"/>
            <rFont val="Tahoma"/>
            <family val="2"/>
          </rPr>
          <t>Xcp is the location of the Aerodynamics Center of Pressure, 
measured from the tip of the nose cone.</t>
        </r>
      </text>
    </comment>
    <comment ref="F32" authorId="2" shapeId="0" xr:uid="{00000000-0006-0000-0000-00001D000000}">
      <text>
        <r>
          <rPr>
            <sz val="8"/>
            <color indexed="8"/>
            <rFont val="Tahoma"/>
            <family val="2"/>
          </rPr>
          <t xml:space="preserve">Cette Marge Statique est la distance entre le Centre de Masse et le Centre de Pression, 
exprimée en </t>
        </r>
        <r>
          <rPr>
            <b/>
            <sz val="8"/>
            <color indexed="8"/>
            <rFont val="Tahoma"/>
            <family val="2"/>
          </rPr>
          <t>% de la Longueur</t>
        </r>
        <r>
          <rPr>
            <sz val="8"/>
            <color indexed="8"/>
            <rFont val="Tahoma"/>
            <family val="2"/>
          </rPr>
          <t xml:space="preserve"> de la fusée, pour une fusée avec propulseur plein puis vide.
</t>
        </r>
        <r>
          <rPr>
            <i/>
            <sz val="8"/>
            <color indexed="8"/>
            <rFont val="Tahoma"/>
            <family val="2"/>
          </rPr>
          <t>This Static Margin is the distance between the Center of Mass and the Center of Pressure, 
measured in % of rocket length, for a rocket with loaded motor, then empty motor.</t>
        </r>
      </text>
    </comment>
    <comment ref="B34" authorId="0" shapeId="0" xr:uid="{00000000-0006-0000-0000-00001E000000}">
      <text>
        <r>
          <rPr>
            <sz val="8"/>
            <color indexed="8"/>
            <rFont val="Tahoma"/>
            <family val="2"/>
          </rPr>
          <t xml:space="preserve">Distance entre la pointe de l'ogive et le point </t>
        </r>
        <r>
          <rPr>
            <b/>
            <sz val="8"/>
            <color indexed="8"/>
            <rFont val="Tahoma"/>
            <family val="2"/>
          </rPr>
          <t>inférieur</t>
        </r>
        <r>
          <rPr>
            <sz val="8"/>
            <color indexed="8"/>
            <rFont val="Tahoma"/>
            <family val="2"/>
          </rPr>
          <t xml:space="preserve"> de l'encastrement des ailerons.
</t>
        </r>
        <r>
          <rPr>
            <i/>
            <sz val="8"/>
            <color indexed="8"/>
            <rFont val="Tahoma"/>
            <family val="2"/>
          </rPr>
          <t xml:space="preserve">Distance between the tip of the nose and the </t>
        </r>
        <r>
          <rPr>
            <b/>
            <i/>
            <sz val="8"/>
            <color indexed="8"/>
            <rFont val="Tahoma"/>
            <family val="2"/>
          </rPr>
          <t>lower</t>
        </r>
        <r>
          <rPr>
            <i/>
            <sz val="8"/>
            <color indexed="8"/>
            <rFont val="Tahoma"/>
            <family val="2"/>
          </rPr>
          <t xml:space="preserve"> point of fins attachment on the rocket.</t>
        </r>
      </text>
    </comment>
    <comment ref="B35" authorId="0" shapeId="0" xr:uid="{00000000-0006-0000-0000-00001F000000}">
      <text>
        <r>
          <rPr>
            <sz val="8"/>
            <color indexed="8"/>
            <rFont val="Tahoma"/>
            <family val="2"/>
          </rPr>
          <t xml:space="preserve">Diamètre du fuselage au niveau des ailerons.
</t>
        </r>
        <r>
          <rPr>
            <i/>
            <sz val="8"/>
            <color indexed="8"/>
            <rFont val="Tahoma"/>
            <family val="2"/>
          </rPr>
          <t>Diameter of the body at the level of the fins.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xml:space="preserve"> </author>
    <author>Léo Côme</author>
    <author>Léo</author>
    <author>Sylvain Besson</author>
    <author>collectif</author>
  </authors>
  <commentList>
    <comment ref="B11" authorId="0" shapeId="0" xr:uid="{00000000-0006-0000-0100-000001000000}">
      <text>
        <r>
          <rPr>
            <sz val="8"/>
            <color indexed="8"/>
            <rFont val="Tahoma"/>
            <family val="2"/>
          </rPr>
          <t xml:space="preserve">Masse au décollage, à changer dans la feuille Stabilito,
ou à l'aide des boutons (revérifiez alors la stabilité).
</t>
        </r>
        <r>
          <rPr>
            <i/>
            <sz val="8"/>
            <color indexed="8"/>
            <rFont val="Tahoma"/>
            <family val="2"/>
          </rPr>
          <t>Lift-Off mass, to be changed in Stabilito sheet,
or with the buttons (then recheck stability).</t>
        </r>
      </text>
    </comment>
    <comment ref="B12" authorId="0" shapeId="0" xr:uid="{00000000-0006-0000-0100-000002000000}">
      <text>
        <r>
          <rPr>
            <sz val="8"/>
            <color indexed="8"/>
            <rFont val="Tahoma"/>
            <family val="2"/>
          </rPr>
          <t xml:space="preserve">Le propulseur doit être sélectionné dans l'onglet Stabilito.
</t>
        </r>
        <r>
          <rPr>
            <i/>
            <sz val="8"/>
            <color indexed="8"/>
            <rFont val="Tahoma"/>
            <family val="2"/>
          </rPr>
          <t>Motor must be selected in Stabilito sheet.</t>
        </r>
      </text>
    </comment>
    <comment ref="B15" authorId="1" shapeId="0" xr:uid="{00000000-0006-0000-0100-000003000000}">
      <text>
        <r>
          <rPr>
            <sz val="8"/>
            <color indexed="8"/>
            <rFont val="Tahoma"/>
            <family val="2"/>
          </rPr>
          <t xml:space="preserve">La Surface de Référence utilisée pour le calcul de la Traînée est la surface projetée dans l'axe de la fusée. Ce </t>
        </r>
        <r>
          <rPr>
            <b/>
            <sz val="8"/>
            <color indexed="8"/>
            <rFont val="Tahoma"/>
            <family val="2"/>
          </rPr>
          <t>Maître Couple</t>
        </r>
        <r>
          <rPr>
            <sz val="8"/>
            <color indexed="8"/>
            <rFont val="Tahoma"/>
            <family val="2"/>
          </rPr>
          <t xml:space="preserve"> inclut donc l'épaisseur des ailerons.
</t>
        </r>
        <r>
          <rPr>
            <i/>
            <sz val="8"/>
            <color indexed="8"/>
            <rFont val="Tahoma"/>
            <family val="2"/>
          </rPr>
          <t>Reference Surface used to compute the Drag. It includes Fin thickness.</t>
        </r>
      </text>
    </comment>
    <comment ref="B16" authorId="1" shapeId="0" xr:uid="{00000000-0006-0000-0100-000004000000}">
      <text>
        <r>
          <rPr>
            <sz val="8"/>
            <color indexed="8"/>
            <rFont val="Tahoma"/>
            <family val="2"/>
          </rPr>
          <t xml:space="preserve">Coefficient de Traînée de la fusée. Par défaut, le </t>
        </r>
        <r>
          <rPr>
            <b/>
            <sz val="8"/>
            <color indexed="8"/>
            <rFont val="Tahoma"/>
            <family val="2"/>
          </rPr>
          <t>Cx</t>
        </r>
        <r>
          <rPr>
            <sz val="8"/>
            <color indexed="8"/>
            <rFont val="Tahoma"/>
            <family val="2"/>
          </rPr>
          <t xml:space="preserve"> vaut 0.6. On peut ajouter ou retrancher 0.2 en fonction des aspérités de la fusée, du profilage des ailerons…
</t>
        </r>
        <r>
          <rPr>
            <i/>
            <sz val="8"/>
            <color indexed="8"/>
            <rFont val="Tahoma"/>
            <family val="2"/>
          </rPr>
          <t>Rocket Drag Coefficient is generally between 0.4 and 0.8, with a default value of 0.6.</t>
        </r>
      </text>
    </comment>
    <comment ref="B19" authorId="1" shapeId="0" xr:uid="{00000000-0006-0000-0100-000005000000}">
      <text>
        <r>
          <rPr>
            <b/>
            <sz val="8"/>
            <color indexed="8"/>
            <rFont val="Tahoma"/>
            <family val="2"/>
          </rPr>
          <t>Longueur de la rampe de lancement.</t>
        </r>
        <r>
          <rPr>
            <sz val="8"/>
            <color indexed="8"/>
            <rFont val="Tahoma"/>
            <family val="2"/>
          </rPr>
          <t xml:space="preserve">
</t>
        </r>
        <r>
          <rPr>
            <i/>
            <sz val="8"/>
            <color indexed="8"/>
            <rFont val="Tahoma"/>
            <family val="2"/>
          </rPr>
          <t xml:space="preserve">                                          Length of the launch pad.</t>
        </r>
        <r>
          <rPr>
            <sz val="8"/>
            <color indexed="8"/>
            <rFont val="Tahoma"/>
            <family val="2"/>
          </rPr>
          <t xml:space="preserve">
Valeurs courantes :                       C</t>
        </r>
        <r>
          <rPr>
            <i/>
            <sz val="8"/>
            <color indexed="8"/>
            <rFont val="Tahoma"/>
            <family val="2"/>
          </rPr>
          <t>ommon values :</t>
        </r>
        <r>
          <rPr>
            <sz val="8"/>
            <color indexed="8"/>
            <rFont val="Tahoma"/>
            <family val="2"/>
          </rPr>
          <t xml:space="preserve">
MicroFusée               : 1m             </t>
        </r>
        <r>
          <rPr>
            <i/>
            <sz val="8"/>
            <color indexed="8"/>
            <rFont val="Tahoma"/>
            <family val="2"/>
          </rPr>
          <t>Micro-rocket</t>
        </r>
        <r>
          <rPr>
            <sz val="8"/>
            <color indexed="8"/>
            <rFont val="Tahoma"/>
            <family val="2"/>
          </rPr>
          <t xml:space="preserve">
MiniFusée                 : 2m -&gt; 3m </t>
        </r>
        <r>
          <rPr>
            <i/>
            <sz val="8"/>
            <color indexed="8"/>
            <rFont val="Tahoma"/>
            <family val="2"/>
          </rPr>
          <t xml:space="preserve">  Mini-rocket</t>
        </r>
        <r>
          <rPr>
            <sz val="8"/>
            <color indexed="8"/>
            <rFont val="Tahoma"/>
            <family val="2"/>
          </rPr>
          <t xml:space="preserve">
Fusée Expérimentale  : 4m -&gt; 7m   </t>
        </r>
        <r>
          <rPr>
            <i/>
            <sz val="8"/>
            <color indexed="8"/>
            <rFont val="Tahoma"/>
            <family val="2"/>
          </rPr>
          <t>Experimental Rocket</t>
        </r>
      </text>
    </comment>
    <comment ref="B20" authorId="1" shapeId="0" xr:uid="{00000000-0006-0000-0100-000006000000}">
      <text>
        <r>
          <rPr>
            <sz val="8"/>
            <color indexed="8"/>
            <rFont val="Tahoma"/>
            <family val="2"/>
          </rPr>
          <t xml:space="preserve">Elévation de la rampe, angle par rapport à l'horizontale, "site" de la rampe, par défaut cet angle est à 80°.
</t>
        </r>
        <r>
          <rPr>
            <i/>
            <sz val="8"/>
            <color indexed="8"/>
            <rFont val="Tahoma"/>
            <family val="2"/>
          </rPr>
          <t>Angle of the lauch pad versus horizontal.</t>
        </r>
      </text>
    </comment>
    <comment ref="B21" authorId="1" shapeId="0" xr:uid="{00000000-0006-0000-0100-000007000000}">
      <text>
        <r>
          <rPr>
            <sz val="8"/>
            <color indexed="8"/>
            <rFont val="Tahoma"/>
            <family val="2"/>
          </rPr>
          <t xml:space="preserve">L'Altitude de la rampe est utilisée pour calculer la densité de l'air.
</t>
        </r>
        <r>
          <rPr>
            <i/>
            <sz val="8"/>
            <color indexed="8"/>
            <rFont val="Tahoma"/>
            <family val="2"/>
          </rPr>
          <t>Launch Pad Altitude is used to compute the air density.</t>
        </r>
      </text>
    </comment>
    <comment ref="D24" authorId="2" shapeId="0" xr:uid="{00000000-0006-0000-0100-000008000000}">
      <text>
        <r>
          <rPr>
            <b/>
            <sz val="8"/>
            <color indexed="8"/>
            <rFont val="Tahoma"/>
            <family val="2"/>
          </rPr>
          <t>Objet largué</t>
        </r>
        <r>
          <rPr>
            <sz val="8"/>
            <color indexed="8"/>
            <rFont val="Tahoma"/>
            <family val="2"/>
          </rPr>
          <t xml:space="preserve"> (CanSat, quasi-satellite, partie contenant l'œuf...)
</t>
        </r>
        <r>
          <rPr>
            <i/>
            <sz val="8"/>
            <color indexed="8"/>
            <rFont val="Tahoma"/>
            <family val="2"/>
          </rPr>
          <t>Separated object (CanSat, quasi-satellite, payload/egg...)</t>
        </r>
      </text>
    </comment>
    <comment ref="K24" authorId="1" shapeId="0" xr:uid="{00000000-0006-0000-0100-000009000000}">
      <text>
        <r>
          <rPr>
            <sz val="8"/>
            <color indexed="8"/>
            <rFont val="Tahoma"/>
            <family val="2"/>
          </rPr>
          <t xml:space="preserve">La Vitesse en Sortie de Rampe doit être supérieure à 18m/s (MiniFusée) ou 20m/s (Fusée Exp.).
Alléger la fusée ou choisir un propu plus puissant.
</t>
        </r>
        <r>
          <rPr>
            <i/>
            <sz val="8"/>
            <color indexed="8"/>
            <rFont val="Tahoma"/>
            <family val="2"/>
          </rPr>
          <t>Speed at Launch Pad Exit must by higher than 18m/s (mini-rocket) or 20m/s (experimental rocket).
Lighten the rocket or choose a bigger motor.</t>
        </r>
      </text>
    </comment>
    <comment ref="C25" authorId="2" shapeId="0" xr:uid="{00000000-0006-0000-0100-00000A000000}">
      <text>
        <r>
          <rPr>
            <sz val="8"/>
            <color indexed="8"/>
            <rFont val="Tahoma"/>
            <family val="2"/>
          </rPr>
          <t xml:space="preserve">Masse de la fusée (sans satellite) sous parachute.
</t>
        </r>
        <r>
          <rPr>
            <i/>
            <sz val="8"/>
            <color indexed="8"/>
            <rFont val="Tahoma"/>
            <family val="2"/>
          </rPr>
          <t>Mass of the rocket (w/o sat) when it fall with a parachute.</t>
        </r>
      </text>
    </comment>
    <comment ref="M28" authorId="3" shapeId="0" xr:uid="{00000000-0006-0000-0100-00000B000000}">
      <text>
        <r>
          <rPr>
            <sz val="8"/>
            <color indexed="81"/>
            <rFont val="Tahoma"/>
            <family val="2"/>
          </rPr>
          <t xml:space="preserve">Efforts sur les fixations du parachute lors de sont ouverture.
</t>
        </r>
        <r>
          <rPr>
            <i/>
            <sz val="8"/>
            <color indexed="81"/>
            <rFont val="Tahoma"/>
            <family val="2"/>
          </rPr>
          <t>Stress on the parachute's bindings when it opened.</t>
        </r>
      </text>
    </comment>
    <comment ref="M29" authorId="3" shapeId="0" xr:uid="{00000000-0006-0000-0100-00000D000000}">
      <text>
        <r>
          <rPr>
            <sz val="8"/>
            <color indexed="81"/>
            <rFont val="Tahoma"/>
            <family val="2"/>
          </rPr>
          <t>Energie libérée lors de l'impact balistique.</t>
        </r>
        <r>
          <rPr>
            <b/>
            <sz val="8"/>
            <color indexed="81"/>
            <rFont val="Tahoma"/>
            <family val="2"/>
          </rPr>
          <t xml:space="preserve">
</t>
        </r>
        <r>
          <rPr>
            <i/>
            <sz val="8"/>
            <color indexed="81"/>
            <rFont val="Tahoma"/>
            <family val="2"/>
          </rPr>
          <t>Balistic impact energy</t>
        </r>
      </text>
    </comment>
    <comment ref="B30" authorId="1" shapeId="0" xr:uid="{00000000-0006-0000-0100-00000C000000}">
      <text>
        <r>
          <rPr>
            <sz val="8"/>
            <color indexed="8"/>
            <rFont val="Tahoma"/>
            <family val="2"/>
          </rPr>
          <t xml:space="preserve">Le Coefficient de Traînée </t>
        </r>
        <r>
          <rPr>
            <b/>
            <sz val="8"/>
            <color indexed="8"/>
            <rFont val="Tahoma"/>
            <family val="2"/>
          </rPr>
          <t>Cx</t>
        </r>
        <r>
          <rPr>
            <sz val="8"/>
            <color indexed="8"/>
            <rFont val="Tahoma"/>
            <family val="2"/>
          </rPr>
          <t xml:space="preserve"> (ou Cd) d'un parachute est généralement compris entre 0.7 et 1.4 (1 par défaut).
</t>
        </r>
        <r>
          <rPr>
            <i/>
            <sz val="8"/>
            <color indexed="8"/>
            <rFont val="Tahoma"/>
            <family val="2"/>
          </rPr>
          <t xml:space="preserve">Parachute Drag Coefficient </t>
        </r>
        <r>
          <rPr>
            <b/>
            <i/>
            <sz val="8"/>
            <color indexed="8"/>
            <rFont val="Tahoma"/>
            <family val="2"/>
          </rPr>
          <t>Cx</t>
        </r>
        <r>
          <rPr>
            <i/>
            <sz val="8"/>
            <color indexed="8"/>
            <rFont val="Tahoma"/>
            <family val="2"/>
          </rPr>
          <t xml:space="preserve"> (or Cd) should be between 0.7 and 1.4, with a default value of 1.</t>
        </r>
      </text>
    </comment>
    <comment ref="B32" authorId="4" shapeId="0" xr:uid="{00000000-0006-0000-0100-00000E000000}">
      <text>
        <r>
          <rPr>
            <sz val="8"/>
            <color indexed="81"/>
            <rFont val="Tahoma"/>
            <family val="2"/>
          </rPr>
          <t xml:space="preserve">La Vitesse de descente sous parachute doit être comprise entre 5 &amp; 15m/s.
</t>
        </r>
        <r>
          <rPr>
            <i/>
            <sz val="8"/>
            <color indexed="81"/>
            <rFont val="Tahoma"/>
            <family val="2"/>
          </rPr>
          <t>Fall Velocity with parachute must be between 5 &amp; 15 m/s.</t>
        </r>
      </text>
    </comment>
    <comment ref="B35" authorId="0" shapeId="0" xr:uid="{00000000-0006-0000-0100-00000F000000}">
      <text>
        <r>
          <rPr>
            <sz val="8"/>
            <color indexed="8"/>
            <rFont val="Tahoma"/>
            <family val="2"/>
          </rPr>
          <t xml:space="preserve">Déviation due au vent lors de la descente sous parachute.
</t>
        </r>
        <r>
          <rPr>
            <i/>
            <sz val="8"/>
            <color indexed="8"/>
            <rFont val="Tahoma"/>
            <family val="2"/>
          </rPr>
          <t>Deviation due to wind during the fall over parachute.</t>
        </r>
      </text>
    </comment>
    <comment ref="F42" authorId="1" shapeId="0" xr:uid="{00000000-0006-0000-0100-000010000000}">
      <text>
        <r>
          <rPr>
            <sz val="8"/>
            <color indexed="8"/>
            <rFont val="Tahoma"/>
            <family val="2"/>
          </rPr>
          <t xml:space="preserve">Les Conditions Initiales permettent de simuler le 2e boost des fusée bi-étage ou des fusées larguant une masse (CanSat, bi-inerte). Laisser à 0 dans les autres cas.
</t>
        </r>
        <r>
          <rPr>
            <i/>
            <sz val="8"/>
            <color indexed="8"/>
            <rFont val="Tahoma"/>
            <family val="2"/>
          </rPr>
          <t>Initial Conditions can be used to simulate the 2nd boost of 2-stages rockets, or rocket releasing mass (Quasi-Satellites). Set them to 0 otherwise.</t>
        </r>
      </text>
    </comment>
    <comment ref="I42" authorId="1" shapeId="0" xr:uid="{00000000-0006-0000-0100-000011000000}">
      <text>
        <r>
          <rPr>
            <sz val="8"/>
            <color indexed="8"/>
            <rFont val="Tahoma"/>
            <family val="2"/>
          </rPr>
          <t xml:space="preserve">Altitude par rapport à la rampe, par rapport au sol.
</t>
        </r>
        <r>
          <rPr>
            <i/>
            <sz val="8"/>
            <color indexed="8"/>
            <rFont val="Tahoma"/>
            <family val="2"/>
          </rPr>
          <t>Altitude with respect to the earth surface.</t>
        </r>
      </text>
    </comment>
    <comment ref="K42" authorId="1" shapeId="0" xr:uid="{00000000-0006-0000-0100-000012000000}">
      <text>
        <r>
          <rPr>
            <sz val="8"/>
            <color indexed="8"/>
            <rFont val="Tahoma"/>
            <family val="2"/>
          </rPr>
          <t xml:space="preserve">La vitesse initiale doit être non-nulle dans le cas d'un 2e boost (allumage hors de la rampe, Portée et Altitude non-nulles).
</t>
        </r>
        <r>
          <rPr>
            <i/>
            <sz val="8"/>
            <color indexed="8"/>
            <rFont val="Tahoma"/>
            <family val="2"/>
          </rPr>
          <t>Initial Velocity must be non-zero in case of 2nd boost (ignition without launch pad, non-zero Range and Altitude).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xml:space="preserve"> </author>
    <author>M363040</author>
    <author>Léo Côme</author>
  </authors>
  <commentList>
    <comment ref="B11" authorId="0" shapeId="0" xr:uid="{00000000-0006-0000-0500-000001000000}">
      <text>
        <r>
          <rPr>
            <sz val="8"/>
            <color indexed="8"/>
            <rFont val="Tahoma"/>
            <family val="2"/>
          </rPr>
          <t xml:space="preserve">Masse sans propu, à changer dans la feuille Stabilito,
ou à l'aide des boutons (revérifiez alors la stabilité).
</t>
        </r>
        <r>
          <rPr>
            <i/>
            <sz val="8"/>
            <color indexed="8"/>
            <rFont val="Tahoma"/>
            <family val="2"/>
          </rPr>
          <t>Rocket mass without motor, to be changed in Stabilito sheet,
or with the buttons (then recheck stability).</t>
        </r>
      </text>
    </comment>
    <comment ref="B12" authorId="0" shapeId="0" xr:uid="{00000000-0006-0000-0500-000002000000}">
      <text>
        <r>
          <rPr>
            <sz val="8"/>
            <color indexed="8"/>
            <rFont val="Tahoma"/>
            <family val="2"/>
          </rPr>
          <t>Masse totale, à changer dans la feuille Stabilito,
ou à l'aide des boutons (revérifiez alors la stabilité).
Rocket total mass, to be changed in Stabilito sheet,
or with the buttons (then recheck stability).</t>
        </r>
      </text>
    </comment>
    <comment ref="B13" authorId="0" shapeId="0" xr:uid="{00000000-0006-0000-0500-000003000000}">
      <text>
        <r>
          <rPr>
            <sz val="8"/>
            <color indexed="8"/>
            <rFont val="Tahoma"/>
            <family val="2"/>
          </rPr>
          <t xml:space="preserve">Le propulseur doit être sélectionné dans l'onglet Stabilito.
</t>
        </r>
        <r>
          <rPr>
            <i/>
            <sz val="8"/>
            <color indexed="8"/>
            <rFont val="Tahoma"/>
            <family val="2"/>
          </rPr>
          <t>Motor must be selected in Stabilito sheet.</t>
        </r>
      </text>
    </comment>
    <comment ref="B16" authorId="1" shapeId="0" xr:uid="{00000000-0006-0000-0500-000004000000}">
      <text>
        <r>
          <rPr>
            <sz val="8"/>
            <color indexed="8"/>
            <rFont val="Tahoma"/>
            <family val="2"/>
          </rPr>
          <t xml:space="preserve">Diamètre de référence. D_réf = D_ogive ou le diamètre "principal".
</t>
        </r>
        <r>
          <rPr>
            <i/>
            <sz val="8"/>
            <color indexed="8"/>
            <rFont val="Tahoma"/>
            <family val="2"/>
          </rPr>
          <t>Reference Diameter. D_ref = D_ogive or the "main" diameter.</t>
        </r>
      </text>
    </comment>
    <comment ref="B17" authorId="2" shapeId="0" xr:uid="{00000000-0006-0000-0500-000005000000}">
      <text>
        <r>
          <rPr>
            <sz val="8"/>
            <color indexed="8"/>
            <rFont val="Tahoma"/>
            <family val="2"/>
          </rPr>
          <t xml:space="preserve">Coefficient de Traînée de la fusée. Par défaut, le </t>
        </r>
        <r>
          <rPr>
            <b/>
            <sz val="8"/>
            <color indexed="8"/>
            <rFont val="Tahoma"/>
            <family val="2"/>
          </rPr>
          <t>Cx</t>
        </r>
        <r>
          <rPr>
            <sz val="8"/>
            <color indexed="8"/>
            <rFont val="Tahoma"/>
            <family val="2"/>
          </rPr>
          <t xml:space="preserve"> vaut 0.6. On peut ajouter ou retrancher 0.2 en fonction des aspérités de la fusée, du profilage des ailerons…
</t>
        </r>
        <r>
          <rPr>
            <i/>
            <sz val="8"/>
            <color indexed="8"/>
            <rFont val="Tahoma"/>
            <family val="2"/>
          </rPr>
          <t>Rocket Drag Coefficient is generally between 0.4 and 0.8, with a default value of 0.6.</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xml:space="preserve"> Léo</author>
  </authors>
  <commentList>
    <comment ref="E55" authorId="0" shapeId="0" xr:uid="{00000000-0006-0000-0600-000001000000}">
      <text>
        <r>
          <rPr>
            <sz val="8"/>
            <color indexed="81"/>
            <rFont val="Tahoma"/>
            <family val="2"/>
          </rPr>
          <t xml:space="preserve">Masse volumique de l'air (ρ) à P=1013,25hPa &amp; T=15°C.
Utilisée tel quel pour la descente sous parachute,
utilisée comme référence (z=0) pour le calcul de ρ en fonction de l'altitude dans le calcul de la trajectoire pas à pas.
Idéalement, valeur à adapter aux conditions atmosphériques au moment du lancement.
</t>
        </r>
        <r>
          <rPr>
            <i/>
            <sz val="8"/>
            <color indexed="81"/>
            <rFont val="Tahoma"/>
            <family val="2"/>
          </rPr>
          <t>Air density (ρ) at P=1013,25hPa &amp; T=15°C.</t>
        </r>
      </text>
    </comment>
  </commentList>
</comments>
</file>

<file path=xl/sharedStrings.xml><?xml version="1.0" encoding="utf-8"?>
<sst xmlns="http://schemas.openxmlformats.org/spreadsheetml/2006/main" count="1735" uniqueCount="576">
  <si>
    <t>TRAJECTO</t>
  </si>
  <si>
    <t>Français</t>
  </si>
  <si>
    <t>t</t>
  </si>
  <si>
    <t>x</t>
  </si>
  <si>
    <t>Club</t>
  </si>
  <si>
    <t>Cx</t>
  </si>
  <si>
    <t>Altitude</t>
  </si>
  <si>
    <t>m/s²</t>
  </si>
  <si>
    <t>kg/m3</t>
  </si>
  <si>
    <t>Surface para</t>
  </si>
  <si>
    <t>Cx parachute</t>
  </si>
  <si>
    <t>Temps</t>
  </si>
  <si>
    <t>Altitude z</t>
  </si>
  <si>
    <t>Accélération</t>
  </si>
  <si>
    <t>-</t>
  </si>
  <si>
    <t>Culmination, Apogée</t>
  </si>
  <si>
    <t>~0</t>
  </si>
  <si>
    <t>Forces</t>
  </si>
  <si>
    <t>Accélération longitudinale</t>
  </si>
  <si>
    <t>pas</t>
  </si>
  <si>
    <t>Beta</t>
  </si>
  <si>
    <t>BetaD</t>
  </si>
  <si>
    <t>Débit</t>
  </si>
  <si>
    <t>Trainée</t>
  </si>
  <si>
    <t>Rho</t>
  </si>
  <si>
    <t>Poussée</t>
  </si>
  <si>
    <t>i_P</t>
  </si>
  <si>
    <t>Poids</t>
  </si>
  <si>
    <t>R_rampe</t>
  </si>
  <si>
    <t>z</t>
  </si>
  <si>
    <t>non-gravit.</t>
  </si>
  <si>
    <t>gravitationnelle</t>
  </si>
  <si>
    <t>Ligne</t>
  </si>
  <si>
    <t>Temps (en s)</t>
  </si>
  <si>
    <t>Poussée (en N)</t>
  </si>
  <si>
    <t>Isard</t>
  </si>
  <si>
    <t>Chamois</t>
  </si>
  <si>
    <t>espace@planete-sciences.org</t>
  </si>
  <si>
    <t>m</t>
  </si>
  <si>
    <t>http://www.planete-sciences.org/espace/basedoc/</t>
  </si>
  <si>
    <t>Surface Réf.</t>
  </si>
  <si>
    <t>Angle</t>
  </si>
  <si>
    <t>Léo Côme</t>
  </si>
  <si>
    <t>Notes :</t>
  </si>
  <si>
    <t>Aucun (2e ét. inerte)</t>
  </si>
  <si>
    <t>z para</t>
  </si>
  <si>
    <t>z sat</t>
  </si>
  <si>
    <t>xz max</t>
  </si>
  <si>
    <t>t para</t>
  </si>
  <si>
    <t>x para</t>
  </si>
  <si>
    <t>t sat</t>
  </si>
  <si>
    <t>x sat</t>
  </si>
  <si>
    <t>Moteurs Rocketry-Challenge, bug Surface_parachute, Satellite, bug Ooo</t>
  </si>
  <si>
    <t>STABILITO</t>
  </si>
  <si>
    <t>Type</t>
  </si>
  <si>
    <t>XCp</t>
  </si>
  <si>
    <t>MpropuPlein</t>
  </si>
  <si>
    <t>XpropuPlein</t>
  </si>
  <si>
    <t>MpropuVide</t>
  </si>
  <si>
    <t>XpropuVide</t>
  </si>
  <si>
    <t>Longueur</t>
  </si>
  <si>
    <t>Diamètre</t>
  </si>
  <si>
    <t>Min</t>
  </si>
  <si>
    <t>Max</t>
  </si>
  <si>
    <t>Finesse</t>
  </si>
  <si>
    <t>Cnα</t>
  </si>
  <si>
    <t>MS /L</t>
  </si>
  <si>
    <t>English</t>
  </si>
  <si>
    <t>X longi</t>
  </si>
  <si>
    <t>Y latéral</t>
  </si>
  <si>
    <t>- Y latéral</t>
  </si>
  <si>
    <t>Pointe</t>
  </si>
  <si>
    <t>Ogive</t>
  </si>
  <si>
    <t>chmt1 pt1</t>
  </si>
  <si>
    <t>chmt1 pt2</t>
  </si>
  <si>
    <t>chmt2 pt1</t>
  </si>
  <si>
    <t>chmt2 pt2</t>
  </si>
  <si>
    <t>culot</t>
  </si>
  <si>
    <t>aileron pt1</t>
  </si>
  <si>
    <t>aileron pt2</t>
  </si>
  <si>
    <t>aileron pt3</t>
  </si>
  <si>
    <t>aileron pt4</t>
  </si>
  <si>
    <t>Xcg plein</t>
  </si>
  <si>
    <t>Xcg vide</t>
  </si>
  <si>
    <t>Xcp</t>
  </si>
  <si>
    <t>canard pt1</t>
  </si>
  <si>
    <t>canard pt2</t>
  </si>
  <si>
    <t>canard pt3</t>
  </si>
  <si>
    <t>canard pt4</t>
  </si>
  <si>
    <t>masquage pt1</t>
  </si>
  <si>
    <t>masquage pt2</t>
  </si>
  <si>
    <t>masquage pt3</t>
  </si>
  <si>
    <t>masquage pt4</t>
  </si>
  <si>
    <t>cadre</t>
  </si>
  <si>
    <t>propu pt1</t>
  </si>
  <si>
    <t>propu pt2</t>
  </si>
  <si>
    <t>propu pt3</t>
  </si>
  <si>
    <t>propu pt4</t>
  </si>
  <si>
    <t>propu pt5</t>
  </si>
  <si>
    <t>MS (X)</t>
  </si>
  <si>
    <t>Cna (Y)</t>
  </si>
  <si>
    <t>2002-2007</t>
  </si>
  <si>
    <t>Stabilito V1.x</t>
  </si>
  <si>
    <t>Stabilito V2.0</t>
  </si>
  <si>
    <t>Stabilito V2.1</t>
  </si>
  <si>
    <t>Stabilito V2.2</t>
  </si>
  <si>
    <t>Trajecto V1.x</t>
  </si>
  <si>
    <t>Trajecto V2.x</t>
  </si>
  <si>
    <t>Trajecto V2.4</t>
  </si>
  <si>
    <t>Trajecto V2.5</t>
  </si>
  <si>
    <t>OpenOffice Calc</t>
  </si>
  <si>
    <t>µ-propu A8-3</t>
  </si>
  <si>
    <t>µ-propu B4-4</t>
  </si>
  <si>
    <t>µ-propu C6-3</t>
  </si>
  <si>
    <t>ISP</t>
  </si>
  <si>
    <t>I_total</t>
  </si>
  <si>
    <t>I_total_i (en N.s)</t>
  </si>
  <si>
    <t>Micro</t>
  </si>
  <si>
    <t>Fusex</t>
  </si>
  <si>
    <t>Mini</t>
  </si>
  <si>
    <t>0 satellite</t>
  </si>
  <si>
    <t>1 satellite</t>
  </si>
  <si>
    <t>http://creativecommons.org/licenses/by-sa/3.0/</t>
  </si>
  <si>
    <t>VL4</t>
  </si>
  <si>
    <t>Vsortie de rampe (&gt; 18 m/s)</t>
  </si>
  <si>
    <t>10 &lt; finesse &lt; 20</t>
  </si>
  <si>
    <t>15 &lt; Cn &lt; 30</t>
  </si>
  <si>
    <t>30 &lt; Ms x Cn &lt; 100</t>
  </si>
  <si>
    <t>RC1</t>
  </si>
  <si>
    <t>5 &lt; Vc &lt; 15 m/s</t>
  </si>
  <si>
    <t>RC2</t>
  </si>
  <si>
    <t>Temps de retard ralentisseur</t>
  </si>
  <si>
    <t>RC5</t>
  </si>
  <si>
    <t>Portée balistique (m)</t>
  </si>
  <si>
    <t>Temps de vol avec parachute (s)</t>
  </si>
  <si>
    <t>Culmination</t>
  </si>
  <si>
    <t>Accélération max (m/s²)</t>
  </si>
  <si>
    <t>Vmax (m/s)</t>
  </si>
  <si>
    <t>Altitude (m)</t>
  </si>
  <si>
    <t>Temps (s)</t>
  </si>
  <si>
    <t>Vitesse (m/s)</t>
  </si>
  <si>
    <t>Inclinaison</t>
  </si>
  <si>
    <t>Longueur totale</t>
  </si>
  <si>
    <t>Longueur rampe</t>
  </si>
  <si>
    <t>Epaisseur ailerons</t>
  </si>
  <si>
    <t>Nombre ailerons</t>
  </si>
  <si>
    <t>Type d'ogive</t>
  </si>
  <si>
    <t>Longueur ogive "l"</t>
  </si>
  <si>
    <t>Haut du propu "Prop"</t>
  </si>
  <si>
    <t>Diamètre "D"</t>
  </si>
  <si>
    <t>Position ailerons "L"</t>
  </si>
  <si>
    <t>M</t>
  </si>
  <si>
    <t>Microsoft Excel 2003 ou +</t>
  </si>
  <si>
    <t>s</t>
  </si>
  <si>
    <t>m/s</t>
  </si>
  <si>
    <t>°</t>
  </si>
  <si>
    <t>Transition A</t>
  </si>
  <si>
    <t>Transition B</t>
  </si>
  <si>
    <t>Jaune</t>
  </si>
  <si>
    <t>conique</t>
  </si>
  <si>
    <t>ogive</t>
  </si>
  <si>
    <t>parabole</t>
  </si>
  <si>
    <t>env pt4</t>
  </si>
  <si>
    <t>flèche pt2</t>
  </si>
  <si>
    <t>saumon pt3</t>
  </si>
  <si>
    <t>flèche milieu</t>
  </si>
  <si>
    <t>env milieu</t>
  </si>
  <si>
    <t>saumon milieu</t>
  </si>
  <si>
    <t>empl milieu</t>
  </si>
  <si>
    <t>empl pt4</t>
  </si>
  <si>
    <t>MS milieu</t>
  </si>
  <si>
    <t>MS Xcp</t>
  </si>
  <si>
    <t>1s</t>
  </si>
  <si>
    <t>t/T</t>
  </si>
  <si>
    <t>z/Z</t>
  </si>
  <si>
    <t>vertical</t>
  </si>
  <si>
    <t>horizontal</t>
  </si>
  <si>
    <t>flèches</t>
  </si>
  <si>
    <t>StabTraj</t>
  </si>
  <si>
    <t>StabTraj V3.0</t>
  </si>
  <si>
    <t>Trajecto</t>
  </si>
  <si>
    <t>µ-propu</t>
  </si>
  <si>
    <t>Minif</t>
  </si>
  <si>
    <t xml:space="preserve"> </t>
  </si>
  <si>
    <t>Événements</t>
  </si>
  <si>
    <t>Sous-échantillon 1Hz</t>
  </si>
  <si>
    <t>pos_x</t>
  </si>
  <si>
    <t>pos_z</t>
  </si>
  <si>
    <t>pos_xz</t>
  </si>
  <si>
    <t>vit_x</t>
  </si>
  <si>
    <t>vit_z</t>
  </si>
  <si>
    <t>vit_xz</t>
  </si>
  <si>
    <t>acc_x</t>
  </si>
  <si>
    <t>acc_z</t>
  </si>
  <si>
    <t>acc_xz</t>
  </si>
  <si>
    <t>Donneés au format des fiches de contrôles Fusex :</t>
  </si>
  <si>
    <t>Diamètre max</t>
  </si>
  <si>
    <t>Envergure totale</t>
  </si>
  <si>
    <t>sans</t>
  </si>
  <si>
    <t>vide</t>
  </si>
  <si>
    <t>plein</t>
  </si>
  <si>
    <t>Masse</t>
  </si>
  <si>
    <t>STAB 1</t>
  </si>
  <si>
    <t>STAB 2</t>
  </si>
  <si>
    <t>STAB 3</t>
  </si>
  <si>
    <t>STAB 4</t>
  </si>
  <si>
    <t>STAB 5</t>
  </si>
  <si>
    <t>Vsortie de rampe (&gt; 20 m/s)</t>
  </si>
  <si>
    <t>10 &lt; finesse &lt; 35</t>
  </si>
  <si>
    <t>15 &lt; Portance &lt; 40</t>
  </si>
  <si>
    <t>2*D &lt; Ms &lt; 6*D</t>
  </si>
  <si>
    <t>40 &lt; Ms x Cn &lt; 100</t>
  </si>
  <si>
    <t>Maître couple (m²)</t>
  </si>
  <si>
    <t>Site</t>
  </si>
  <si>
    <t>Temps balistique (s)</t>
  </si>
  <si>
    <t>Temps culmi (s)</t>
  </si>
  <si>
    <t>Altitude culmi (m)</t>
  </si>
  <si>
    <t>Vitesse culmi (m/s)</t>
  </si>
  <si>
    <t>CdG</t>
  </si>
  <si>
    <t>Diamètre max (40à200)</t>
  </si>
  <si>
    <t>Envergure totale &lt;720</t>
  </si>
  <si>
    <t>Masse &lt;15</t>
  </si>
  <si>
    <t>Pensez à modifier l'inclinaison pour avoir les 2 valeurs.</t>
  </si>
  <si>
    <t>Resist long aileron</t>
  </si>
  <si>
    <t>Resist transv aileron</t>
  </si>
  <si>
    <t>Compression 2.Acc.M</t>
  </si>
  <si>
    <t>N</t>
  </si>
  <si>
    <t>kg</t>
  </si>
  <si>
    <t>Surface aileron (m²)</t>
  </si>
  <si>
    <t>Masse aileron (kg)</t>
  </si>
  <si>
    <t>T dépotage +/-2s /appogée</t>
  </si>
  <si>
    <t>REC 2</t>
  </si>
  <si>
    <t>SEQ 5</t>
  </si>
  <si>
    <t>CR 1</t>
  </si>
  <si>
    <t>CR 2</t>
  </si>
  <si>
    <t>MEC 3</t>
  </si>
  <si>
    <t>Vitesse à l'ouverture m/s</t>
  </si>
  <si>
    <t>Surface parachute m²</t>
  </si>
  <si>
    <t xml:space="preserve">Choc à l'ouverture   N </t>
  </si>
  <si>
    <t>Choc à l'ouverture   kg</t>
  </si>
  <si>
    <t>Compression porte</t>
  </si>
  <si>
    <t>Masse au-dessus porte</t>
  </si>
  <si>
    <t>REC 8</t>
  </si>
  <si>
    <t>rad</t>
  </si>
  <si>
    <t>kg/s</t>
  </si>
  <si>
    <t>Méthodes d'intégration maison</t>
  </si>
  <si>
    <t>Wikipedia</t>
  </si>
  <si>
    <t>Pour se limiter à 1000 lignes, pas variable (les transitions sont-elles rigoureuses ?).</t>
  </si>
  <si>
    <t>Le Vol de la Fusée</t>
  </si>
  <si>
    <t>Beeman (2nd order, explicit variant)</t>
  </si>
  <si>
    <t>Newmark-beta (with γ=1/2 &amp; β=1/4) (2nd order)</t>
  </si>
  <si>
    <t>Spécificités de notre problème (2nd order mechanical ODE) :</t>
  </si>
  <si>
    <t>Verlet (2-stage 2nd order, symplectic, explicit)</t>
  </si>
  <si>
    <t>Trajec 2.x utililse un mélange douteux de différentes méthodes :</t>
  </si>
  <si>
    <t>Méthodes d'intégration explicites officielles</t>
  </si>
  <si>
    <t>On peut anticiper la Poussée (force qui varie le +) et la masse.</t>
  </si>
  <si>
    <t>L'Acc dépend de la vitesse (et peu de la position).</t>
  </si>
  <si>
    <t>Semi-implicit Euler (1st order, symplectic) [§ "Euler modifié" dans Le Vol de La Fusée]</t>
  </si>
  <si>
    <t>Explicit Euler (1st order, non-symplectic) [RK1]</t>
  </si>
  <si>
    <t>Velocity Verlet, Leapfrog variant (2nd order, symplectic, explicit)</t>
  </si>
  <si>
    <t>Midpoint, Modified Euler (2nd order, explicit) [§ "RK2" dans Le Vol de La Fusée]</t>
  </si>
  <si>
    <t>Heun, Improved Euler (2-stage 2nd-order, explicit, predictor-corrector) [Trapezoidal] [RK2]</t>
  </si>
  <si>
    <t>Les méthodes symplectic (conserve l'énergie) gardent-elles leur avantage quand la masse varie (ph propu) ?</t>
  </si>
  <si>
    <t>Sous Excel, on a les pas précédent (linear multistep possible), mais ordre élevé ou implicite sont à exclure.</t>
  </si>
  <si>
    <t>Multi{sub}step (RK), linear multi{previous}step (ADAMS), predictor-corrector, implicit …</t>
  </si>
  <si>
    <t>Dynamique de la fusée (repère sol)</t>
  </si>
  <si>
    <t>Brun/Orange…</t>
  </si>
  <si>
    <t>Rouge…</t>
  </si>
  <si>
    <t>Trajecto/StabTraj corrige l'erreur de Trajec sur Xn+1 en utilisant la vitesse moyenne :</t>
  </si>
  <si>
    <t>Idéalement, il serait préférable de tout calculer à n+0.5 (m, V, β, ρ).</t>
  </si>
  <si>
    <t>Checksum :</t>
  </si>
  <si>
    <t>M_éjecté</t>
  </si>
  <si>
    <t>M_burnout</t>
  </si>
  <si>
    <t>m_poudre</t>
  </si>
  <si>
    <t>Wapiti</t>
  </si>
  <si>
    <t>Cariacou</t>
  </si>
  <si>
    <t>H2O</t>
  </si>
  <si>
    <t>H2O 2.0L 400g 6bar</t>
  </si>
  <si>
    <t>H2O 2.0L 600g 6bar</t>
  </si>
  <si>
    <t>H2O 2.0L 800g 6bar</t>
  </si>
  <si>
    <t>H2O 2.0L 1000g 6bar</t>
  </si>
  <si>
    <t>ABACO</t>
  </si>
  <si>
    <t>Masse totale</t>
  </si>
  <si>
    <t>Traînée prop</t>
  </si>
  <si>
    <t>Traînée bal</t>
  </si>
  <si>
    <t>1/2.ρ.S.Cx</t>
  </si>
  <si>
    <t>M ph prop</t>
  </si>
  <si>
    <t>M ph bal</t>
  </si>
  <si>
    <t>alt_prop</t>
  </si>
  <si>
    <t>V_prop</t>
  </si>
  <si>
    <t>t_culmi</t>
  </si>
  <si>
    <t>D_var</t>
  </si>
  <si>
    <t>Q_var</t>
  </si>
  <si>
    <t>m_var</t>
  </si>
  <si>
    <t>m_prop</t>
  </si>
  <si>
    <t>m_bal</t>
  </si>
  <si>
    <t>a_prop</t>
  </si>
  <si>
    <t>b_prop</t>
  </si>
  <si>
    <t>b_bal</t>
  </si>
  <si>
    <t>Alt prop</t>
  </si>
  <si>
    <t>V max</t>
  </si>
  <si>
    <t>LibreOffice Calc 3.4 ou +</t>
  </si>
  <si>
    <t>alt_culmi</t>
  </si>
  <si>
    <t>x_triomphe</t>
  </si>
  <si>
    <t>z_triomphe</t>
  </si>
  <si>
    <t>Arc de triomphe</t>
  </si>
  <si>
    <t>z_Eiffel</t>
  </si>
  <si>
    <t>x_Eiffel</t>
  </si>
  <si>
    <t>Tour Eiffel</t>
  </si>
  <si>
    <t>H2O 1.5L 300g 6bar</t>
  </si>
  <si>
    <t>H2O 1.5L 450g 6bar</t>
  </si>
  <si>
    <t>H2O 1.5L 600g 6bar</t>
  </si>
  <si>
    <t>H2O 1.5L 750g 6bar</t>
  </si>
  <si>
    <t>FUSEX</t>
  </si>
  <si>
    <t>MINIF PRO29-1G</t>
  </si>
  <si>
    <t>MINIF PRO24-3G</t>
  </si>
  <si>
    <t>MINIF PRO29-2G</t>
  </si>
  <si>
    <t>MINIF PRO24-1G</t>
  </si>
  <si>
    <t>Pro98-3G WT</t>
  </si>
  <si>
    <t>p24-1G 24E22</t>
  </si>
  <si>
    <t>p24-1G 26E31</t>
  </si>
  <si>
    <t>p24-3G 60F50</t>
  </si>
  <si>
    <t>p24-3G 68F79</t>
  </si>
  <si>
    <t>p24-3G 68F240</t>
  </si>
  <si>
    <t>p24-3G 73F30</t>
  </si>
  <si>
    <t>p24-3G 74F85</t>
  </si>
  <si>
    <t>p24-3G 75F51</t>
  </si>
  <si>
    <t>StabTraj V3.1</t>
  </si>
  <si>
    <t>StabTraj V3.2</t>
  </si>
  <si>
    <t>µ-propu C6-3 x2</t>
  </si>
  <si>
    <t>µ-propu C6-3 x3</t>
  </si>
  <si>
    <t>Propu : +RC &amp; +Tintin 2013 : 3 p24-1G, p24-3G 75F51 &amp; 60F50, Pro98-2G &amp; 3G WT</t>
  </si>
  <si>
    <t>Propu : +multi-µ-fu, -Wapiti, warning Cariacou, "Rufina"</t>
  </si>
  <si>
    <t>Donneés au format des fiches de lancement Fusex :</t>
  </si>
  <si>
    <t>Projet</t>
  </si>
  <si>
    <t>Chef de projet</t>
  </si>
  <si>
    <t>Date</t>
  </si>
  <si>
    <t>Moteur</t>
  </si>
  <si>
    <t>Virole</t>
  </si>
  <si>
    <t>MECANIQUE</t>
  </si>
  <si>
    <t xml:space="preserve">l = </t>
  </si>
  <si>
    <t xml:space="preserve">D = </t>
  </si>
  <si>
    <t>Dj =</t>
  </si>
  <si>
    <t xml:space="preserve">Dr = </t>
  </si>
  <si>
    <t xml:space="preserve">m = </t>
  </si>
  <si>
    <t>Epaisseur :</t>
  </si>
  <si>
    <t>Nb Aileron</t>
  </si>
  <si>
    <t>Type ogive</t>
  </si>
  <si>
    <t>ogivale</t>
  </si>
  <si>
    <t>parabolique</t>
  </si>
  <si>
    <t>X_plaque de poussée</t>
  </si>
  <si>
    <t>Masse fusée</t>
  </si>
  <si>
    <t>X_CdG</t>
  </si>
  <si>
    <t>Propu plein</t>
  </si>
  <si>
    <t>Sans propu</t>
  </si>
  <si>
    <t>Masse avec propu vide</t>
  </si>
  <si>
    <t>Simulation de vol</t>
  </si>
  <si>
    <t>Tenue mécanique</t>
  </si>
  <si>
    <t>masse d'un aileron</t>
  </si>
  <si>
    <t>superficie d'un aileron</t>
  </si>
  <si>
    <t>fleche acceptable(mm)</t>
  </si>
  <si>
    <t>compression</t>
  </si>
  <si>
    <t>Resistance longitudinale d'un aileron</t>
  </si>
  <si>
    <t>Resistance transversale d'un aileron</t>
  </si>
  <si>
    <t>Récupération</t>
  </si>
  <si>
    <t>Ralentisseur</t>
  </si>
  <si>
    <t>nombre de suspentes</t>
  </si>
  <si>
    <t>surface parachute</t>
  </si>
  <si>
    <t>force à tester totale</t>
  </si>
  <si>
    <t>force sur suspente</t>
  </si>
  <si>
    <t>Séparation latérale</t>
  </si>
  <si>
    <t>masse au dessus case para</t>
  </si>
  <si>
    <t>Force de compression</t>
  </si>
  <si>
    <t>MINIF PRO24-6G</t>
  </si>
  <si>
    <t>MINIF PRO38-1G</t>
  </si>
  <si>
    <t>p29-2G 84G88</t>
  </si>
  <si>
    <t>p29-2G 93G80</t>
  </si>
  <si>
    <t>p29-2G 110G250</t>
  </si>
  <si>
    <t>p29-2G 116G126</t>
  </si>
  <si>
    <t>p38-1G 137G58</t>
  </si>
  <si>
    <t>p38-1G 128G185</t>
  </si>
  <si>
    <t>p29-1G 41F36</t>
  </si>
  <si>
    <t>p29-1G 51F36</t>
  </si>
  <si>
    <t>p29-1G 55F29</t>
  </si>
  <si>
    <t>p29-1G 56F120</t>
  </si>
  <si>
    <t>p29-1G 57F59</t>
  </si>
  <si>
    <t>MINIF PRO29-3G</t>
  </si>
  <si>
    <t>p29-3G 125G131</t>
  </si>
  <si>
    <t>p38-1G 141G78</t>
  </si>
  <si>
    <t>MINIF PRO24-2G</t>
  </si>
  <si>
    <t>p24-2G 50E51</t>
  </si>
  <si>
    <t>p24-1G 53E70</t>
  </si>
  <si>
    <t>p29-3G 159G125</t>
  </si>
  <si>
    <t>Dépotage</t>
  </si>
  <si>
    <t>Combustion</t>
  </si>
  <si>
    <t>Sylvain Besson</t>
  </si>
  <si>
    <t>Minif Test</t>
  </si>
  <si>
    <t>Rocketry Challenge</t>
  </si>
  <si>
    <t>,Minif Tests</t>
  </si>
  <si>
    <t>MiniR</t>
  </si>
  <si>
    <t>MiniRN</t>
  </si>
  <si>
    <t>MiniN</t>
  </si>
  <si>
    <t>H20</t>
  </si>
  <si>
    <t>micro</t>
  </si>
  <si>
    <t>minif N</t>
  </si>
  <si>
    <t>Verification moteur</t>
  </si>
  <si>
    <t>Minif RC</t>
  </si>
  <si>
    <t>N/A</t>
  </si>
  <si>
    <t>T_para =</t>
  </si>
  <si>
    <t>-9</t>
  </si>
  <si>
    <t>-7</t>
  </si>
  <si>
    <t>-5</t>
  </si>
  <si>
    <t>-3</t>
  </si>
  <si>
    <t>-0</t>
  </si>
  <si>
    <t>Délais dépotage</t>
  </si>
  <si>
    <t>Propu : +ProX, Stabilito : séparation minif/RC, Trajecto : dépotage +rampe RC 3m</t>
  </si>
  <si>
    <t>StabTraj V3.3a</t>
  </si>
  <si>
    <t>p24-1G 25E75 (Rufina)</t>
  </si>
  <si>
    <t>Modification des alertes, +Effort subit par les parachutes</t>
  </si>
  <si>
    <t>Pour prendre en compte plsu de moteurs, il faut changer les variables "menu_type" et "liste"propu" dans le gestionnaire de noms.</t>
  </si>
  <si>
    <t>StabTraj V3.3e</t>
  </si>
  <si>
    <t>Efforts</t>
  </si>
  <si>
    <t>Xcp0</t>
  </si>
  <si>
    <t>Mono-empennage</t>
  </si>
  <si>
    <t>Bi-empennage</t>
  </si>
  <si>
    <t>Portée balistique &lt; 200 m</t>
  </si>
  <si>
    <t>Indication dépotage lanceur</t>
  </si>
  <si>
    <t>~0 m</t>
  </si>
  <si>
    <t>Données au format des fiches de contrôles minif :</t>
  </si>
  <si>
    <t xml:space="preserve">n = </t>
  </si>
  <si>
    <t xml:space="preserve">E = </t>
  </si>
  <si>
    <t xml:space="preserve">p = </t>
  </si>
  <si>
    <t>1,5.D &lt; Ms &lt; 6.D</t>
  </si>
  <si>
    <t xml:space="preserve">ailrons haut </t>
  </si>
  <si>
    <t>nombre</t>
  </si>
  <si>
    <t xml:space="preserve">ep = </t>
  </si>
  <si>
    <t>Fusée</t>
  </si>
  <si>
    <t>D</t>
  </si>
  <si>
    <t>L ogive</t>
  </si>
  <si>
    <t>L tot</t>
  </si>
  <si>
    <t>X prop</t>
  </si>
  <si>
    <t>Ailerons</t>
  </si>
  <si>
    <t>n</t>
  </si>
  <si>
    <t>p</t>
  </si>
  <si>
    <t>E</t>
  </si>
  <si>
    <t>X ail</t>
  </si>
  <si>
    <t>Bi empennage</t>
  </si>
  <si>
    <t>L</t>
  </si>
  <si>
    <t>D 1</t>
  </si>
  <si>
    <t>D 2</t>
  </si>
  <si>
    <t>X</t>
  </si>
  <si>
    <t>X cg (sans)</t>
  </si>
  <si>
    <t>(mm)</t>
  </si>
  <si>
    <t>Masse sans propu (kg)</t>
  </si>
  <si>
    <t>Couleur de la fusée</t>
  </si>
  <si>
    <t>Type d'éjection du para.</t>
  </si>
  <si>
    <t>Couleur du ralentisseur</t>
  </si>
  <si>
    <t>Surface ralentisseur (m²)</t>
  </si>
  <si>
    <t>Masse sans prop. (kg)</t>
  </si>
  <si>
    <t>Diamètre max (mm)</t>
  </si>
  <si>
    <t>Longeur de la rampe (m)</t>
  </si>
  <si>
    <t>Propulseur</t>
  </si>
  <si>
    <t>module rocket(){</t>
  </si>
  <si>
    <t>}</t>
  </si>
  <si>
    <t>//--------------------------------coiffe</t>
  </si>
  <si>
    <t>if (coiffe_type   == "conique"){</t>
  </si>
  <si>
    <t>//--------------------------------corps</t>
  </si>
  <si>
    <t>if (plusieur_diametres == false){</t>
  </si>
  <si>
    <t>} else {</t>
  </si>
  <si>
    <t>//--------------------------------ailerons</t>
  </si>
  <si>
    <t>aileron(coiffe_diametre, aileron_m_emplature,</t>
  </si>
  <si>
    <t xml:space="preserve"> aileron_position_bas);</t>
  </si>
  <si>
    <t>if (bi_empennage == true){</t>
  </si>
  <si>
    <t xml:space="preserve"> aileron_sup_nombre,</t>
  </si>
  <si>
    <t>rocket();</t>
  </si>
  <si>
    <t xml:space="preserve">	module aileron(diam, m, n, p, e, ep, nb, pos, masque = true){</t>
  </si>
  <si>
    <t xml:space="preserve"> 		depha =   masque ? 0 : 45 ;</t>
  </si>
  <si>
    <t xml:space="preserve">		for (angle = [0 : 360/nb : 360] ){</t>
  </si>
  <si>
    <t xml:space="preserve">			translate ([-diam*sin(angle+depha), diam*cos(angle+depha), pos-m]) {</t>
  </si>
  <si>
    <t xml:space="preserve">				rotate( [0, 0, angle+depha] ){</t>
  </si>
  <si>
    <t xml:space="preserve">	</t>
  </si>
  <si>
    <t xml:space="preserve">					polyhedron</t>
  </si>
  <si>
    <t xml:space="preserve">						(points = [</t>
  </si>
  <si>
    <t xml:space="preserve">							[+ep, 0, 0], [+ep, 0, m], [+ep, e, p+n],  [+ep, e, p],</t>
  </si>
  <si>
    <t xml:space="preserve">							[-ep, 0, 0], [-ep, 0, m], [-ep, e, p+n],  [-ep, e, p]</t>
  </si>
  <si>
    <t xml:space="preserve">							],</t>
  </si>
  <si>
    <t xml:space="preserve">						triangles = [</t>
  </si>
  <si>
    <t xml:space="preserve">							[0, 2, 1], [0, 2, 3], //carre +</t>
  </si>
  <si>
    <t xml:space="preserve">							[4, 6, 5], [4, 6, 7], //carre -</t>
  </si>
  <si>
    <t xml:space="preserve">							[0, 5, 1], [0, 5, 4],</t>
  </si>
  <si>
    <t xml:space="preserve">							[1, 6, 2], [1, 6, 5],</t>
  </si>
  <si>
    <t xml:space="preserve">							[2, 7, 3], [2, 7, 6],</t>
  </si>
  <si>
    <t xml:space="preserve">							[0, 7, 3], [0, 7, 4]</t>
  </si>
  <si>
    <t xml:space="preserve">							]</t>
  </si>
  <si>
    <t xml:space="preserve">						);</t>
  </si>
  <si>
    <t xml:space="preserve">				}</t>
  </si>
  <si>
    <t xml:space="preserve">			}</t>
  </si>
  <si>
    <t xml:space="preserve">		}</t>
  </si>
  <si>
    <t xml:space="preserve">	}	</t>
  </si>
  <si>
    <t xml:space="preserve">	module coiffe(diam, hauteur, resolution = 20.0){</t>
  </si>
  <si>
    <t xml:space="preserve">		pas = hauteur/resolution;</t>
  </si>
  <si>
    <t xml:space="preserve">		for (x = [0: pas : hauteur] ){</t>
  </si>
  <si>
    <t xml:space="preserve">			translate( [0, 0, x+pas] ){</t>
  </si>
  <si>
    <t xml:space="preserve">				cylinder(pas, pow(x, 1.0/2.0), pow(x+pas, 1.0/2.0), false);</t>
  </si>
  <si>
    <t xml:space="preserve">	}</t>
  </si>
  <si>
    <t xml:space="preserve">	cylinder(coiffe_hauteur, 0, coiffe_diametre, false);</t>
  </si>
  <si>
    <t xml:space="preserve">	translate ([0, 0, coiffe_hauteur]) {</t>
  </si>
  <si>
    <t xml:space="preserve">		cylinder(longeur_total-coiffe_hauteur, coiffe_diametre, coiffe_diametre, false);</t>
  </si>
  <si>
    <t xml:space="preserve">	//Premier cylindre</t>
  </si>
  <si>
    <t xml:space="preserve">		cylinder(diam_A_X_implantation-coiffe_hauteur, coiffe_diametre, coiffe_diametre, false);</t>
  </si>
  <si>
    <t xml:space="preserve">	//Premier chanvrin</t>
  </si>
  <si>
    <t xml:space="preserve">	translate ([0, 0, diam_A_X_implantation]) {</t>
  </si>
  <si>
    <t xml:space="preserve">		cylinder(diam_A_L_longeur, diam_A_D1_diametre, diam_A_D2_diametre, false);</t>
  </si>
  <si>
    <t xml:space="preserve">		</t>
  </si>
  <si>
    <t xml:space="preserve">	//Second cylindre</t>
  </si>
  <si>
    <t xml:space="preserve">	translate ([0, 0, diam_A_X_implantation+diam_A_L_longeur]) {</t>
  </si>
  <si>
    <t xml:space="preserve">		cylinder(diam_B_X_implantation-(diam_A_X_implantation+diam_A_L_longeur), diam_A_D2_diametre, diam_B_D1_diametre, false);</t>
  </si>
  <si>
    <t xml:space="preserve">	//Second chanvrin</t>
  </si>
  <si>
    <t xml:space="preserve">	translate ([0, 0, diam_B_X_implantation]) {</t>
  </si>
  <si>
    <t xml:space="preserve">		cylinder(diam_B_L_longeur, diam_B_D1_diametre, diam_B_D2_diametre, false);</t>
  </si>
  <si>
    <t xml:space="preserve">	//Troisieme cylindre</t>
  </si>
  <si>
    <t xml:space="preserve">	translate ([0, 0, diam_B_X_implantation + diam_B_L_longeur]) {</t>
  </si>
  <si>
    <t xml:space="preserve">		cylinder(longeur_total-(diam_B_X_implantation + diam_B_L_longeur), diam_B_D2_diametre, diam_B_D2_diametre, false);</t>
  </si>
  <si>
    <t xml:space="preserve">	 aileron_n_saumon, </t>
  </si>
  <si>
    <t xml:space="preserve">	 aileron_p_fleche,</t>
  </si>
  <si>
    <t xml:space="preserve">	 aileron_e_envergure,</t>
  </si>
  <si>
    <t xml:space="preserve">	 aileron_epaisseur,</t>
  </si>
  <si>
    <t xml:space="preserve">	 aileron_nombre,</t>
  </si>
  <si>
    <t xml:space="preserve">	aileron(coiffe_diametre, aileron_sup_m_emplature,</t>
  </si>
  <si>
    <t xml:space="preserve">	 aileron_sup_n_saumon,</t>
  </si>
  <si>
    <t xml:space="preserve">	 aileron_sup_p_fleche,</t>
  </si>
  <si>
    <t xml:space="preserve">	 aileron_sup_e_envergure,</t>
  </si>
  <si>
    <t xml:space="preserve">	 aileron_sup_epaisseur,</t>
  </si>
  <si>
    <t xml:space="preserve">	 aileron_sup_position_bas,</t>
  </si>
  <si>
    <t xml:space="preserve">	 aileron_sup_masque);</t>
  </si>
  <si>
    <t>p24-6G 140G145 PK</t>
  </si>
  <si>
    <t>p24-6G 139G107 DT</t>
  </si>
  <si>
    <t>p24-6G 142G117 WT</t>
  </si>
  <si>
    <t>Klima D9-7 x2</t>
  </si>
  <si>
    <t>Klima D9-7 x3</t>
  </si>
  <si>
    <t>Klima D9-7</t>
  </si>
  <si>
    <t>StabTraj V3.4.1</t>
  </si>
  <si>
    <t>Propu : +Klima D9</t>
  </si>
  <si>
    <t>p29-1G 56F31</t>
  </si>
  <si>
    <t xml:space="preserve"> 143G150 BS</t>
  </si>
  <si>
    <t>StabTraj V3.4.2</t>
  </si>
  <si>
    <t>Ajout propu</t>
  </si>
  <si>
    <t>Pandora (Pro24-6G BS)</t>
  </si>
  <si>
    <t>Barasinga (Pro54-5G C)</t>
  </si>
  <si>
    <t>Orignal (Pro75-3G C)</t>
  </si>
  <si>
    <t>Blastocerus (Pro98-6GXL RL)</t>
  </si>
  <si>
    <t>Pro54-5G WT</t>
  </si>
  <si>
    <t>Flavien DENIS</t>
  </si>
  <si>
    <t>Ajout Pro54-5G WT et Pro98-6G Green</t>
  </si>
  <si>
    <t>StabTraj V3.4.3</t>
  </si>
  <si>
    <t>Pro98-6G Green</t>
  </si>
  <si>
    <t>StabTraj V3.4.4</t>
  </si>
  <si>
    <t>Type de para</t>
  </si>
  <si>
    <t>Rond</t>
  </si>
  <si>
    <t>Croix</t>
  </si>
  <si>
    <t>Autre</t>
  </si>
  <si>
    <t>Unification Type Minif et RC + liste déroulante pour le type de parachute.</t>
  </si>
  <si>
    <t>Matricule</t>
  </si>
  <si>
    <t>Matriucle</t>
  </si>
  <si>
    <t>Corrections mineurs</t>
  </si>
  <si>
    <t>StabTraj V3.4.5</t>
  </si>
  <si>
    <t>v3.4.5</t>
  </si>
  <si>
    <t>Fusée expérimentale.</t>
  </si>
  <si>
    <t>L'AéroIPSA</t>
  </si>
  <si>
    <t>Conique (droite)</t>
  </si>
  <si>
    <t>Plusieurs diamètres.</t>
  </si>
  <si>
    <t>SP02</t>
  </si>
  <si>
    <t>sans propu</t>
  </si>
  <si>
    <t>Cnalpha</t>
  </si>
  <si>
    <t>MS</t>
  </si>
  <si>
    <t>OpenRocket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</si>
</sst>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3">
    <numFmt numFmtId="164" formatCode="General&quot; kg&quot;"/>
    <numFmt numFmtId="165" formatCode="0.0"/>
    <numFmt numFmtId="166" formatCode="0.000000&quot; m²&quot;"/>
    <numFmt numFmtId="167" formatCode="General&quot; m&quot;"/>
    <numFmt numFmtId="168" formatCode="General&quot; °&quot;"/>
    <numFmt numFmtId="169" formatCode="0.000"/>
    <numFmt numFmtId="170" formatCode="General&quot; s&quot;"/>
    <numFmt numFmtId="171" formatCode="General&quot; m²&quot;"/>
    <numFmt numFmtId="172" formatCode="0&quot; m/s&quot;"/>
    <numFmt numFmtId="173" formatCode="0&quot; s&quot;"/>
    <numFmt numFmtId="174" formatCode="General&quot; m/s&quot;"/>
    <numFmt numFmtId="175" formatCode="0&quot; m&quot;"/>
    <numFmt numFmtId="176" formatCode="General\ &quot;kg&quot;"/>
    <numFmt numFmtId="177" formatCode="General\ &quot;mm&quot;"/>
    <numFmt numFmtId="178" formatCode="0&quot; mm&quot;"/>
    <numFmt numFmtId="179" formatCode="General\ &quot;D&quot;"/>
    <numFmt numFmtId="180" formatCode="0.00&quot; D&quot;"/>
    <numFmt numFmtId="181" formatCode="0&quot;% L&quot;"/>
    <numFmt numFmtId="182" formatCode="General\°"/>
    <numFmt numFmtId="183" formatCode="0.#"/>
    <numFmt numFmtId="184" formatCode="0.0&quot; N.s&quot;"/>
    <numFmt numFmtId="185" formatCode="\±\ 0&quot; m&quot;"/>
    <numFmt numFmtId="186" formatCode="0.0&quot; s&quot;"/>
    <numFmt numFmtId="187" formatCode="0.0&quot; m/s&quot;"/>
    <numFmt numFmtId="188" formatCode="0&quot; m/s²&quot;"/>
    <numFmt numFmtId="189" formatCode="0.00&quot; m²&quot;"/>
    <numFmt numFmtId="190" formatCode="General\ &quot;g&quot;"/>
    <numFmt numFmtId="191" formatCode="#,##0.0\ [$ N]"/>
    <numFmt numFmtId="192" formatCode="#,##0.000\ [$KG]"/>
    <numFmt numFmtId="193" formatCode="0.0&quot; mm&quot;"/>
    <numFmt numFmtId="194" formatCode="General&quot; kg ±100%&quot;"/>
    <numFmt numFmtId="195" formatCode="0&quot; mm ±50%&quot;"/>
    <numFmt numFmtId="196" formatCode="General\ &quot;m/s²&quot;"/>
    <numFmt numFmtId="197" formatCode="&quot;Ø = &quot;0&quot; mm&quot;"/>
    <numFmt numFmtId="198" formatCode="#,##0\ [$ mm²]"/>
    <numFmt numFmtId="199" formatCode="#,#00\ [$ mm]"/>
    <numFmt numFmtId="200" formatCode="#,##0\ [$mm]"/>
    <numFmt numFmtId="201" formatCode="#,##0.00000\ [$ m²]"/>
    <numFmt numFmtId="202" formatCode="#,##0.0\ [$ kg]"/>
    <numFmt numFmtId="203" formatCode="0.00&quot; s&quot;"/>
    <numFmt numFmtId="204" formatCode="0.0&quot; N&quot;"/>
    <numFmt numFmtId="205" formatCode="0&quot; J&quot;"/>
    <numFmt numFmtId="206" formatCode="0&quot; G&quot;"/>
  </numFmts>
  <fonts count="52" x14ac:knownFonts="1">
    <font>
      <sz val="10"/>
      <name val="Arial"/>
      <family val="2"/>
    </font>
    <font>
      <sz val="10"/>
      <name val="Arial"/>
      <family val="2"/>
    </font>
    <font>
      <b/>
      <sz val="10"/>
      <name val="Arial"/>
      <family val="2"/>
    </font>
    <font>
      <b/>
      <sz val="20"/>
      <color indexed="9"/>
      <name val="Arial"/>
      <family val="2"/>
    </font>
    <font>
      <b/>
      <sz val="12"/>
      <name val="Times New Roman"/>
      <family val="1"/>
    </font>
    <font>
      <b/>
      <sz val="9"/>
      <name val="Arial"/>
      <family val="2"/>
    </font>
    <font>
      <b/>
      <u/>
      <sz val="10"/>
      <name val="Arial"/>
      <family val="2"/>
    </font>
    <font>
      <sz val="10"/>
      <color indexed="9"/>
      <name val="Arial"/>
      <family val="2"/>
    </font>
    <font>
      <sz val="8"/>
      <name val="Arial"/>
      <family val="2"/>
    </font>
    <font>
      <u/>
      <sz val="10"/>
      <name val="Arial"/>
      <family val="2"/>
    </font>
    <font>
      <u/>
      <sz val="10"/>
      <color indexed="12"/>
      <name val="Arial"/>
      <family val="2"/>
    </font>
    <font>
      <b/>
      <sz val="10"/>
      <color indexed="18"/>
      <name val="Arial"/>
      <family val="2"/>
    </font>
    <font>
      <b/>
      <sz val="10"/>
      <color indexed="58"/>
      <name val="Arial"/>
      <family val="2"/>
    </font>
    <font>
      <b/>
      <sz val="10"/>
      <color indexed="17"/>
      <name val="Arial"/>
      <family val="2"/>
    </font>
    <font>
      <b/>
      <sz val="10"/>
      <color indexed="23"/>
      <name val="Arial"/>
      <family val="2"/>
    </font>
    <font>
      <sz val="10"/>
      <name val="Arial"/>
      <family val="2"/>
    </font>
    <font>
      <b/>
      <sz val="10"/>
      <color indexed="10"/>
      <name val="Arial"/>
      <family val="2"/>
    </font>
    <font>
      <b/>
      <sz val="14"/>
      <color indexed="10"/>
      <name val="Arial"/>
      <family val="2"/>
    </font>
    <font>
      <sz val="8"/>
      <color indexed="8"/>
      <name val="Tahoma"/>
      <family val="2"/>
    </font>
    <font>
      <i/>
      <sz val="8"/>
      <color indexed="8"/>
      <name val="Tahoma"/>
      <family val="2"/>
    </font>
    <font>
      <b/>
      <sz val="8"/>
      <color indexed="8"/>
      <name val="Tahoma"/>
      <family val="2"/>
    </font>
    <font>
      <sz val="8"/>
      <color indexed="10"/>
      <name val="Tahoma"/>
      <family val="2"/>
    </font>
    <font>
      <i/>
      <sz val="8"/>
      <color indexed="10"/>
      <name val="Tahoma"/>
      <family val="2"/>
    </font>
    <font>
      <b/>
      <u/>
      <sz val="8"/>
      <color indexed="8"/>
      <name val="Tahoma"/>
      <family val="2"/>
    </font>
    <font>
      <b/>
      <sz val="8"/>
      <color indexed="16"/>
      <name val="Tahoma"/>
      <family val="2"/>
    </font>
    <font>
      <i/>
      <sz val="8"/>
      <color indexed="16"/>
      <name val="Tahoma"/>
      <family val="2"/>
    </font>
    <font>
      <strike/>
      <sz val="10"/>
      <name val="Arial"/>
      <family val="2"/>
    </font>
    <font>
      <b/>
      <i/>
      <sz val="8"/>
      <color indexed="8"/>
      <name val="Tahoma"/>
      <family val="2"/>
    </font>
    <font>
      <b/>
      <sz val="10"/>
      <color indexed="23"/>
      <name val="Arial"/>
      <family val="2"/>
    </font>
    <font>
      <b/>
      <sz val="6"/>
      <name val="Arial"/>
      <family val="2"/>
    </font>
    <font>
      <sz val="8"/>
      <color indexed="23"/>
      <name val="Arial"/>
      <family val="2"/>
    </font>
    <font>
      <b/>
      <sz val="10"/>
      <color indexed="23"/>
      <name val="Arial"/>
      <family val="2"/>
    </font>
    <font>
      <b/>
      <sz val="10"/>
      <color indexed="23"/>
      <name val="Arial"/>
      <family val="2"/>
    </font>
    <font>
      <sz val="10"/>
      <color indexed="23"/>
      <name val="Arial"/>
      <family val="2"/>
    </font>
    <font>
      <sz val="10"/>
      <color indexed="12"/>
      <name val="Arial"/>
      <family val="2"/>
    </font>
    <font>
      <b/>
      <sz val="12"/>
      <name val="Arial"/>
      <family val="2"/>
    </font>
    <font>
      <b/>
      <sz val="8"/>
      <name val="Arial"/>
      <family val="2"/>
    </font>
    <font>
      <sz val="8"/>
      <color indexed="12"/>
      <name val="Tahoma"/>
      <family val="2"/>
    </font>
    <font>
      <i/>
      <sz val="8"/>
      <color indexed="12"/>
      <name val="Tahoma"/>
      <family val="2"/>
    </font>
    <font>
      <sz val="8"/>
      <color indexed="81"/>
      <name val="Tahoma"/>
      <family val="2"/>
    </font>
    <font>
      <i/>
      <sz val="8"/>
      <color indexed="81"/>
      <name val="Tahoma"/>
      <family val="2"/>
    </font>
    <font>
      <b/>
      <sz val="10"/>
      <color indexed="53"/>
      <name val="Arial"/>
      <family val="2"/>
    </font>
    <font>
      <b/>
      <u/>
      <sz val="12"/>
      <name val="Arial"/>
      <family val="2"/>
    </font>
    <font>
      <b/>
      <i/>
      <sz val="10"/>
      <name val="Arial"/>
      <family val="2"/>
    </font>
    <font>
      <b/>
      <sz val="8"/>
      <color indexed="81"/>
      <name val="Tahoma"/>
      <family val="2"/>
    </font>
    <font>
      <b/>
      <sz val="10"/>
      <color rgb="FFFF0000"/>
      <name val="Arial"/>
      <family val="2"/>
    </font>
    <font>
      <b/>
      <sz val="10"/>
      <color rgb="FF808080"/>
      <name val="Arial"/>
      <family val="2"/>
    </font>
    <font>
      <sz val="10"/>
      <color rgb="FF808080"/>
      <name val="Arial"/>
      <family val="2"/>
    </font>
    <font>
      <sz val="8"/>
      <color rgb="FF808080"/>
      <name val="Arial"/>
      <family val="2"/>
    </font>
    <font>
      <sz val="8"/>
      <color theme="0"/>
      <name val="Arial"/>
      <family val="2"/>
    </font>
    <font>
      <sz val="10"/>
      <color rgb="FFFF0000"/>
      <name val="Arial"/>
      <family val="2"/>
    </font>
    <font>
      <b/>
      <sz val="10"/>
      <color theme="1"/>
      <name val="Arial"/>
      <family val="2"/>
    </font>
  </fonts>
  <fills count="35">
    <fill>
      <patternFill patternType="none"/>
    </fill>
    <fill>
      <patternFill patternType="gray125"/>
    </fill>
    <fill>
      <patternFill patternType="solid">
        <fgColor indexed="9"/>
        <bgColor indexed="26"/>
      </patternFill>
    </fill>
    <fill>
      <patternFill patternType="solid">
        <fgColor indexed="43"/>
        <bgColor indexed="42"/>
      </patternFill>
    </fill>
    <fill>
      <patternFill patternType="solid">
        <fgColor indexed="43"/>
        <bgColor indexed="64"/>
      </patternFill>
    </fill>
    <fill>
      <patternFill patternType="solid">
        <fgColor indexed="27"/>
        <bgColor indexed="64"/>
      </patternFill>
    </fill>
    <fill>
      <patternFill patternType="solid">
        <fgColor indexed="44"/>
        <bgColor indexed="64"/>
      </patternFill>
    </fill>
    <fill>
      <patternFill patternType="solid">
        <fgColor indexed="27"/>
        <bgColor indexed="42"/>
      </patternFill>
    </fill>
    <fill>
      <patternFill patternType="solid">
        <fgColor indexed="44"/>
        <bgColor indexed="27"/>
      </patternFill>
    </fill>
    <fill>
      <patternFill patternType="solid">
        <fgColor indexed="44"/>
        <bgColor indexed="22"/>
      </patternFill>
    </fill>
    <fill>
      <patternFill patternType="solid">
        <fgColor indexed="47"/>
        <bgColor indexed="64"/>
      </patternFill>
    </fill>
    <fill>
      <patternFill patternType="solid">
        <fgColor indexed="47"/>
        <bgColor indexed="27"/>
      </patternFill>
    </fill>
    <fill>
      <patternFill patternType="solid">
        <fgColor indexed="47"/>
        <bgColor indexed="44"/>
      </patternFill>
    </fill>
    <fill>
      <patternFill patternType="solid">
        <fgColor indexed="42"/>
        <bgColor indexed="42"/>
      </patternFill>
    </fill>
    <fill>
      <patternFill patternType="solid">
        <fgColor indexed="42"/>
        <bgColor indexed="64"/>
      </patternFill>
    </fill>
    <fill>
      <patternFill patternType="solid">
        <fgColor indexed="43"/>
        <bgColor indexed="44"/>
      </patternFill>
    </fill>
    <fill>
      <patternFill patternType="solid">
        <fgColor indexed="26"/>
        <bgColor indexed="41"/>
      </patternFill>
    </fill>
    <fill>
      <patternFill patternType="solid">
        <fgColor indexed="42"/>
        <bgColor indexed="41"/>
      </patternFill>
    </fill>
    <fill>
      <patternFill patternType="solid">
        <fgColor indexed="43"/>
        <bgColor indexed="41"/>
      </patternFill>
    </fill>
    <fill>
      <patternFill patternType="solid">
        <fgColor indexed="8"/>
        <bgColor indexed="64"/>
      </patternFill>
    </fill>
    <fill>
      <patternFill patternType="solid">
        <fgColor indexed="8"/>
        <bgColor indexed="58"/>
      </patternFill>
    </fill>
    <fill>
      <patternFill patternType="solid">
        <fgColor rgb="FFCCFFFF"/>
        <bgColor indexed="41"/>
      </patternFill>
    </fill>
    <fill>
      <patternFill patternType="solid">
        <fgColor rgb="FF99CCFF"/>
        <bgColor indexed="31"/>
      </patternFill>
    </fill>
    <fill>
      <patternFill patternType="solid">
        <fgColor rgb="FFCCFFFF"/>
        <bgColor indexed="42"/>
      </patternFill>
    </fill>
    <fill>
      <patternFill patternType="solid">
        <fgColor rgb="FFCCFFCC"/>
        <bgColor indexed="42"/>
      </patternFill>
    </fill>
    <fill>
      <patternFill patternType="solid">
        <fgColor rgb="FFCCFFCC"/>
        <bgColor indexed="41"/>
      </patternFill>
    </fill>
    <fill>
      <patternFill patternType="solid">
        <fgColor rgb="FFFFCC99"/>
        <bgColor indexed="31"/>
      </patternFill>
    </fill>
    <fill>
      <patternFill patternType="solid">
        <fgColor rgb="FF99CCFF"/>
        <bgColor indexed="64"/>
      </patternFill>
    </fill>
    <fill>
      <patternFill patternType="solid">
        <fgColor rgb="FFFFCC99"/>
        <bgColor indexed="64"/>
      </patternFill>
    </fill>
    <fill>
      <patternFill patternType="solid">
        <fgColor rgb="FFCCFFCC"/>
        <bgColor indexed="64"/>
      </patternFill>
    </fill>
    <fill>
      <patternFill patternType="solid">
        <fgColor rgb="FFFFFF99"/>
        <bgColor indexed="64"/>
      </patternFill>
    </fill>
    <fill>
      <patternFill patternType="solid">
        <fgColor rgb="FFFFCC99"/>
        <bgColor indexed="42"/>
      </patternFill>
    </fill>
    <fill>
      <patternFill patternType="solid">
        <fgColor rgb="FFCCFFFF"/>
        <bgColor indexed="64"/>
      </patternFill>
    </fill>
    <fill>
      <patternFill patternType="solid">
        <fgColor rgb="FFFFFF99"/>
        <bgColor indexed="42"/>
      </patternFill>
    </fill>
    <fill>
      <patternFill patternType="solid">
        <fgColor theme="0" tint="-0.499984740745262"/>
        <bgColor indexed="64"/>
      </patternFill>
    </fill>
  </fills>
  <borders count="104">
    <border>
      <left/>
      <right/>
      <top/>
      <bottom/>
      <diagonal/>
    </border>
    <border>
      <left style="medium">
        <color indexed="8"/>
      </left>
      <right style="medium">
        <color indexed="8"/>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double">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8"/>
      </right>
      <top style="medium">
        <color indexed="8"/>
      </top>
      <bottom style="medium">
        <color indexed="8"/>
      </bottom>
      <diagonal/>
    </border>
    <border>
      <left style="hair">
        <color indexed="8"/>
      </left>
      <right style="hair">
        <color indexed="8"/>
      </right>
      <top style="hair">
        <color indexed="8"/>
      </top>
      <bottom style="hair">
        <color indexed="8"/>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23"/>
      </bottom>
      <diagonal/>
    </border>
    <border>
      <left style="thin">
        <color indexed="8"/>
      </left>
      <right style="thin">
        <color indexed="8"/>
      </right>
      <top style="thin">
        <color indexed="23"/>
      </top>
      <bottom style="thin">
        <color indexed="8"/>
      </bottom>
      <diagonal/>
    </border>
    <border>
      <left style="thin">
        <color indexed="8"/>
      </left>
      <right/>
      <top style="thin">
        <color indexed="8"/>
      </top>
      <bottom style="thin">
        <color indexed="8"/>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8"/>
      </right>
      <top style="thin">
        <color indexed="8"/>
      </top>
      <bottom style="thin">
        <color indexed="8"/>
      </bottom>
      <diagonal/>
    </border>
    <border>
      <left style="thick">
        <color indexed="11"/>
      </left>
      <right style="thick">
        <color indexed="11"/>
      </right>
      <top style="thick">
        <color indexed="11"/>
      </top>
      <bottom style="thick">
        <color indexed="11"/>
      </bottom>
      <diagonal/>
    </border>
    <border>
      <left style="thick">
        <color indexed="11"/>
      </left>
      <right style="thick">
        <color indexed="57"/>
      </right>
      <top style="thick">
        <color indexed="57"/>
      </top>
      <bottom style="thick">
        <color indexed="57"/>
      </bottom>
      <diagonal/>
    </border>
    <border>
      <left style="thick">
        <color indexed="57"/>
      </left>
      <right style="mediumDashed">
        <color indexed="10"/>
      </right>
      <top style="mediumDashed">
        <color indexed="10"/>
      </top>
      <bottom style="mediumDashed">
        <color indexed="10"/>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8"/>
      </right>
      <top style="thin">
        <color indexed="8"/>
      </top>
      <bottom style="thin">
        <color indexed="64"/>
      </bottom>
      <diagonal/>
    </border>
    <border>
      <left style="thin">
        <color indexed="8"/>
      </left>
      <right style="medium">
        <color indexed="8"/>
      </right>
      <top style="thin">
        <color indexed="8"/>
      </top>
      <bottom style="thin">
        <color indexed="64"/>
      </bottom>
      <diagonal/>
    </border>
    <border>
      <left style="medium">
        <color indexed="8"/>
      </left>
      <right style="thin">
        <color indexed="8"/>
      </right>
      <top/>
      <bottom style="thin">
        <color indexed="8"/>
      </bottom>
      <diagonal/>
    </border>
    <border>
      <left style="thin">
        <color indexed="8"/>
      </left>
      <right style="thin">
        <color indexed="8"/>
      </right>
      <top style="medium">
        <color indexed="8"/>
      </top>
      <bottom style="thin">
        <color indexed="8"/>
      </bottom>
      <diagonal/>
    </border>
    <border>
      <left style="medium">
        <color indexed="8"/>
      </left>
      <right style="thin">
        <color indexed="8"/>
      </right>
      <top style="thin">
        <color indexed="8"/>
      </top>
      <bottom/>
      <diagonal/>
    </border>
    <border>
      <left style="thin">
        <color indexed="8"/>
      </left>
      <right style="thin">
        <color indexed="8"/>
      </right>
      <top style="thin">
        <color indexed="8"/>
      </top>
      <bottom style="thin">
        <color indexed="64"/>
      </bottom>
      <diagonal/>
    </border>
    <border>
      <left style="medium">
        <color indexed="8"/>
      </left>
      <right style="medium">
        <color indexed="8"/>
      </right>
      <top/>
      <bottom style="thin">
        <color indexed="8"/>
      </bottom>
      <diagonal/>
    </border>
    <border>
      <left style="thin">
        <color indexed="8"/>
      </left>
      <right style="medium">
        <color indexed="8"/>
      </right>
      <top style="thin">
        <color indexed="8"/>
      </top>
      <bottom/>
      <diagonal/>
    </border>
    <border>
      <left style="thin">
        <color indexed="8"/>
      </left>
      <right style="thin">
        <color indexed="8"/>
      </right>
      <top style="thin">
        <color indexed="8"/>
      </top>
      <bottom/>
      <diagonal/>
    </border>
    <border>
      <left style="medium">
        <color indexed="8"/>
      </left>
      <right style="medium">
        <color indexed="8"/>
      </right>
      <top style="thin">
        <color indexed="8"/>
      </top>
      <bottom/>
      <diagonal/>
    </border>
    <border>
      <left style="medium">
        <color indexed="8"/>
      </left>
      <right/>
      <top style="thin">
        <color indexed="8"/>
      </top>
      <bottom/>
      <diagonal/>
    </border>
    <border>
      <left/>
      <right/>
      <top style="thin">
        <color indexed="8"/>
      </top>
      <bottom/>
      <diagonal/>
    </border>
    <border>
      <left/>
      <right style="medium">
        <color indexed="8"/>
      </right>
      <top style="thin">
        <color indexed="8"/>
      </top>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top style="medium">
        <color indexed="8"/>
      </top>
      <bottom style="medium">
        <color indexed="8"/>
      </bottom>
      <diagonal/>
    </border>
    <border>
      <left style="medium">
        <color indexed="8"/>
      </left>
      <right style="medium">
        <color indexed="8"/>
      </right>
      <top style="medium">
        <color indexed="8"/>
      </top>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8"/>
      </left>
      <right/>
      <top/>
      <bottom/>
      <diagonal/>
    </border>
    <border>
      <left/>
      <right style="medium">
        <color indexed="8"/>
      </right>
      <top/>
      <bottom/>
      <diagonal/>
    </border>
    <border>
      <left/>
      <right style="thin">
        <color indexed="64"/>
      </right>
      <top style="thin">
        <color indexed="8"/>
      </top>
      <bottom/>
      <diagonal/>
    </border>
    <border>
      <left style="medium">
        <color indexed="64"/>
      </left>
      <right style="medium">
        <color indexed="64"/>
      </right>
      <top style="medium">
        <color indexed="64"/>
      </top>
      <bottom style="medium">
        <color indexed="64"/>
      </bottom>
      <diagonal/>
    </border>
    <border>
      <left/>
      <right/>
      <top style="medium">
        <color indexed="8"/>
      </top>
      <bottom style="medium">
        <color indexed="8"/>
      </bottom>
      <diagonal/>
    </border>
    <border>
      <left style="thin">
        <color indexed="8"/>
      </left>
      <right/>
      <top style="thin">
        <color indexed="8"/>
      </top>
      <bottom/>
      <diagonal/>
    </border>
    <border>
      <left style="thin">
        <color indexed="8"/>
      </left>
      <right/>
      <top/>
      <bottom style="thin">
        <color indexed="8"/>
      </bottom>
      <diagonal/>
    </border>
    <border>
      <left style="thin">
        <color indexed="8"/>
      </left>
      <right style="thin">
        <color indexed="8"/>
      </right>
      <top style="thin">
        <color indexed="64"/>
      </top>
      <bottom style="thin">
        <color indexed="8"/>
      </bottom>
      <diagonal/>
    </border>
    <border>
      <left style="thin">
        <color indexed="8"/>
      </left>
      <right style="thin">
        <color indexed="64"/>
      </right>
      <top style="thin">
        <color indexed="64"/>
      </top>
      <bottom style="thin">
        <color indexed="8"/>
      </bottom>
      <diagonal/>
    </border>
    <border>
      <left style="thin">
        <color indexed="8"/>
      </left>
      <right style="thin">
        <color indexed="64"/>
      </right>
      <top style="thin">
        <color indexed="8"/>
      </top>
      <bottom style="thin">
        <color indexed="8"/>
      </bottom>
      <diagonal/>
    </border>
    <border>
      <left style="thin">
        <color indexed="8"/>
      </left>
      <right style="thin">
        <color indexed="64"/>
      </right>
      <top style="thin">
        <color indexed="8"/>
      </top>
      <bottom style="thin">
        <color indexed="23"/>
      </bottom>
      <diagonal/>
    </border>
    <border>
      <left style="thin">
        <color indexed="8"/>
      </left>
      <right style="thin">
        <color indexed="64"/>
      </right>
      <top style="thin">
        <color indexed="8"/>
      </top>
      <bottom style="thin">
        <color indexed="64"/>
      </bottom>
      <diagonal/>
    </border>
    <border>
      <left/>
      <right style="thin">
        <color indexed="8"/>
      </right>
      <top style="thin">
        <color indexed="8"/>
      </top>
      <bottom style="thin">
        <color indexed="64"/>
      </bottom>
      <diagonal/>
    </border>
    <border>
      <left style="thin">
        <color indexed="8"/>
      </left>
      <right/>
      <top style="thin">
        <color indexed="8"/>
      </top>
      <bottom style="thin">
        <color indexed="64"/>
      </bottom>
      <diagonal/>
    </border>
    <border>
      <left style="thick">
        <color indexed="14"/>
      </left>
      <right style="thin">
        <color indexed="64"/>
      </right>
      <top style="thick">
        <color indexed="14"/>
      </top>
      <bottom style="thick">
        <color indexed="14"/>
      </bottom>
      <diagonal/>
    </border>
    <border>
      <left style="thin">
        <color indexed="64"/>
      </left>
      <right style="thick">
        <color indexed="14"/>
      </right>
      <top style="thick">
        <color indexed="14"/>
      </top>
      <bottom style="thick">
        <color indexed="14"/>
      </bottom>
      <diagonal/>
    </border>
    <border>
      <left style="thin">
        <color indexed="64"/>
      </left>
      <right style="double">
        <color indexed="64"/>
      </right>
      <top/>
      <bottom style="thin">
        <color indexed="64"/>
      </bottom>
      <diagonal/>
    </border>
    <border>
      <left style="thick">
        <color indexed="20"/>
      </left>
      <right/>
      <top style="thick">
        <color indexed="20"/>
      </top>
      <bottom style="thick">
        <color indexed="20"/>
      </bottom>
      <diagonal/>
    </border>
    <border>
      <left/>
      <right style="thick">
        <color indexed="20"/>
      </right>
      <top style="thick">
        <color indexed="20"/>
      </top>
      <bottom style="thick">
        <color indexed="20"/>
      </bottom>
      <diagonal/>
    </border>
    <border>
      <left style="thick">
        <color indexed="18"/>
      </left>
      <right/>
      <top style="thick">
        <color indexed="18"/>
      </top>
      <bottom style="thick">
        <color indexed="18"/>
      </bottom>
      <diagonal/>
    </border>
    <border>
      <left/>
      <right style="thick">
        <color indexed="18"/>
      </right>
      <top style="thick">
        <color indexed="18"/>
      </top>
      <bottom style="thick">
        <color indexed="18"/>
      </bottom>
      <diagonal/>
    </border>
    <border>
      <left/>
      <right style="double">
        <color indexed="64"/>
      </right>
      <top style="thin">
        <color indexed="64"/>
      </top>
      <bottom style="thin">
        <color indexed="64"/>
      </bottom>
      <diagonal/>
    </border>
    <border>
      <left/>
      <right/>
      <top style="thin">
        <color indexed="64"/>
      </top>
      <bottom style="thick">
        <color indexed="20"/>
      </bottom>
      <diagonal/>
    </border>
    <border>
      <left/>
      <right style="double">
        <color indexed="64"/>
      </right>
      <top/>
      <bottom style="thin">
        <color indexed="64"/>
      </bottom>
      <diagonal/>
    </border>
    <border>
      <left style="thin">
        <color indexed="8"/>
      </left>
      <right/>
      <top style="thin">
        <color indexed="23"/>
      </top>
      <bottom style="thin">
        <color indexed="8"/>
      </bottom>
      <diagonal/>
    </border>
    <border>
      <left/>
      <right style="thin">
        <color indexed="8"/>
      </right>
      <top style="thin">
        <color indexed="23"/>
      </top>
      <bottom style="thin">
        <color indexed="8"/>
      </bottom>
      <diagonal/>
    </border>
    <border>
      <left style="thin">
        <color indexed="8"/>
      </left>
      <right style="thin">
        <color indexed="8"/>
      </right>
      <top/>
      <bottom style="thin">
        <color indexed="8"/>
      </bottom>
      <diagonal/>
    </border>
    <border>
      <left style="thin">
        <color indexed="8"/>
      </left>
      <right/>
      <top style="thin">
        <color indexed="8"/>
      </top>
      <bottom style="thin">
        <color indexed="23"/>
      </bottom>
      <diagonal/>
    </border>
    <border>
      <left/>
      <right style="thin">
        <color indexed="8"/>
      </right>
      <top style="thin">
        <color indexed="8"/>
      </top>
      <bottom style="thin">
        <color indexed="23"/>
      </bottom>
      <diagonal/>
    </border>
    <border>
      <left style="thin">
        <color indexed="64"/>
      </left>
      <right style="thin">
        <color indexed="8"/>
      </right>
      <top style="thin">
        <color indexed="64"/>
      </top>
      <bottom style="thin">
        <color indexed="64"/>
      </bottom>
      <diagonal/>
    </border>
    <border>
      <left style="thin">
        <color indexed="8"/>
      </left>
      <right style="thin">
        <color indexed="64"/>
      </right>
      <top style="thin">
        <color indexed="64"/>
      </top>
      <bottom style="thin">
        <color indexed="64"/>
      </bottom>
      <diagonal/>
    </border>
    <border>
      <left style="thin">
        <color indexed="64"/>
      </left>
      <right style="double">
        <color indexed="8"/>
      </right>
      <top style="thin">
        <color indexed="64"/>
      </top>
      <bottom style="thin">
        <color indexed="64"/>
      </bottom>
      <diagonal/>
    </border>
    <border>
      <left/>
      <right style="thin">
        <color indexed="8"/>
      </right>
      <top style="thin">
        <color indexed="8"/>
      </top>
      <bottom/>
      <diagonal/>
    </border>
    <border>
      <left style="thin">
        <color indexed="64"/>
      </left>
      <right style="thin">
        <color indexed="8"/>
      </right>
      <top style="thin">
        <color indexed="64"/>
      </top>
      <bottom style="thin">
        <color indexed="8"/>
      </bottom>
      <diagonal/>
    </border>
    <border>
      <left style="thin">
        <color indexed="64"/>
      </left>
      <right style="thin">
        <color indexed="8"/>
      </right>
      <top style="thin">
        <color indexed="8"/>
      </top>
      <bottom style="thin">
        <color indexed="23"/>
      </bottom>
      <diagonal/>
    </border>
    <border>
      <left style="thin">
        <color indexed="64"/>
      </left>
      <right style="thin">
        <color indexed="8"/>
      </right>
      <top style="thin">
        <color indexed="8"/>
      </top>
      <bottom style="thin">
        <color indexed="8"/>
      </bottom>
      <diagonal/>
    </border>
    <border>
      <left style="thin">
        <color indexed="64"/>
      </left>
      <right/>
      <top style="thin">
        <color indexed="8"/>
      </top>
      <bottom style="thin">
        <color indexed="23"/>
      </bottom>
      <diagonal/>
    </border>
    <border>
      <left style="thin">
        <color indexed="64"/>
      </left>
      <right style="thin">
        <color indexed="8"/>
      </right>
      <top style="thin">
        <color indexed="8"/>
      </top>
      <bottom style="thin">
        <color indexed="64"/>
      </bottom>
      <diagonal/>
    </border>
    <border>
      <left style="medium">
        <color indexed="8"/>
      </left>
      <right/>
      <top style="medium">
        <color indexed="8"/>
      </top>
      <bottom style="thin">
        <color indexed="8"/>
      </bottom>
      <diagonal/>
    </border>
    <border>
      <left/>
      <right/>
      <top style="medium">
        <color indexed="8"/>
      </top>
      <bottom style="thin">
        <color indexed="8"/>
      </bottom>
      <diagonal/>
    </border>
    <border>
      <left/>
      <right style="medium">
        <color indexed="8"/>
      </right>
      <top style="medium">
        <color indexed="8"/>
      </top>
      <bottom style="thin">
        <color indexed="8"/>
      </bottom>
      <diagonal/>
    </border>
    <border>
      <left style="hair">
        <color indexed="8"/>
      </left>
      <right style="hair">
        <color indexed="8"/>
      </right>
      <top style="hair">
        <color indexed="8"/>
      </top>
      <bottom/>
      <diagonal/>
    </border>
    <border>
      <left style="thin">
        <color indexed="8"/>
      </left>
      <right style="thin">
        <color indexed="8"/>
      </right>
      <top/>
      <bottom/>
      <diagonal/>
    </border>
  </borders>
  <cellStyleXfs count="3">
    <xf numFmtId="0" fontId="0" fillId="0" borderId="0"/>
    <xf numFmtId="0" fontId="10" fillId="0" borderId="0" applyNumberFormat="0" applyFill="0" applyBorder="0" applyAlignment="0" applyProtection="0"/>
    <xf numFmtId="0" fontId="1" fillId="0" borderId="0"/>
  </cellStyleXfs>
  <cellXfs count="683">
    <xf numFmtId="0" fontId="0" fillId="0" borderId="0" xfId="0"/>
    <xf numFmtId="0" fontId="0" fillId="0" borderId="0" xfId="0" applyAlignment="1">
      <alignment vertical="center"/>
    </xf>
    <xf numFmtId="0" fontId="2" fillId="0" borderId="0" xfId="0" applyFont="1"/>
    <xf numFmtId="0" fontId="2" fillId="0" borderId="0" xfId="0" applyFont="1" applyAlignment="1">
      <alignment horizontal="center" vertical="center"/>
    </xf>
    <xf numFmtId="0" fontId="2" fillId="0" borderId="0" xfId="0" applyFont="1" applyAlignment="1">
      <alignment vertical="center"/>
    </xf>
    <xf numFmtId="0" fontId="0" fillId="0" borderId="0" xfId="0" applyAlignment="1">
      <alignment horizontal="center" vertical="center"/>
    </xf>
    <xf numFmtId="0" fontId="2" fillId="0" borderId="0" xfId="0" applyFont="1" applyAlignment="1">
      <alignment horizontal="center"/>
    </xf>
    <xf numFmtId="2" fontId="0" fillId="0" borderId="0" xfId="0" applyNumberFormat="1" applyAlignment="1">
      <alignment horizontal="center"/>
    </xf>
    <xf numFmtId="2" fontId="7" fillId="0" borderId="0" xfId="0" applyNumberFormat="1" applyFont="1" applyAlignment="1">
      <alignment horizontal="center"/>
    </xf>
    <xf numFmtId="2" fontId="0" fillId="2" borderId="0" xfId="0" applyNumberFormat="1" applyFill="1" applyAlignment="1">
      <alignment horizontal="center"/>
    </xf>
    <xf numFmtId="0" fontId="7" fillId="0" borderId="0" xfId="0" applyFont="1" applyAlignment="1">
      <alignment horizontal="center"/>
    </xf>
    <xf numFmtId="0" fontId="7" fillId="0" borderId="1" xfId="0" applyFont="1" applyBorder="1" applyAlignment="1">
      <alignment horizontal="center"/>
    </xf>
    <xf numFmtId="0" fontId="0" fillId="0" borderId="0" xfId="0" applyAlignment="1">
      <alignment horizontal="center"/>
    </xf>
    <xf numFmtId="0" fontId="6" fillId="0" borderId="0" xfId="0" applyFont="1"/>
    <xf numFmtId="0" fontId="9" fillId="0" borderId="0" xfId="0" applyFont="1"/>
    <xf numFmtId="0" fontId="10" fillId="0" borderId="0" xfId="1" applyNumberFormat="1" applyFill="1" applyBorder="1" applyAlignment="1" applyProtection="1"/>
    <xf numFmtId="14" fontId="0" fillId="0" borderId="0" xfId="0" applyNumberFormat="1" applyAlignment="1">
      <alignment horizontal="left"/>
    </xf>
    <xf numFmtId="171" fontId="2" fillId="3" borderId="2" xfId="0" applyNumberFormat="1" applyFont="1" applyFill="1" applyBorder="1" applyAlignment="1" applyProtection="1">
      <alignment horizontal="center" vertical="center"/>
      <protection locked="0"/>
    </xf>
    <xf numFmtId="0" fontId="16" fillId="0" borderId="0" xfId="0" applyFont="1" applyAlignment="1">
      <alignment vertical="center"/>
    </xf>
    <xf numFmtId="0" fontId="2" fillId="0" borderId="3" xfId="2" applyFont="1" applyBorder="1"/>
    <xf numFmtId="0" fontId="2" fillId="0" borderId="4" xfId="2" applyFont="1" applyBorder="1"/>
    <xf numFmtId="0" fontId="2" fillId="0" borderId="4" xfId="2" applyFont="1" applyBorder="1" applyAlignment="1">
      <alignment horizontal="center"/>
    </xf>
    <xf numFmtId="0" fontId="15" fillId="0" borderId="4" xfId="2" applyFont="1" applyBorder="1" applyProtection="1">
      <protection hidden="1"/>
    </xf>
    <xf numFmtId="0" fontId="1" fillId="0" borderId="5" xfId="2" applyBorder="1"/>
    <xf numFmtId="0" fontId="2" fillId="0" borderId="0" xfId="2" applyFont="1"/>
    <xf numFmtId="0" fontId="2" fillId="0" borderId="6" xfId="2" applyFont="1" applyBorder="1"/>
    <xf numFmtId="0" fontId="15" fillId="0" borderId="0" xfId="2" applyFont="1" applyProtection="1">
      <protection hidden="1"/>
    </xf>
    <xf numFmtId="0" fontId="1" fillId="0" borderId="7" xfId="2" applyBorder="1"/>
    <xf numFmtId="0" fontId="4" fillId="0" borderId="0" xfId="2" applyFont="1"/>
    <xf numFmtId="0" fontId="2" fillId="0" borderId="7" xfId="2" applyFont="1" applyBorder="1"/>
    <xf numFmtId="0" fontId="2" fillId="0" borderId="0" xfId="2" applyFont="1" applyAlignment="1" applyProtection="1">
      <alignment horizontal="center"/>
      <protection hidden="1"/>
    </xf>
    <xf numFmtId="0" fontId="2" fillId="0" borderId="0" xfId="2" applyFont="1" applyAlignment="1">
      <alignment horizontal="center"/>
    </xf>
    <xf numFmtId="0" fontId="16" fillId="0" borderId="0" xfId="2" applyFont="1"/>
    <xf numFmtId="0" fontId="2" fillId="0" borderId="0" xfId="2" applyFont="1" applyProtection="1">
      <protection hidden="1"/>
    </xf>
    <xf numFmtId="0" fontId="15" fillId="4" borderId="8" xfId="2" applyFont="1" applyFill="1" applyBorder="1" applyAlignment="1" applyProtection="1">
      <alignment horizontal="center"/>
      <protection locked="0"/>
    </xf>
    <xf numFmtId="177" fontId="2" fillId="4" borderId="2" xfId="2" applyNumberFormat="1" applyFont="1" applyFill="1" applyBorder="1" applyAlignment="1" applyProtection="1">
      <alignment horizontal="center"/>
      <protection locked="0"/>
    </xf>
    <xf numFmtId="0" fontId="2" fillId="4" borderId="2" xfId="2" applyFont="1" applyFill="1" applyBorder="1" applyAlignment="1" applyProtection="1">
      <alignment horizontal="center"/>
      <protection locked="0"/>
    </xf>
    <xf numFmtId="0" fontId="16" fillId="0" borderId="0" xfId="2" applyFont="1" applyProtection="1">
      <protection hidden="1"/>
    </xf>
    <xf numFmtId="0" fontId="15" fillId="0" borderId="0" xfId="2" applyFont="1"/>
    <xf numFmtId="14" fontId="15" fillId="0" borderId="0" xfId="2" applyNumberFormat="1" applyFont="1" applyAlignment="1" applyProtection="1">
      <alignment horizontal="center"/>
      <protection hidden="1"/>
    </xf>
    <xf numFmtId="0" fontId="2" fillId="0" borderId="9" xfId="2" applyFont="1" applyBorder="1"/>
    <xf numFmtId="0" fontId="2" fillId="0" borderId="10" xfId="2" applyFont="1" applyBorder="1" applyAlignment="1" applyProtection="1">
      <alignment horizontal="center"/>
      <protection locked="0"/>
    </xf>
    <xf numFmtId="0" fontId="2" fillId="0" borderId="10" xfId="2" applyFont="1" applyBorder="1" applyProtection="1">
      <protection locked="0"/>
    </xf>
    <xf numFmtId="0" fontId="2" fillId="0" borderId="0" xfId="2" applyFont="1" applyProtection="1">
      <protection locked="0"/>
    </xf>
    <xf numFmtId="0" fontId="2" fillId="0" borderId="0" xfId="2" applyFont="1" applyAlignment="1" applyProtection="1">
      <alignment horizontal="center"/>
      <protection locked="0"/>
    </xf>
    <xf numFmtId="0" fontId="15" fillId="0" borderId="0" xfId="2" applyFont="1" applyAlignment="1" applyProtection="1">
      <alignment horizontal="center"/>
      <protection hidden="1"/>
    </xf>
    <xf numFmtId="1" fontId="15" fillId="0" borderId="0" xfId="2" applyNumberFormat="1" applyFont="1" applyAlignment="1" applyProtection="1">
      <alignment horizontal="center"/>
      <protection hidden="1"/>
    </xf>
    <xf numFmtId="0" fontId="0" fillId="0" borderId="0" xfId="0" applyAlignment="1">
      <alignment horizontal="left"/>
    </xf>
    <xf numFmtId="0" fontId="15" fillId="0" borderId="0" xfId="0" applyFont="1"/>
    <xf numFmtId="0" fontId="26" fillId="0" borderId="0" xfId="0" applyFont="1"/>
    <xf numFmtId="14" fontId="0" fillId="0" borderId="0" xfId="0" applyNumberFormat="1" applyAlignment="1">
      <alignment horizontal="center" vertical="center"/>
    </xf>
    <xf numFmtId="0" fontId="2" fillId="0" borderId="3" xfId="0" applyFont="1" applyBorder="1"/>
    <xf numFmtId="0" fontId="2" fillId="0" borderId="4" xfId="0" applyFont="1" applyBorder="1"/>
    <xf numFmtId="0" fontId="2" fillId="0" borderId="4" xfId="0" applyFont="1" applyBorder="1" applyAlignment="1">
      <alignment horizontal="center"/>
    </xf>
    <xf numFmtId="0" fontId="0" fillId="0" borderId="4" xfId="0" applyBorder="1" applyAlignment="1">
      <alignment vertical="center"/>
    </xf>
    <xf numFmtId="0" fontId="0" fillId="0" borderId="5" xfId="0" applyBorder="1" applyAlignment="1">
      <alignment vertical="center"/>
    </xf>
    <xf numFmtId="0" fontId="2" fillId="0" borderId="6" xfId="0" applyFont="1" applyBorder="1"/>
    <xf numFmtId="0" fontId="2" fillId="0" borderId="7" xfId="0" applyFont="1" applyBorder="1" applyAlignment="1">
      <alignment vertical="center"/>
    </xf>
    <xf numFmtId="0" fontId="0" fillId="0" borderId="7" xfId="0" applyBorder="1" applyAlignment="1">
      <alignment vertical="center"/>
    </xf>
    <xf numFmtId="0" fontId="0" fillId="0" borderId="6" xfId="0" applyBorder="1" applyAlignment="1">
      <alignment vertical="center"/>
    </xf>
    <xf numFmtId="0" fontId="0" fillId="0" borderId="9" xfId="0" applyBorder="1" applyAlignment="1">
      <alignment vertical="center"/>
    </xf>
    <xf numFmtId="0" fontId="0" fillId="0" borderId="10" xfId="0" applyBorder="1" applyAlignment="1" applyProtection="1">
      <alignment vertical="center"/>
      <protection locked="0"/>
    </xf>
    <xf numFmtId="0" fontId="0" fillId="0" borderId="0" xfId="0" applyAlignment="1" applyProtection="1">
      <alignment vertical="center"/>
      <protection hidden="1"/>
    </xf>
    <xf numFmtId="169" fontId="0" fillId="0" borderId="0" xfId="0" applyNumberFormat="1" applyAlignment="1" applyProtection="1">
      <alignment vertical="center"/>
      <protection hidden="1"/>
    </xf>
    <xf numFmtId="164" fontId="0" fillId="3" borderId="11" xfId="0" applyNumberFormat="1" applyFill="1" applyBorder="1" applyAlignment="1">
      <alignment horizontal="center"/>
    </xf>
    <xf numFmtId="178" fontId="0" fillId="3" borderId="11" xfId="0" applyNumberFormat="1" applyFill="1" applyBorder="1" applyAlignment="1">
      <alignment horizontal="center"/>
    </xf>
    <xf numFmtId="0" fontId="0" fillId="3" borderId="11" xfId="0" applyFill="1" applyBorder="1" applyAlignment="1">
      <alignment horizontal="center"/>
    </xf>
    <xf numFmtId="0" fontId="15" fillId="0" borderId="10" xfId="2" applyFont="1" applyBorder="1" applyProtection="1">
      <protection locked="0"/>
    </xf>
    <xf numFmtId="0" fontId="10" fillId="0" borderId="0" xfId="1"/>
    <xf numFmtId="0" fontId="2" fillId="0" borderId="12" xfId="0" applyFont="1" applyBorder="1" applyAlignment="1">
      <alignment horizontal="center" vertical="center"/>
    </xf>
    <xf numFmtId="0" fontId="2" fillId="0" borderId="12" xfId="0" applyFont="1" applyBorder="1" applyAlignment="1">
      <alignment horizontal="center"/>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165" fontId="0" fillId="0" borderId="0" xfId="0" applyNumberFormat="1" applyAlignment="1">
      <alignment horizontal="center"/>
    </xf>
    <xf numFmtId="0" fontId="0" fillId="0" borderId="9" xfId="0" applyBorder="1"/>
    <xf numFmtId="0" fontId="0" fillId="0" borderId="10" xfId="0" applyBorder="1"/>
    <xf numFmtId="0" fontId="0" fillId="0" borderId="13" xfId="0" applyBorder="1"/>
    <xf numFmtId="1" fontId="0" fillId="0" borderId="0" xfId="0" applyNumberFormat="1" applyAlignment="1">
      <alignment horizontal="center"/>
    </xf>
    <xf numFmtId="165" fontId="0" fillId="0" borderId="0" xfId="0" applyNumberFormat="1" applyAlignment="1">
      <alignment horizontal="center" vertical="center"/>
    </xf>
    <xf numFmtId="1" fontId="0" fillId="0" borderId="0" xfId="0" applyNumberFormat="1" applyAlignment="1">
      <alignment horizontal="center" vertical="center"/>
    </xf>
    <xf numFmtId="182" fontId="2" fillId="0" borderId="12" xfId="0" applyNumberFormat="1" applyFont="1" applyBorder="1" applyAlignment="1">
      <alignment horizontal="center"/>
    </xf>
    <xf numFmtId="1" fontId="2" fillId="0" borderId="12" xfId="0" applyNumberFormat="1" applyFont="1" applyBorder="1" applyAlignment="1">
      <alignment horizontal="center"/>
    </xf>
    <xf numFmtId="165" fontId="2" fillId="0" borderId="12" xfId="0" applyNumberFormat="1" applyFont="1" applyBorder="1" applyAlignment="1">
      <alignment horizontal="center" vertical="center"/>
    </xf>
    <xf numFmtId="165" fontId="2" fillId="0" borderId="12" xfId="0" applyNumberFormat="1" applyFont="1" applyBorder="1" applyAlignment="1">
      <alignment horizontal="center"/>
    </xf>
    <xf numFmtId="0" fontId="0" fillId="0" borderId="0" xfId="2" applyFont="1" applyAlignment="1" applyProtection="1">
      <alignment horizontal="center"/>
      <protection hidden="1"/>
    </xf>
    <xf numFmtId="0" fontId="8" fillId="0" borderId="4" xfId="2" applyFont="1" applyBorder="1"/>
    <xf numFmtId="0" fontId="8" fillId="0" borderId="0" xfId="2" applyFont="1"/>
    <xf numFmtId="0" fontId="8" fillId="0" borderId="0" xfId="2" applyFont="1" applyProtection="1">
      <protection hidden="1"/>
    </xf>
    <xf numFmtId="0" fontId="8" fillId="0" borderId="10" xfId="2" applyFont="1" applyBorder="1" applyProtection="1">
      <protection locked="0"/>
    </xf>
    <xf numFmtId="0" fontId="8" fillId="0" borderId="0" xfId="2" applyFont="1" applyAlignment="1" applyProtection="1">
      <alignment horizontal="center"/>
      <protection hidden="1"/>
    </xf>
    <xf numFmtId="1" fontId="8" fillId="0" borderId="0" xfId="2" applyNumberFormat="1" applyFont="1" applyAlignment="1" applyProtection="1">
      <alignment horizontal="center"/>
      <protection hidden="1"/>
    </xf>
    <xf numFmtId="0" fontId="31" fillId="0" borderId="0" xfId="2" applyFont="1"/>
    <xf numFmtId="0" fontId="0" fillId="0" borderId="0" xfId="0" applyProtection="1">
      <protection locked="0"/>
    </xf>
    <xf numFmtId="165" fontId="2" fillId="5" borderId="14" xfId="2" applyNumberFormat="1" applyFont="1" applyFill="1" applyBorder="1" applyAlignment="1">
      <alignment horizontal="center"/>
    </xf>
    <xf numFmtId="180" fontId="2" fillId="5" borderId="2" xfId="2" applyNumberFormat="1" applyFont="1" applyFill="1" applyBorder="1" applyAlignment="1">
      <alignment horizontal="center"/>
    </xf>
    <xf numFmtId="180" fontId="2" fillId="5" borderId="14" xfId="2" applyNumberFormat="1" applyFont="1" applyFill="1" applyBorder="1" applyAlignment="1">
      <alignment horizontal="center"/>
    </xf>
    <xf numFmtId="165" fontId="2" fillId="5" borderId="2" xfId="2" applyNumberFormat="1" applyFont="1" applyFill="1" applyBorder="1" applyAlignment="1">
      <alignment horizontal="center"/>
    </xf>
    <xf numFmtId="181" fontId="28" fillId="5" borderId="2" xfId="2" applyNumberFormat="1" applyFont="1" applyFill="1" applyBorder="1" applyAlignment="1">
      <alignment horizontal="center"/>
    </xf>
    <xf numFmtId="181" fontId="28" fillId="5" borderId="14" xfId="2" applyNumberFormat="1" applyFont="1" applyFill="1" applyBorder="1" applyAlignment="1">
      <alignment horizontal="center"/>
    </xf>
    <xf numFmtId="0" fontId="2" fillId="5" borderId="2" xfId="2" applyFont="1" applyFill="1" applyBorder="1" applyAlignment="1" applyProtection="1">
      <alignment horizontal="center"/>
      <protection hidden="1"/>
    </xf>
    <xf numFmtId="0" fontId="28" fillId="5" borderId="2" xfId="2" applyFont="1" applyFill="1" applyBorder="1" applyAlignment="1" applyProtection="1">
      <alignment horizontal="center"/>
      <protection hidden="1"/>
    </xf>
    <xf numFmtId="0" fontId="32" fillId="5" borderId="2" xfId="2" applyFont="1" applyFill="1" applyBorder="1" applyAlignment="1" applyProtection="1">
      <alignment horizontal="center"/>
      <protection hidden="1"/>
    </xf>
    <xf numFmtId="0" fontId="2" fillId="6" borderId="2" xfId="2" applyFont="1" applyFill="1" applyBorder="1" applyAlignment="1">
      <alignment horizontal="center"/>
    </xf>
    <xf numFmtId="0" fontId="28" fillId="6" borderId="2" xfId="2" applyFont="1" applyFill="1" applyBorder="1" applyAlignment="1">
      <alignment horizontal="center"/>
    </xf>
    <xf numFmtId="0" fontId="33" fillId="0" borderId="0" xfId="2" applyFont="1"/>
    <xf numFmtId="0" fontId="33" fillId="6" borderId="2" xfId="2" applyFont="1" applyFill="1" applyBorder="1" applyAlignment="1" applyProtection="1">
      <alignment horizontal="center"/>
      <protection hidden="1"/>
    </xf>
    <xf numFmtId="176" fontId="33" fillId="5" borderId="2" xfId="2" applyNumberFormat="1" applyFont="1" applyFill="1" applyBorder="1" applyAlignment="1" applyProtection="1">
      <alignment horizontal="center"/>
      <protection hidden="1"/>
    </xf>
    <xf numFmtId="0" fontId="33" fillId="5" borderId="2" xfId="2" applyFont="1" applyFill="1" applyBorder="1" applyAlignment="1">
      <alignment horizontal="center"/>
    </xf>
    <xf numFmtId="177" fontId="33" fillId="5" borderId="2" xfId="2" applyNumberFormat="1" applyFont="1" applyFill="1" applyBorder="1" applyAlignment="1" applyProtection="1">
      <alignment horizontal="center"/>
      <protection hidden="1"/>
    </xf>
    <xf numFmtId="176" fontId="33" fillId="5" borderId="2" xfId="2" applyNumberFormat="1" applyFont="1" applyFill="1" applyBorder="1" applyAlignment="1">
      <alignment horizontal="center"/>
    </xf>
    <xf numFmtId="178" fontId="33" fillId="5" borderId="2" xfId="2" applyNumberFormat="1" applyFont="1" applyFill="1" applyBorder="1" applyAlignment="1" applyProtection="1">
      <alignment horizontal="center"/>
      <protection hidden="1"/>
    </xf>
    <xf numFmtId="0" fontId="33" fillId="0" borderId="0" xfId="2" applyFont="1" applyProtection="1">
      <protection hidden="1"/>
    </xf>
    <xf numFmtId="2" fontId="0" fillId="7" borderId="15" xfId="0" applyNumberFormat="1" applyFill="1" applyBorder="1" applyAlignment="1">
      <alignment horizontal="center" vertical="center"/>
    </xf>
    <xf numFmtId="165" fontId="0" fillId="7" borderId="15" xfId="0" applyNumberFormat="1" applyFill="1" applyBorder="1" applyAlignment="1">
      <alignment horizontal="center" vertical="center"/>
    </xf>
    <xf numFmtId="1" fontId="2" fillId="7" borderId="15" xfId="0" applyNumberFormat="1" applyFont="1" applyFill="1" applyBorder="1" applyAlignment="1">
      <alignment horizontal="center" vertical="center"/>
    </xf>
    <xf numFmtId="165" fontId="2" fillId="7" borderId="15" xfId="0" applyNumberFormat="1" applyFont="1" applyFill="1" applyBorder="1" applyAlignment="1">
      <alignment horizontal="center" vertical="center"/>
    </xf>
    <xf numFmtId="1" fontId="0" fillId="7" borderId="15" xfId="0" applyNumberFormat="1" applyFill="1" applyBorder="1" applyAlignment="1">
      <alignment horizontal="center" vertical="center"/>
    </xf>
    <xf numFmtId="1" fontId="15" fillId="7" borderId="15" xfId="0" applyNumberFormat="1" applyFont="1" applyFill="1" applyBorder="1" applyAlignment="1">
      <alignment horizontal="center" vertical="center"/>
    </xf>
    <xf numFmtId="165" fontId="15" fillId="7" borderId="15" xfId="0" applyNumberFormat="1" applyFont="1" applyFill="1" applyBorder="1" applyAlignment="1">
      <alignment horizontal="center" vertical="center"/>
    </xf>
    <xf numFmtId="165" fontId="0" fillId="7" borderId="16" xfId="0" applyNumberFormat="1" applyFill="1" applyBorder="1" applyAlignment="1">
      <alignment horizontal="center" vertical="center"/>
    </xf>
    <xf numFmtId="1" fontId="2" fillId="7" borderId="16" xfId="0" applyNumberFormat="1" applyFont="1" applyFill="1" applyBorder="1" applyAlignment="1">
      <alignment horizontal="center" vertical="center"/>
    </xf>
    <xf numFmtId="165" fontId="15" fillId="7" borderId="16" xfId="0" applyNumberFormat="1" applyFont="1" applyFill="1" applyBorder="1" applyAlignment="1">
      <alignment horizontal="center" vertical="center"/>
    </xf>
    <xf numFmtId="1" fontId="2" fillId="7" borderId="17" xfId="0" applyNumberFormat="1" applyFont="1" applyFill="1" applyBorder="1" applyAlignment="1">
      <alignment horizontal="center" vertical="center"/>
    </xf>
    <xf numFmtId="1" fontId="0" fillId="7" borderId="17" xfId="0" applyNumberFormat="1" applyFill="1" applyBorder="1" applyAlignment="1">
      <alignment horizontal="center" vertical="center"/>
    </xf>
    <xf numFmtId="0" fontId="0" fillId="7" borderId="17" xfId="0" applyFill="1" applyBorder="1" applyAlignment="1">
      <alignment horizontal="center" vertical="center"/>
    </xf>
    <xf numFmtId="165" fontId="0" fillId="7" borderId="17" xfId="0" applyNumberFormat="1" applyFill="1" applyBorder="1" applyAlignment="1">
      <alignment horizontal="center" vertical="center"/>
    </xf>
    <xf numFmtId="1" fontId="15" fillId="7" borderId="16" xfId="0" applyNumberFormat="1" applyFont="1" applyFill="1" applyBorder="1" applyAlignment="1">
      <alignment horizontal="center" vertical="center"/>
    </xf>
    <xf numFmtId="1" fontId="15" fillId="7" borderId="17" xfId="0" applyNumberFormat="1" applyFont="1" applyFill="1" applyBorder="1" applyAlignment="1">
      <alignment horizontal="center" vertical="center"/>
    </xf>
    <xf numFmtId="165" fontId="2" fillId="7" borderId="17" xfId="0" applyNumberFormat="1" applyFont="1" applyFill="1" applyBorder="1" applyAlignment="1">
      <alignment horizontal="center" vertical="center"/>
    </xf>
    <xf numFmtId="173" fontId="2" fillId="7" borderId="2" xfId="0" applyNumberFormat="1" applyFont="1" applyFill="1" applyBorder="1" applyAlignment="1">
      <alignment horizontal="center" vertical="center"/>
    </xf>
    <xf numFmtId="0" fontId="2" fillId="8" borderId="18" xfId="0" applyFont="1" applyFill="1" applyBorder="1" applyAlignment="1" applyProtection="1">
      <alignment horizontal="center" vertical="center"/>
      <protection hidden="1"/>
    </xf>
    <xf numFmtId="0" fontId="2" fillId="9" borderId="15" xfId="0" applyFont="1" applyFill="1" applyBorder="1" applyAlignment="1" applyProtection="1">
      <alignment horizontal="center" vertical="center"/>
      <protection hidden="1"/>
    </xf>
    <xf numFmtId="0" fontId="5" fillId="9" borderId="15" xfId="0" applyFont="1" applyFill="1" applyBorder="1" applyAlignment="1" applyProtection="1">
      <alignment horizontal="center" vertical="center"/>
      <protection hidden="1"/>
    </xf>
    <xf numFmtId="0" fontId="0" fillId="9" borderId="15" xfId="0" applyFill="1" applyBorder="1" applyAlignment="1" applyProtection="1">
      <alignment horizontal="center" vertical="center"/>
      <protection hidden="1"/>
    </xf>
    <xf numFmtId="0" fontId="2" fillId="6" borderId="2" xfId="2" applyFont="1" applyFill="1" applyBorder="1" applyAlignment="1" applyProtection="1">
      <alignment horizontal="center"/>
      <protection hidden="1"/>
    </xf>
    <xf numFmtId="0" fontId="2" fillId="10" borderId="2" xfId="2" applyFont="1" applyFill="1" applyBorder="1" applyAlignment="1" applyProtection="1">
      <alignment horizontal="center" vertical="center"/>
      <protection hidden="1"/>
    </xf>
    <xf numFmtId="0" fontId="2" fillId="10" borderId="2" xfId="2" applyFont="1" applyFill="1" applyBorder="1" applyAlignment="1" applyProtection="1">
      <alignment horizontal="center"/>
      <protection hidden="1"/>
    </xf>
    <xf numFmtId="0" fontId="2" fillId="11" borderId="15" xfId="0" applyFont="1" applyFill="1" applyBorder="1" applyAlignment="1" applyProtection="1">
      <alignment horizontal="center" vertical="center"/>
      <protection hidden="1"/>
    </xf>
    <xf numFmtId="0" fontId="2" fillId="11" borderId="18" xfId="0" applyFont="1" applyFill="1" applyBorder="1" applyAlignment="1" applyProtection="1">
      <alignment horizontal="center" vertical="center"/>
      <protection hidden="1"/>
    </xf>
    <xf numFmtId="0" fontId="13" fillId="12" borderId="2" xfId="0" applyFont="1" applyFill="1" applyBorder="1" applyAlignment="1" applyProtection="1">
      <alignment horizontal="center"/>
      <protection hidden="1"/>
    </xf>
    <xf numFmtId="0" fontId="2" fillId="13" borderId="2" xfId="0" applyFont="1" applyFill="1" applyBorder="1" applyAlignment="1" applyProtection="1">
      <alignment horizontal="center" vertical="center"/>
      <protection locked="0"/>
    </xf>
    <xf numFmtId="174" fontId="2" fillId="13" borderId="2" xfId="0" applyNumberFormat="1" applyFont="1" applyFill="1" applyBorder="1" applyAlignment="1" applyProtection="1">
      <alignment horizontal="center" vertical="center"/>
      <protection locked="0"/>
    </xf>
    <xf numFmtId="178" fontId="14" fillId="14" borderId="2" xfId="2" applyNumberFormat="1" applyFont="1" applyFill="1" applyBorder="1" applyAlignment="1">
      <alignment horizontal="center"/>
    </xf>
    <xf numFmtId="1" fontId="30" fillId="14" borderId="2" xfId="2" applyNumberFormat="1" applyFont="1" applyFill="1" applyBorder="1" applyAlignment="1">
      <alignment horizontal="center"/>
    </xf>
    <xf numFmtId="0" fontId="2" fillId="10" borderId="2" xfId="2" applyFont="1" applyFill="1" applyBorder="1" applyAlignment="1">
      <alignment horizontal="center"/>
    </xf>
    <xf numFmtId="0" fontId="0" fillId="7" borderId="15" xfId="0" applyFill="1" applyBorder="1" applyAlignment="1">
      <alignment horizontal="center" vertical="center"/>
    </xf>
    <xf numFmtId="0" fontId="2" fillId="7" borderId="15" xfId="0" applyFont="1" applyFill="1" applyBorder="1" applyAlignment="1">
      <alignment horizontal="center" vertical="center"/>
    </xf>
    <xf numFmtId="0" fontId="0" fillId="13" borderId="15" xfId="0" applyFill="1" applyBorder="1" applyAlignment="1" applyProtection="1">
      <alignment horizontal="center" vertical="center"/>
      <protection locked="0"/>
    </xf>
    <xf numFmtId="185" fontId="2" fillId="7" borderId="2" xfId="0" applyNumberFormat="1" applyFont="1" applyFill="1" applyBorder="1" applyAlignment="1">
      <alignment horizontal="center" vertical="center"/>
    </xf>
    <xf numFmtId="186" fontId="0" fillId="7" borderId="16" xfId="0" applyNumberFormat="1" applyFill="1" applyBorder="1" applyAlignment="1">
      <alignment horizontal="center" vertical="center"/>
    </xf>
    <xf numFmtId="186" fontId="2" fillId="7" borderId="15" xfId="0" applyNumberFormat="1" applyFont="1" applyFill="1" applyBorder="1" applyAlignment="1">
      <alignment horizontal="center" vertical="center"/>
    </xf>
    <xf numFmtId="175" fontId="15" fillId="7" borderId="16" xfId="0" applyNumberFormat="1" applyFont="1" applyFill="1" applyBorder="1" applyAlignment="1">
      <alignment horizontal="center" vertical="center"/>
    </xf>
    <xf numFmtId="175" fontId="15" fillId="7" borderId="15" xfId="0" applyNumberFormat="1" applyFont="1" applyFill="1" applyBorder="1" applyAlignment="1">
      <alignment horizontal="center" vertical="center"/>
    </xf>
    <xf numFmtId="175" fontId="2" fillId="7" borderId="16" xfId="0" applyNumberFormat="1" applyFont="1" applyFill="1" applyBorder="1" applyAlignment="1">
      <alignment horizontal="center" vertical="center"/>
    </xf>
    <xf numFmtId="175" fontId="2" fillId="7" borderId="15" xfId="0" applyNumberFormat="1" applyFont="1" applyFill="1" applyBorder="1" applyAlignment="1">
      <alignment horizontal="center" vertical="center"/>
    </xf>
    <xf numFmtId="172" fontId="2" fillId="7" borderId="15" xfId="0" applyNumberFormat="1" applyFont="1" applyFill="1" applyBorder="1" applyAlignment="1">
      <alignment horizontal="center" vertical="center"/>
    </xf>
    <xf numFmtId="172" fontId="2" fillId="7" borderId="16" xfId="0" applyNumberFormat="1" applyFont="1" applyFill="1" applyBorder="1" applyAlignment="1">
      <alignment horizontal="center" vertical="center"/>
    </xf>
    <xf numFmtId="172" fontId="15" fillId="7" borderId="15" xfId="0" applyNumberFormat="1" applyFont="1" applyFill="1" applyBorder="1" applyAlignment="1">
      <alignment horizontal="center" vertical="center"/>
    </xf>
    <xf numFmtId="0" fontId="0" fillId="0" borderId="19"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0" fillId="0" borderId="22" xfId="0" applyBorder="1" applyAlignment="1">
      <alignment vertical="center"/>
    </xf>
    <xf numFmtId="0" fontId="0" fillId="0" borderId="23" xfId="0" applyBorder="1" applyAlignment="1">
      <alignment vertical="center"/>
    </xf>
    <xf numFmtId="0" fontId="2" fillId="11" borderId="24" xfId="0" applyFont="1" applyFill="1" applyBorder="1" applyAlignment="1" applyProtection="1">
      <alignment horizontal="center" vertical="center"/>
      <protection hidden="1"/>
    </xf>
    <xf numFmtId="178" fontId="2" fillId="3" borderId="25" xfId="0" applyNumberFormat="1" applyFont="1" applyFill="1" applyBorder="1" applyAlignment="1" applyProtection="1">
      <alignment horizontal="center" vertical="center"/>
      <protection locked="0"/>
    </xf>
    <xf numFmtId="178" fontId="2" fillId="3" borderId="26" xfId="0" applyNumberFormat="1" applyFont="1" applyFill="1" applyBorder="1" applyAlignment="1" applyProtection="1">
      <alignment horizontal="center" vertical="center"/>
      <protection locked="0"/>
    </xf>
    <xf numFmtId="0" fontId="2" fillId="8" borderId="24" xfId="0" applyFont="1" applyFill="1" applyBorder="1" applyAlignment="1" applyProtection="1">
      <alignment horizontal="center" vertical="center"/>
      <protection hidden="1"/>
    </xf>
    <xf numFmtId="0" fontId="2" fillId="9" borderId="27" xfId="0" applyFont="1" applyFill="1" applyBorder="1" applyAlignment="1" applyProtection="1">
      <alignment horizontal="center" vertical="center"/>
      <protection hidden="1"/>
    </xf>
    <xf numFmtId="0" fontId="0" fillId="9" borderId="27" xfId="0" applyFill="1" applyBorder="1" applyAlignment="1" applyProtection="1">
      <alignment horizontal="center" vertical="center"/>
      <protection hidden="1"/>
    </xf>
    <xf numFmtId="0" fontId="2" fillId="0" borderId="21" xfId="0" applyFont="1" applyBorder="1" applyAlignment="1">
      <alignment vertical="center"/>
    </xf>
    <xf numFmtId="14" fontId="0" fillId="0" borderId="23" xfId="0" applyNumberFormat="1" applyBorder="1" applyAlignment="1">
      <alignment horizontal="center" vertical="center"/>
    </xf>
    <xf numFmtId="189" fontId="2" fillId="7" borderId="25" xfId="0" applyNumberFormat="1" applyFont="1" applyFill="1" applyBorder="1" applyAlignment="1">
      <alignment horizontal="center" vertical="center"/>
    </xf>
    <xf numFmtId="0" fontId="34" fillId="6" borderId="2" xfId="2" applyFont="1" applyFill="1" applyBorder="1" applyAlignment="1" applyProtection="1">
      <alignment horizontal="center"/>
      <protection hidden="1"/>
    </xf>
    <xf numFmtId="178" fontId="34" fillId="5" borderId="2" xfId="2" applyNumberFormat="1" applyFont="1" applyFill="1" applyBorder="1" applyAlignment="1">
      <alignment horizontal="center"/>
    </xf>
    <xf numFmtId="177" fontId="2" fillId="4" borderId="25" xfId="2" applyNumberFormat="1" applyFont="1" applyFill="1" applyBorder="1" applyAlignment="1" applyProtection="1">
      <alignment horizontal="center"/>
      <protection locked="0"/>
    </xf>
    <xf numFmtId="0" fontId="2" fillId="10" borderId="28" xfId="2" applyFont="1" applyFill="1" applyBorder="1" applyAlignment="1" applyProtection="1">
      <alignment horizontal="center"/>
      <protection hidden="1"/>
    </xf>
    <xf numFmtId="0" fontId="2" fillId="10" borderId="29" xfId="2" applyFont="1" applyFill="1" applyBorder="1" applyAlignment="1" applyProtection="1">
      <alignment horizontal="center"/>
      <protection hidden="1"/>
    </xf>
    <xf numFmtId="0" fontId="36" fillId="10" borderId="30" xfId="2" applyFont="1" applyFill="1" applyBorder="1" applyAlignment="1" applyProtection="1">
      <alignment horizontal="center"/>
      <protection hidden="1"/>
    </xf>
    <xf numFmtId="0" fontId="0" fillId="0" borderId="10" xfId="0" applyBorder="1" applyAlignment="1">
      <alignment vertical="center"/>
    </xf>
    <xf numFmtId="0" fontId="15" fillId="0" borderId="10" xfId="2" applyFont="1" applyBorder="1"/>
    <xf numFmtId="0" fontId="15" fillId="0" borderId="31" xfId="2" applyFont="1" applyBorder="1" applyAlignment="1" applyProtection="1">
      <alignment horizontal="center"/>
      <protection hidden="1"/>
    </xf>
    <xf numFmtId="0" fontId="15" fillId="0" borderId="32" xfId="2" applyFont="1" applyBorder="1" applyAlignment="1">
      <alignment horizontal="center"/>
    </xf>
    <xf numFmtId="0" fontId="15" fillId="0" borderId="19" xfId="2" applyFont="1" applyBorder="1" applyAlignment="1" applyProtection="1">
      <alignment horizontal="center"/>
      <protection hidden="1"/>
    </xf>
    <xf numFmtId="0" fontId="15" fillId="0" borderId="20" xfId="2" applyFont="1" applyBorder="1" applyAlignment="1">
      <alignment horizontal="center"/>
    </xf>
    <xf numFmtId="0" fontId="15" fillId="0" borderId="21" xfId="2" applyFont="1" applyBorder="1" applyAlignment="1" applyProtection="1">
      <alignment horizontal="center"/>
      <protection hidden="1"/>
    </xf>
    <xf numFmtId="0" fontId="15" fillId="0" borderId="23" xfId="2" applyFont="1" applyBorder="1" applyAlignment="1">
      <alignment horizontal="center"/>
    </xf>
    <xf numFmtId="0" fontId="15" fillId="0" borderId="20" xfId="2" applyFont="1" applyBorder="1" applyAlignment="1" applyProtection="1">
      <alignment horizontal="center"/>
      <protection hidden="1"/>
    </xf>
    <xf numFmtId="0" fontId="15" fillId="0" borderId="23" xfId="2" applyFont="1" applyBorder="1" applyAlignment="1" applyProtection="1">
      <alignment horizontal="center"/>
      <protection hidden="1"/>
    </xf>
    <xf numFmtId="2" fontId="15" fillId="0" borderId="31" xfId="2" applyNumberFormat="1" applyFont="1" applyBorder="1" applyAlignment="1" applyProtection="1">
      <alignment horizontal="center"/>
      <protection hidden="1"/>
    </xf>
    <xf numFmtId="0" fontId="0" fillId="0" borderId="31" xfId="2" applyFont="1" applyBorder="1" applyAlignment="1" applyProtection="1">
      <alignment horizontal="center"/>
      <protection hidden="1"/>
    </xf>
    <xf numFmtId="0" fontId="0" fillId="0" borderId="33" xfId="2" applyFont="1" applyBorder="1" applyAlignment="1" applyProtection="1">
      <alignment horizontal="center"/>
      <protection hidden="1"/>
    </xf>
    <xf numFmtId="0" fontId="0" fillId="0" borderId="32" xfId="2" applyFont="1" applyBorder="1" applyAlignment="1" applyProtection="1">
      <alignment horizontal="center"/>
      <protection hidden="1"/>
    </xf>
    <xf numFmtId="0" fontId="0" fillId="0" borderId="19" xfId="2" applyFont="1" applyBorder="1" applyAlignment="1" applyProtection="1">
      <alignment horizontal="center"/>
      <protection hidden="1"/>
    </xf>
    <xf numFmtId="0" fontId="15" fillId="0" borderId="22" xfId="2" applyFont="1" applyBorder="1" applyAlignment="1" applyProtection="1">
      <alignment horizontal="center"/>
      <protection hidden="1"/>
    </xf>
    <xf numFmtId="1" fontId="15" fillId="0" borderId="33" xfId="2" applyNumberFormat="1" applyFont="1" applyBorder="1" applyAlignment="1" applyProtection="1">
      <alignment horizontal="center"/>
      <protection hidden="1"/>
    </xf>
    <xf numFmtId="1" fontId="8" fillId="0" borderId="32" xfId="2" applyNumberFormat="1" applyFont="1" applyBorder="1" applyAlignment="1" applyProtection="1">
      <alignment horizontal="center"/>
      <protection hidden="1"/>
    </xf>
    <xf numFmtId="1" fontId="8" fillId="0" borderId="20" xfId="2" applyNumberFormat="1" applyFont="1" applyBorder="1" applyAlignment="1" applyProtection="1">
      <alignment horizontal="center"/>
      <protection hidden="1"/>
    </xf>
    <xf numFmtId="1" fontId="15" fillId="0" borderId="22" xfId="2" applyNumberFormat="1" applyFont="1" applyBorder="1" applyAlignment="1" applyProtection="1">
      <alignment horizontal="center"/>
      <protection hidden="1"/>
    </xf>
    <xf numFmtId="1" fontId="8" fillId="0" borderId="23" xfId="2" applyNumberFormat="1" applyFont="1" applyBorder="1" applyAlignment="1" applyProtection="1">
      <alignment horizontal="center"/>
      <protection hidden="1"/>
    </xf>
    <xf numFmtId="0" fontId="15" fillId="0" borderId="33" xfId="2" applyFont="1" applyBorder="1" applyAlignment="1" applyProtection="1">
      <alignment horizontal="center"/>
      <protection hidden="1"/>
    </xf>
    <xf numFmtId="2" fontId="15" fillId="0" borderId="33" xfId="2" applyNumberFormat="1" applyFont="1" applyBorder="1" applyAlignment="1" applyProtection="1">
      <alignment horizontal="center"/>
      <protection hidden="1"/>
    </xf>
    <xf numFmtId="0" fontId="8" fillId="0" borderId="32" xfId="2" applyFont="1" applyBorder="1" applyAlignment="1" applyProtection="1">
      <alignment horizontal="center"/>
      <protection hidden="1"/>
    </xf>
    <xf numFmtId="0" fontId="8" fillId="0" borderId="20" xfId="2" applyFont="1" applyBorder="1" applyAlignment="1" applyProtection="1">
      <alignment horizontal="center"/>
      <protection hidden="1"/>
    </xf>
    <xf numFmtId="0" fontId="8" fillId="0" borderId="23" xfId="2" applyFont="1" applyBorder="1" applyAlignment="1" applyProtection="1">
      <alignment horizontal="center"/>
      <protection hidden="1"/>
    </xf>
    <xf numFmtId="1" fontId="15" fillId="0" borderId="32" xfId="2" applyNumberFormat="1" applyFont="1" applyBorder="1" applyAlignment="1" applyProtection="1">
      <alignment horizontal="center"/>
      <protection hidden="1"/>
    </xf>
    <xf numFmtId="1" fontId="15" fillId="0" borderId="20" xfId="2" applyNumberFormat="1" applyFont="1" applyBorder="1" applyAlignment="1" applyProtection="1">
      <alignment horizontal="center"/>
      <protection hidden="1"/>
    </xf>
    <xf numFmtId="1" fontId="15" fillId="0" borderId="23" xfId="2" applyNumberFormat="1" applyFont="1" applyBorder="1" applyAlignment="1" applyProtection="1">
      <alignment horizontal="center"/>
      <protection hidden="1"/>
    </xf>
    <xf numFmtId="0" fontId="0" fillId="0" borderId="31" xfId="0" applyBorder="1" applyAlignment="1">
      <alignment horizontal="center" vertical="center"/>
    </xf>
    <xf numFmtId="0" fontId="0" fillId="0" borderId="32" xfId="0" applyBorder="1" applyAlignment="1">
      <alignment horizontal="center" vertical="center"/>
    </xf>
    <xf numFmtId="0" fontId="0" fillId="0" borderId="21" xfId="2" applyFont="1" applyBorder="1" applyAlignment="1" applyProtection="1">
      <alignment horizontal="center"/>
      <protection hidden="1"/>
    </xf>
    <xf numFmtId="165" fontId="0" fillId="0" borderId="19" xfId="0" applyNumberFormat="1" applyBorder="1" applyAlignment="1">
      <alignment horizontal="center" vertical="center"/>
    </xf>
    <xf numFmtId="1" fontId="0" fillId="0" borderId="20" xfId="0" applyNumberFormat="1" applyBorder="1" applyAlignment="1">
      <alignment horizontal="center" vertical="center"/>
    </xf>
    <xf numFmtId="165" fontId="0" fillId="0" borderId="21" xfId="0" applyNumberFormat="1" applyBorder="1" applyAlignment="1">
      <alignment horizontal="center" vertical="center"/>
    </xf>
    <xf numFmtId="1" fontId="0" fillId="0" borderId="23" xfId="0" applyNumberFormat="1" applyBorder="1" applyAlignment="1">
      <alignment horizontal="center" vertical="center"/>
    </xf>
    <xf numFmtId="1" fontId="0" fillId="0" borderId="19" xfId="0" applyNumberFormat="1" applyBorder="1" applyAlignment="1">
      <alignment horizontal="center" vertical="center"/>
    </xf>
    <xf numFmtId="1" fontId="0" fillId="0" borderId="21" xfId="0" applyNumberFormat="1" applyBorder="1" applyAlignment="1">
      <alignment horizontal="center" vertical="center"/>
    </xf>
    <xf numFmtId="0" fontId="0" fillId="0" borderId="23" xfId="0" applyBorder="1" applyAlignment="1">
      <alignment horizontal="center" vertical="center"/>
    </xf>
    <xf numFmtId="0" fontId="14" fillId="15" borderId="8" xfId="0" applyFont="1" applyFill="1" applyBorder="1" applyAlignment="1" applyProtection="1">
      <alignment horizontal="center"/>
      <protection locked="0"/>
    </xf>
    <xf numFmtId="0" fontId="0" fillId="0" borderId="0" xfId="0" applyAlignment="1">
      <alignment horizontal="right" vertical="center"/>
    </xf>
    <xf numFmtId="190" fontId="2" fillId="4" borderId="2" xfId="2" applyNumberFormat="1" applyFont="1" applyFill="1" applyBorder="1" applyAlignment="1" applyProtection="1">
      <alignment horizontal="center"/>
      <protection locked="0"/>
    </xf>
    <xf numFmtId="0" fontId="0" fillId="0" borderId="0" xfId="2" applyFont="1"/>
    <xf numFmtId="0" fontId="30" fillId="6" borderId="2" xfId="2" applyFont="1" applyFill="1" applyBorder="1" applyAlignment="1" applyProtection="1">
      <alignment horizontal="center"/>
      <protection hidden="1"/>
    </xf>
    <xf numFmtId="189" fontId="2" fillId="3" borderId="2" xfId="0" applyNumberFormat="1" applyFont="1" applyFill="1" applyBorder="1" applyAlignment="1" applyProtection="1">
      <alignment horizontal="center" vertical="center"/>
      <protection locked="0"/>
    </xf>
    <xf numFmtId="0" fontId="0" fillId="0" borderId="0" xfId="0" applyAlignment="1">
      <alignment horizontal="right"/>
    </xf>
    <xf numFmtId="0" fontId="2" fillId="11" borderId="18" xfId="1" applyFont="1" applyFill="1" applyBorder="1" applyAlignment="1" applyProtection="1">
      <alignment horizontal="center" vertical="center"/>
      <protection hidden="1"/>
    </xf>
    <xf numFmtId="0" fontId="0" fillId="0" borderId="33" xfId="0" applyBorder="1" applyAlignment="1">
      <alignment horizontal="center" vertical="center"/>
    </xf>
    <xf numFmtId="0" fontId="0" fillId="0" borderId="21" xfId="0" applyBorder="1" applyAlignment="1">
      <alignment horizontal="center" vertical="center"/>
    </xf>
    <xf numFmtId="1" fontId="0" fillId="0" borderId="22" xfId="0" applyNumberFormat="1" applyBorder="1" applyAlignment="1">
      <alignment horizontal="center" vertical="center"/>
    </xf>
    <xf numFmtId="0" fontId="0" fillId="0" borderId="19" xfId="0" applyBorder="1" applyAlignment="1">
      <alignment horizontal="center" vertical="center"/>
    </xf>
    <xf numFmtId="0" fontId="0" fillId="0" borderId="31" xfId="0" applyBorder="1" applyAlignment="1">
      <alignment vertical="center"/>
    </xf>
    <xf numFmtId="0" fontId="0" fillId="0" borderId="32" xfId="0" applyBorder="1" applyAlignment="1">
      <alignment horizontal="left" vertical="center"/>
    </xf>
    <xf numFmtId="0" fontId="0" fillId="0" borderId="20" xfId="0" applyBorder="1" applyAlignment="1">
      <alignment horizontal="left" vertical="center"/>
    </xf>
    <xf numFmtId="0" fontId="0" fillId="0" borderId="19" xfId="0" applyBorder="1" applyAlignment="1">
      <alignment horizontal="right" vertical="center"/>
    </xf>
    <xf numFmtId="2" fontId="0" fillId="0" borderId="20" xfId="0" applyNumberFormat="1" applyBorder="1" applyAlignment="1">
      <alignment horizontal="center" vertical="center"/>
    </xf>
    <xf numFmtId="0" fontId="0" fillId="0" borderId="21" xfId="0" applyBorder="1" applyAlignment="1">
      <alignment horizontal="right" vertical="center"/>
    </xf>
    <xf numFmtId="2" fontId="0" fillId="0" borderId="23" xfId="0" applyNumberFormat="1" applyBorder="1" applyAlignment="1">
      <alignment horizontal="center" vertical="center"/>
    </xf>
    <xf numFmtId="0" fontId="0" fillId="0" borderId="31" xfId="0" applyBorder="1" applyAlignment="1">
      <alignment horizontal="right" vertical="center"/>
    </xf>
    <xf numFmtId="2" fontId="0" fillId="0" borderId="32" xfId="0" applyNumberFormat="1" applyBorder="1" applyAlignment="1">
      <alignment horizontal="center" vertical="center"/>
    </xf>
    <xf numFmtId="0" fontId="2" fillId="0" borderId="20" xfId="0" applyFont="1" applyBorder="1" applyAlignment="1">
      <alignment horizontal="center" vertical="center"/>
    </xf>
    <xf numFmtId="1" fontId="2" fillId="0" borderId="0" xfId="0" applyNumberFormat="1" applyFont="1" applyAlignment="1">
      <alignment horizontal="center"/>
    </xf>
    <xf numFmtId="0" fontId="2" fillId="0" borderId="32" xfId="0" applyFont="1" applyBorder="1" applyAlignment="1">
      <alignment horizontal="center"/>
    </xf>
    <xf numFmtId="0" fontId="2" fillId="0" borderId="20" xfId="0" applyFont="1" applyBorder="1" applyAlignment="1">
      <alignment horizontal="center"/>
    </xf>
    <xf numFmtId="1" fontId="2" fillId="0" borderId="23" xfId="0" applyNumberFormat="1" applyFont="1" applyBorder="1" applyAlignment="1">
      <alignment horizontal="center"/>
    </xf>
    <xf numFmtId="0" fontId="2" fillId="0" borderId="33" xfId="0" applyFont="1" applyBorder="1" applyAlignment="1">
      <alignment horizontal="center"/>
    </xf>
    <xf numFmtId="165" fontId="2" fillId="0" borderId="0" xfId="0" applyNumberFormat="1" applyFont="1" applyAlignment="1">
      <alignment horizontal="center" vertical="center"/>
    </xf>
    <xf numFmtId="165" fontId="2" fillId="0" borderId="0" xfId="0" applyNumberFormat="1" applyFont="1" applyAlignment="1">
      <alignment horizontal="center"/>
    </xf>
    <xf numFmtId="0" fontId="2" fillId="0" borderId="33" xfId="0" applyFont="1" applyBorder="1"/>
    <xf numFmtId="165" fontId="2" fillId="0" borderId="33" xfId="0" applyNumberFormat="1" applyFont="1" applyBorder="1" applyAlignment="1">
      <alignment horizontal="center" vertical="center"/>
    </xf>
    <xf numFmtId="165" fontId="2" fillId="0" borderId="32" xfId="0" applyNumberFormat="1" applyFont="1" applyBorder="1" applyAlignment="1">
      <alignment horizontal="center" vertical="center"/>
    </xf>
    <xf numFmtId="0" fontId="2" fillId="0" borderId="20" xfId="0" applyFont="1" applyBorder="1"/>
    <xf numFmtId="165" fontId="2" fillId="0" borderId="20" xfId="0" applyNumberFormat="1" applyFont="1" applyBorder="1" applyAlignment="1">
      <alignment horizontal="center" vertical="center"/>
    </xf>
    <xf numFmtId="165" fontId="2" fillId="0" borderId="20" xfId="0" applyNumberFormat="1" applyFont="1" applyBorder="1" applyAlignment="1">
      <alignment horizontal="center"/>
    </xf>
    <xf numFmtId="0" fontId="2" fillId="0" borderId="22" xfId="0" applyFont="1" applyBorder="1"/>
    <xf numFmtId="165" fontId="2" fillId="0" borderId="22" xfId="0" applyNumberFormat="1" applyFont="1" applyBorder="1" applyAlignment="1">
      <alignment horizontal="center" vertical="center"/>
    </xf>
    <xf numFmtId="165" fontId="2" fillId="0" borderId="23" xfId="0" applyNumberFormat="1" applyFont="1" applyBorder="1" applyAlignment="1">
      <alignment horizontal="center" vertical="center"/>
    </xf>
    <xf numFmtId="165" fontId="0" fillId="0" borderId="0" xfId="0" applyNumberFormat="1" applyAlignment="1">
      <alignment horizontal="left"/>
    </xf>
    <xf numFmtId="0" fontId="2" fillId="4" borderId="0" xfId="0" applyFont="1" applyFill="1" applyAlignment="1" applyProtection="1">
      <alignment horizontal="center" vertical="center"/>
      <protection locked="0"/>
    </xf>
    <xf numFmtId="0" fontId="2" fillId="0" borderId="23" xfId="0" applyFont="1" applyBorder="1" applyAlignment="1">
      <alignment horizontal="center"/>
    </xf>
    <xf numFmtId="0" fontId="0" fillId="0" borderId="33" xfId="0" applyBorder="1" applyAlignment="1">
      <alignment horizontal="center"/>
    </xf>
    <xf numFmtId="0" fontId="0" fillId="0" borderId="32" xfId="0" applyBorder="1" applyAlignment="1">
      <alignment horizontal="center"/>
    </xf>
    <xf numFmtId="1" fontId="2" fillId="0" borderId="22" xfId="0" applyNumberFormat="1" applyFont="1" applyBorder="1" applyAlignment="1">
      <alignment horizontal="center"/>
    </xf>
    <xf numFmtId="165" fontId="2" fillId="0" borderId="23" xfId="0" applyNumberFormat="1" applyFont="1" applyBorder="1" applyAlignment="1">
      <alignment horizontal="center"/>
    </xf>
    <xf numFmtId="0" fontId="0" fillId="0" borderId="33" xfId="0" applyBorder="1"/>
    <xf numFmtId="0" fontId="0" fillId="0" borderId="32" xfId="0" applyBorder="1"/>
    <xf numFmtId="0" fontId="0" fillId="0" borderId="20" xfId="0" applyBorder="1"/>
    <xf numFmtId="0" fontId="2" fillId="4" borderId="20" xfId="0" applyFont="1" applyFill="1" applyBorder="1" applyAlignment="1" applyProtection="1">
      <alignment horizontal="center" vertical="center"/>
      <protection locked="0"/>
    </xf>
    <xf numFmtId="0" fontId="0" fillId="0" borderId="21" xfId="0" applyBorder="1"/>
    <xf numFmtId="0" fontId="0" fillId="0" borderId="22" xfId="0" applyBorder="1"/>
    <xf numFmtId="0" fontId="0" fillId="0" borderId="23" xfId="0" applyBorder="1"/>
    <xf numFmtId="0" fontId="29" fillId="0" borderId="20" xfId="0" applyFont="1" applyBorder="1" applyAlignment="1">
      <alignment horizontal="left"/>
    </xf>
    <xf numFmtId="0" fontId="2" fillId="0" borderId="0" xfId="0" applyFont="1" applyAlignment="1">
      <alignment horizontal="right"/>
    </xf>
    <xf numFmtId="0" fontId="2" fillId="0" borderId="22" xfId="0" applyFont="1" applyBorder="1" applyAlignment="1">
      <alignment horizontal="center"/>
    </xf>
    <xf numFmtId="0" fontId="2" fillId="0" borderId="31" xfId="0" applyFont="1" applyBorder="1" applyAlignment="1">
      <alignment horizontal="center"/>
    </xf>
    <xf numFmtId="0" fontId="2" fillId="0" borderId="19" xfId="0" applyFont="1" applyBorder="1" applyAlignment="1">
      <alignment horizontal="center"/>
    </xf>
    <xf numFmtId="0" fontId="2" fillId="0" borderId="21" xfId="0" applyFont="1" applyBorder="1" applyAlignment="1">
      <alignment horizontal="center"/>
    </xf>
    <xf numFmtId="0" fontId="2" fillId="0" borderId="19" xfId="0" applyFont="1" applyBorder="1" applyAlignment="1">
      <alignment horizontal="center" vertical="center"/>
    </xf>
    <xf numFmtId="0" fontId="2" fillId="4" borderId="23" xfId="0" applyFont="1" applyFill="1" applyBorder="1" applyAlignment="1" applyProtection="1">
      <alignment horizontal="center" vertical="center"/>
      <protection locked="0"/>
    </xf>
    <xf numFmtId="1" fontId="2" fillId="0" borderId="20" xfId="0" applyNumberFormat="1" applyFont="1" applyBorder="1" applyAlignment="1">
      <alignment horizontal="center"/>
    </xf>
    <xf numFmtId="165" fontId="2" fillId="0" borderId="22" xfId="0" applyNumberFormat="1" applyFont="1" applyBorder="1" applyAlignment="1">
      <alignment horizontal="center"/>
    </xf>
    <xf numFmtId="0" fontId="2" fillId="0" borderId="34" xfId="0" applyFont="1" applyBorder="1" applyAlignment="1">
      <alignment horizontal="center"/>
    </xf>
    <xf numFmtId="1" fontId="2" fillId="0" borderId="0" xfId="0" applyNumberFormat="1" applyFont="1" applyAlignment="1">
      <alignment horizontal="center" vertical="center"/>
    </xf>
    <xf numFmtId="1" fontId="2" fillId="0" borderId="20" xfId="0" applyNumberFormat="1" applyFont="1" applyBorder="1" applyAlignment="1">
      <alignment horizontal="center" vertical="center"/>
    </xf>
    <xf numFmtId="0" fontId="2" fillId="0" borderId="35" xfId="0" applyFont="1" applyBorder="1"/>
    <xf numFmtId="1" fontId="2" fillId="0" borderId="35" xfId="0" applyNumberFormat="1" applyFont="1" applyBorder="1" applyAlignment="1">
      <alignment horizontal="center"/>
    </xf>
    <xf numFmtId="0" fontId="2" fillId="0" borderId="35" xfId="0" applyFont="1" applyBorder="1" applyAlignment="1">
      <alignment horizontal="center"/>
    </xf>
    <xf numFmtId="0" fontId="2" fillId="4" borderId="32" xfId="0" applyFont="1" applyFill="1" applyBorder="1" applyAlignment="1" applyProtection="1">
      <alignment horizontal="center" vertical="center"/>
      <protection locked="0"/>
    </xf>
    <xf numFmtId="0" fontId="2" fillId="0" borderId="23" xfId="0" applyFont="1" applyBorder="1"/>
    <xf numFmtId="0" fontId="30" fillId="0" borderId="13" xfId="0" applyFont="1" applyBorder="1" applyAlignment="1">
      <alignment horizontal="right" vertical="center"/>
    </xf>
    <xf numFmtId="0" fontId="30" fillId="0" borderId="13" xfId="2" applyFont="1" applyBorder="1" applyAlignment="1">
      <alignment horizontal="right"/>
    </xf>
    <xf numFmtId="2" fontId="0" fillId="16" borderId="31" xfId="0" applyNumberFormat="1" applyFill="1" applyBorder="1" applyAlignment="1">
      <alignment horizontal="center"/>
    </xf>
    <xf numFmtId="2" fontId="0" fillId="16" borderId="33" xfId="0" applyNumberFormat="1" applyFill="1" applyBorder="1" applyAlignment="1">
      <alignment horizontal="center"/>
    </xf>
    <xf numFmtId="2" fontId="0" fillId="16" borderId="32" xfId="0" applyNumberFormat="1" applyFill="1" applyBorder="1" applyAlignment="1">
      <alignment horizontal="center"/>
    </xf>
    <xf numFmtId="0" fontId="0" fillId="16" borderId="31" xfId="0" applyFill="1" applyBorder="1" applyAlignment="1">
      <alignment horizontal="center"/>
    </xf>
    <xf numFmtId="0" fontId="0" fillId="16" borderId="33" xfId="0" applyFill="1" applyBorder="1" applyAlignment="1">
      <alignment horizontal="center"/>
    </xf>
    <xf numFmtId="0" fontId="0" fillId="16" borderId="32" xfId="0" applyFill="1" applyBorder="1" applyAlignment="1">
      <alignment horizontal="center"/>
    </xf>
    <xf numFmtId="2" fontId="0" fillId="0" borderId="0" xfId="0" applyNumberFormat="1"/>
    <xf numFmtId="2" fontId="0" fillId="0" borderId="0" xfId="0" applyNumberFormat="1" applyAlignment="1">
      <alignment horizontal="left"/>
    </xf>
    <xf numFmtId="2" fontId="9" fillId="0" borderId="0" xfId="0" applyNumberFormat="1" applyFont="1" applyAlignment="1">
      <alignment horizontal="left"/>
    </xf>
    <xf numFmtId="2" fontId="10" fillId="0" borderId="0" xfId="1" applyNumberFormat="1" applyAlignment="1">
      <alignment horizontal="left"/>
    </xf>
    <xf numFmtId="2" fontId="10" fillId="0" borderId="0" xfId="1" applyNumberFormat="1" applyAlignment="1">
      <alignment horizontal="center"/>
    </xf>
    <xf numFmtId="2" fontId="0" fillId="0" borderId="0" xfId="0" quotePrefix="1" applyNumberFormat="1" applyAlignment="1">
      <alignment horizontal="center"/>
    </xf>
    <xf numFmtId="2" fontId="0" fillId="21" borderId="20" xfId="0" applyNumberFormat="1" applyFill="1" applyBorder="1" applyAlignment="1">
      <alignment horizontal="center"/>
    </xf>
    <xf numFmtId="2" fontId="0" fillId="21" borderId="23" xfId="0" applyNumberFormat="1" applyFill="1" applyBorder="1" applyAlignment="1">
      <alignment horizontal="center"/>
    </xf>
    <xf numFmtId="2" fontId="0" fillId="21" borderId="19" xfId="0" applyNumberFormat="1" applyFill="1" applyBorder="1" applyAlignment="1">
      <alignment horizontal="center"/>
    </xf>
    <xf numFmtId="2" fontId="0" fillId="21" borderId="0" xfId="0" applyNumberFormat="1" applyFill="1" applyAlignment="1">
      <alignment horizontal="center"/>
    </xf>
    <xf numFmtId="2" fontId="0" fillId="21" borderId="21" xfId="0" applyNumberFormat="1" applyFill="1" applyBorder="1" applyAlignment="1">
      <alignment horizontal="center"/>
    </xf>
    <xf numFmtId="2" fontId="0" fillId="21" borderId="22" xfId="0" applyNumberFormat="1" applyFill="1" applyBorder="1" applyAlignment="1">
      <alignment horizontal="center"/>
    </xf>
    <xf numFmtId="1" fontId="0" fillId="21" borderId="19" xfId="0" applyNumberFormat="1" applyFill="1" applyBorder="1" applyAlignment="1">
      <alignment horizontal="center"/>
    </xf>
    <xf numFmtId="2" fontId="0" fillId="21" borderId="26" xfId="0" applyNumberFormat="1" applyFill="1" applyBorder="1" applyAlignment="1">
      <alignment horizontal="center"/>
    </xf>
    <xf numFmtId="1" fontId="0" fillId="21" borderId="21" xfId="0" applyNumberFormat="1" applyFill="1" applyBorder="1" applyAlignment="1">
      <alignment horizontal="center"/>
    </xf>
    <xf numFmtId="2" fontId="0" fillId="21" borderId="25" xfId="0" applyNumberFormat="1" applyFill="1" applyBorder="1" applyAlignment="1">
      <alignment horizontal="center"/>
    </xf>
    <xf numFmtId="0" fontId="0" fillId="21" borderId="19" xfId="0" applyFill="1" applyBorder="1"/>
    <xf numFmtId="0" fontId="0" fillId="21" borderId="0" xfId="0" applyFill="1"/>
    <xf numFmtId="0" fontId="0" fillId="21" borderId="20" xfId="0" applyFill="1" applyBorder="1" applyAlignment="1">
      <alignment horizontal="center"/>
    </xf>
    <xf numFmtId="0" fontId="0" fillId="21" borderId="21" xfId="0" applyFill="1" applyBorder="1"/>
    <xf numFmtId="0" fontId="0" fillId="21" borderId="22" xfId="0" applyFill="1" applyBorder="1"/>
    <xf numFmtId="0" fontId="0" fillId="21" borderId="23" xfId="0" applyFill="1" applyBorder="1" applyAlignment="1">
      <alignment horizontal="center"/>
    </xf>
    <xf numFmtId="1" fontId="0" fillId="21" borderId="31" xfId="0" applyNumberFormat="1" applyFill="1" applyBorder="1" applyAlignment="1">
      <alignment horizontal="center"/>
    </xf>
    <xf numFmtId="1" fontId="0" fillId="21" borderId="33" xfId="0" applyNumberFormat="1" applyFill="1" applyBorder="1" applyAlignment="1">
      <alignment horizontal="center"/>
    </xf>
    <xf numFmtId="1" fontId="0" fillId="21" borderId="32" xfId="0" applyNumberFormat="1" applyFill="1" applyBorder="1" applyAlignment="1">
      <alignment horizontal="center"/>
    </xf>
    <xf numFmtId="1" fontId="0" fillId="21" borderId="0" xfId="0" applyNumberFormat="1" applyFill="1" applyAlignment="1">
      <alignment horizontal="center"/>
    </xf>
    <xf numFmtId="1" fontId="0" fillId="21" borderId="20" xfId="0" applyNumberFormat="1" applyFill="1" applyBorder="1" applyAlignment="1">
      <alignment horizontal="center"/>
    </xf>
    <xf numFmtId="1" fontId="0" fillId="21" borderId="22" xfId="0" applyNumberFormat="1" applyFill="1" applyBorder="1" applyAlignment="1">
      <alignment horizontal="center"/>
    </xf>
    <xf numFmtId="1" fontId="0" fillId="21" borderId="23" xfId="0" applyNumberFormat="1" applyFill="1" applyBorder="1" applyAlignment="1">
      <alignment horizontal="center"/>
    </xf>
    <xf numFmtId="2" fontId="0" fillId="21" borderId="32" xfId="0" applyNumberFormat="1" applyFill="1" applyBorder="1" applyAlignment="1">
      <alignment horizontal="center"/>
    </xf>
    <xf numFmtId="2" fontId="0" fillId="21" borderId="24" xfId="0" applyNumberFormat="1" applyFill="1" applyBorder="1" applyAlignment="1">
      <alignment horizontal="center"/>
    </xf>
    <xf numFmtId="2" fontId="0" fillId="21" borderId="31" xfId="0" applyNumberFormat="1" applyFill="1" applyBorder="1" applyAlignment="1">
      <alignment horizontal="center"/>
    </xf>
    <xf numFmtId="0" fontId="0" fillId="22" borderId="36" xfId="0" applyFill="1" applyBorder="1" applyAlignment="1">
      <alignment horizontal="center"/>
    </xf>
    <xf numFmtId="0" fontId="0" fillId="22" borderId="37" xfId="0" applyFill="1" applyBorder="1" applyAlignment="1">
      <alignment horizontal="center"/>
    </xf>
    <xf numFmtId="0" fontId="0" fillId="22" borderId="38" xfId="0" applyFill="1" applyBorder="1" applyAlignment="1">
      <alignment horizontal="center"/>
    </xf>
    <xf numFmtId="0" fontId="0" fillId="22" borderId="39" xfId="0" applyFill="1" applyBorder="1" applyAlignment="1">
      <alignment horizontal="center"/>
    </xf>
    <xf numFmtId="0" fontId="0" fillId="22" borderId="40" xfId="0" applyFill="1" applyBorder="1" applyAlignment="1">
      <alignment horizontal="center"/>
    </xf>
    <xf numFmtId="0" fontId="0" fillId="22" borderId="41" xfId="0" applyFill="1" applyBorder="1" applyAlignment="1">
      <alignment horizontal="center"/>
    </xf>
    <xf numFmtId="0" fontId="0" fillId="22" borderId="42" xfId="0" applyFill="1" applyBorder="1" applyAlignment="1">
      <alignment horizontal="center"/>
    </xf>
    <xf numFmtId="0" fontId="0" fillId="22" borderId="43" xfId="0" applyFill="1" applyBorder="1" applyAlignment="1">
      <alignment horizontal="center"/>
    </xf>
    <xf numFmtId="0" fontId="0" fillId="22" borderId="44" xfId="0" applyFill="1" applyBorder="1" applyAlignment="1">
      <alignment horizontal="center"/>
    </xf>
    <xf numFmtId="0" fontId="0" fillId="22" borderId="45" xfId="0" applyFill="1" applyBorder="1" applyAlignment="1">
      <alignment horizontal="center"/>
    </xf>
    <xf numFmtId="0" fontId="0" fillId="22" borderId="46" xfId="0" applyFill="1" applyBorder="1" applyAlignment="1">
      <alignment horizontal="center"/>
    </xf>
    <xf numFmtId="0" fontId="0" fillId="22" borderId="47" xfId="0" applyFill="1" applyBorder="1" applyAlignment="1">
      <alignment horizontal="center"/>
    </xf>
    <xf numFmtId="0" fontId="0" fillId="22" borderId="48" xfId="0" applyFill="1" applyBorder="1" applyAlignment="1">
      <alignment horizontal="center"/>
    </xf>
    <xf numFmtId="0" fontId="0" fillId="22" borderId="49" xfId="0" applyFill="1" applyBorder="1" applyAlignment="1">
      <alignment horizontal="center"/>
    </xf>
    <xf numFmtId="0" fontId="0" fillId="22" borderId="50" xfId="0" applyFill="1" applyBorder="1" applyAlignment="1">
      <alignment horizontal="center"/>
    </xf>
    <xf numFmtId="0" fontId="8" fillId="22" borderId="36" xfId="0" applyFont="1" applyFill="1" applyBorder="1" applyAlignment="1">
      <alignment horizontal="center"/>
    </xf>
    <xf numFmtId="0" fontId="15" fillId="22" borderId="37" xfId="0" applyFont="1" applyFill="1" applyBorder="1" applyAlignment="1">
      <alignment horizontal="center"/>
    </xf>
    <xf numFmtId="2" fontId="0" fillId="23" borderId="19" xfId="0" applyNumberFormat="1" applyFill="1" applyBorder="1" applyAlignment="1">
      <alignment horizontal="center"/>
    </xf>
    <xf numFmtId="2" fontId="0" fillId="23" borderId="21" xfId="0" applyNumberFormat="1" applyFill="1" applyBorder="1" applyAlignment="1">
      <alignment horizontal="center"/>
    </xf>
    <xf numFmtId="2" fontId="0" fillId="24" borderId="32" xfId="0" applyNumberFormat="1" applyFill="1" applyBorder="1" applyAlignment="1">
      <alignment horizontal="center"/>
    </xf>
    <xf numFmtId="2" fontId="0" fillId="24" borderId="31" xfId="0" applyNumberFormat="1" applyFill="1" applyBorder="1" applyAlignment="1">
      <alignment horizontal="center"/>
    </xf>
    <xf numFmtId="2" fontId="0" fillId="24" borderId="33" xfId="0" applyNumberFormat="1" applyFill="1" applyBorder="1" applyAlignment="1">
      <alignment horizontal="center"/>
    </xf>
    <xf numFmtId="0" fontId="0" fillId="25" borderId="51" xfId="0" applyFill="1" applyBorder="1" applyAlignment="1">
      <alignment horizontal="center"/>
    </xf>
    <xf numFmtId="184" fontId="0" fillId="25" borderId="11" xfId="0" applyNumberFormat="1" applyFill="1" applyBorder="1" applyAlignment="1">
      <alignment horizontal="center"/>
    </xf>
    <xf numFmtId="173" fontId="0" fillId="25" borderId="11" xfId="0" applyNumberFormat="1" applyFill="1" applyBorder="1" applyAlignment="1">
      <alignment horizontal="center"/>
    </xf>
    <xf numFmtId="164" fontId="0" fillId="24" borderId="11" xfId="0" applyNumberFormat="1" applyFill="1" applyBorder="1" applyAlignment="1">
      <alignment horizontal="center"/>
    </xf>
    <xf numFmtId="164" fontId="0" fillId="25" borderId="11" xfId="0" applyNumberFormat="1" applyFill="1" applyBorder="1" applyAlignment="1">
      <alignment horizontal="center"/>
    </xf>
    <xf numFmtId="178" fontId="0" fillId="24" borderId="11" xfId="0" applyNumberFormat="1" applyFill="1" applyBorder="1" applyAlignment="1">
      <alignment horizontal="center"/>
    </xf>
    <xf numFmtId="0" fontId="0" fillId="24" borderId="11" xfId="0" applyFill="1" applyBorder="1" applyAlignment="1">
      <alignment horizontal="center"/>
    </xf>
    <xf numFmtId="0" fontId="0" fillId="25" borderId="52" xfId="0" applyFill="1" applyBorder="1" applyAlignment="1">
      <alignment horizontal="center"/>
    </xf>
    <xf numFmtId="0" fontId="0" fillId="25" borderId="53" xfId="0" applyFill="1" applyBorder="1" applyAlignment="1">
      <alignment horizontal="center"/>
    </xf>
    <xf numFmtId="0" fontId="2" fillId="26" borderId="52" xfId="0" applyFont="1" applyFill="1" applyBorder="1" applyAlignment="1">
      <alignment horizontal="center"/>
    </xf>
    <xf numFmtId="0" fontId="0" fillId="26" borderId="54" xfId="0" applyFill="1" applyBorder="1" applyAlignment="1">
      <alignment horizontal="center"/>
    </xf>
    <xf numFmtId="0" fontId="0" fillId="26" borderId="53" xfId="0" applyFill="1" applyBorder="1" applyAlignment="1">
      <alignment horizontal="center"/>
    </xf>
    <xf numFmtId="0" fontId="0" fillId="25" borderId="55" xfId="0" applyFill="1" applyBorder="1" applyAlignment="1">
      <alignment horizontal="center"/>
    </xf>
    <xf numFmtId="0" fontId="0" fillId="25" borderId="56" xfId="0" applyFill="1" applyBorder="1" applyAlignment="1">
      <alignment horizontal="center"/>
    </xf>
    <xf numFmtId="0" fontId="0" fillId="25" borderId="57" xfId="0" applyFill="1" applyBorder="1" applyAlignment="1">
      <alignment horizontal="center"/>
    </xf>
    <xf numFmtId="0" fontId="0" fillId="25" borderId="58" xfId="0" applyFill="1" applyBorder="1" applyAlignment="1">
      <alignment horizontal="center"/>
    </xf>
    <xf numFmtId="0" fontId="0" fillId="25" borderId="59" xfId="0" applyFill="1" applyBorder="1" applyAlignment="1">
      <alignment horizontal="center"/>
    </xf>
    <xf numFmtId="0" fontId="0" fillId="25" borderId="60" xfId="0" applyFill="1" applyBorder="1" applyAlignment="1">
      <alignment horizontal="center"/>
    </xf>
    <xf numFmtId="0" fontId="0" fillId="3" borderId="55" xfId="0" applyFill="1" applyBorder="1" applyAlignment="1">
      <alignment horizontal="center"/>
    </xf>
    <xf numFmtId="0" fontId="0" fillId="3" borderId="56" xfId="0" applyFill="1" applyBorder="1" applyAlignment="1">
      <alignment horizontal="center"/>
    </xf>
    <xf numFmtId="0" fontId="0" fillId="3" borderId="61" xfId="0" applyFill="1" applyBorder="1" applyAlignment="1">
      <alignment horizontal="center"/>
    </xf>
    <xf numFmtId="0" fontId="0" fillId="3" borderId="0" xfId="0" applyFill="1" applyAlignment="1">
      <alignment horizontal="center"/>
    </xf>
    <xf numFmtId="183" fontId="0" fillId="25" borderId="58" xfId="0" applyNumberFormat="1" applyFill="1" applyBorder="1" applyAlignment="1">
      <alignment horizontal="center"/>
    </xf>
    <xf numFmtId="183" fontId="0" fillId="25" borderId="59" xfId="0" applyNumberFormat="1" applyFill="1" applyBorder="1" applyAlignment="1">
      <alignment horizontal="center"/>
    </xf>
    <xf numFmtId="2" fontId="0" fillId="3" borderId="0" xfId="0" applyNumberFormat="1" applyFill="1" applyAlignment="1">
      <alignment horizontal="center"/>
    </xf>
    <xf numFmtId="169" fontId="0" fillId="3" borderId="56" xfId="0" applyNumberFormat="1" applyFill="1" applyBorder="1" applyAlignment="1">
      <alignment horizontal="center"/>
    </xf>
    <xf numFmtId="0" fontId="0" fillId="26" borderId="1" xfId="0" applyFill="1" applyBorder="1" applyAlignment="1">
      <alignment horizontal="center"/>
    </xf>
    <xf numFmtId="0" fontId="0" fillId="26" borderId="51" xfId="0" applyFill="1" applyBorder="1" applyAlignment="1">
      <alignment horizontal="center"/>
    </xf>
    <xf numFmtId="183" fontId="0" fillId="26" borderId="51" xfId="0" applyNumberFormat="1" applyFill="1" applyBorder="1" applyAlignment="1">
      <alignment horizontal="center"/>
    </xf>
    <xf numFmtId="0" fontId="0" fillId="24" borderId="57" xfId="0" applyFill="1" applyBorder="1" applyAlignment="1">
      <alignment horizontal="center"/>
    </xf>
    <xf numFmtId="0" fontId="0" fillId="24" borderId="62" xfId="0" applyFill="1" applyBorder="1" applyAlignment="1">
      <alignment horizontal="center"/>
    </xf>
    <xf numFmtId="183" fontId="0" fillId="25" borderId="60" xfId="0" applyNumberFormat="1" applyFill="1" applyBorder="1" applyAlignment="1">
      <alignment horizontal="center"/>
    </xf>
    <xf numFmtId="0" fontId="45" fillId="0" borderId="0" xfId="0" applyFont="1" applyAlignment="1">
      <alignment vertical="center"/>
    </xf>
    <xf numFmtId="0" fontId="46" fillId="0" borderId="0" xfId="2" applyFont="1"/>
    <xf numFmtId="0" fontId="46" fillId="27" borderId="2" xfId="2" applyFont="1" applyFill="1" applyBorder="1" applyAlignment="1" applyProtection="1">
      <alignment horizontal="center"/>
      <protection hidden="1"/>
    </xf>
    <xf numFmtId="177" fontId="47" fillId="5" borderId="2" xfId="2" applyNumberFormat="1" applyFont="1" applyFill="1" applyBorder="1" applyAlignment="1" applyProtection="1">
      <alignment horizontal="center"/>
      <protection hidden="1"/>
    </xf>
    <xf numFmtId="0" fontId="45" fillId="0" borderId="0" xfId="2" applyFont="1"/>
    <xf numFmtId="0" fontId="48" fillId="0" borderId="10" xfId="2" applyFont="1" applyBorder="1" applyAlignment="1">
      <alignment horizontal="right"/>
    </xf>
    <xf numFmtId="0" fontId="46" fillId="0" borderId="10" xfId="2" applyFont="1" applyBorder="1"/>
    <xf numFmtId="0" fontId="49" fillId="0" borderId="10" xfId="2" applyFont="1" applyBorder="1" applyAlignment="1">
      <alignment horizontal="left"/>
    </xf>
    <xf numFmtId="0" fontId="48" fillId="0" borderId="10" xfId="2" applyFont="1" applyBorder="1"/>
    <xf numFmtId="0" fontId="48" fillId="0" borderId="7" xfId="0" applyFont="1" applyBorder="1" applyAlignment="1">
      <alignment horizontal="right" vertical="center"/>
    </xf>
    <xf numFmtId="0" fontId="49" fillId="0" borderId="7" xfId="0" applyFont="1" applyBorder="1" applyAlignment="1">
      <alignment horizontal="right" vertical="center"/>
    </xf>
    <xf numFmtId="166" fontId="0" fillId="0" borderId="7" xfId="0" applyNumberFormat="1" applyBorder="1" applyAlignment="1">
      <alignment horizontal="right" vertical="center"/>
    </xf>
    <xf numFmtId="193" fontId="0" fillId="3" borderId="11" xfId="0" applyNumberFormat="1" applyFill="1" applyBorder="1" applyAlignment="1">
      <alignment horizontal="center"/>
    </xf>
    <xf numFmtId="0" fontId="0" fillId="28" borderId="24" xfId="0" applyFill="1" applyBorder="1" applyAlignment="1">
      <alignment horizontal="center"/>
    </xf>
    <xf numFmtId="0" fontId="0" fillId="29" borderId="26" xfId="0" applyFill="1" applyBorder="1" applyAlignment="1">
      <alignment horizontal="center"/>
    </xf>
    <xf numFmtId="186" fontId="0" fillId="25" borderId="11" xfId="0" applyNumberFormat="1" applyFill="1" applyBorder="1" applyAlignment="1">
      <alignment horizontal="center"/>
    </xf>
    <xf numFmtId="176" fontId="33" fillId="5" borderId="24" xfId="2" applyNumberFormat="1" applyFont="1" applyFill="1" applyBorder="1" applyAlignment="1" applyProtection="1">
      <alignment horizontal="center"/>
      <protection hidden="1"/>
    </xf>
    <xf numFmtId="176" fontId="33" fillId="5" borderId="26" xfId="2" applyNumberFormat="1" applyFont="1" applyFill="1" applyBorder="1" applyAlignment="1" applyProtection="1">
      <alignment horizontal="center"/>
      <protection hidden="1"/>
    </xf>
    <xf numFmtId="176" fontId="33" fillId="5" borderId="25" xfId="2" applyNumberFormat="1" applyFont="1" applyFill="1" applyBorder="1" applyAlignment="1" applyProtection="1">
      <alignment horizontal="center"/>
      <protection hidden="1"/>
    </xf>
    <xf numFmtId="0" fontId="33" fillId="5" borderId="63" xfId="2" applyFont="1" applyFill="1" applyBorder="1" applyAlignment="1">
      <alignment horizontal="center"/>
    </xf>
    <xf numFmtId="0" fontId="33" fillId="5" borderId="20" xfId="2" applyFont="1" applyFill="1" applyBorder="1" applyAlignment="1">
      <alignment horizontal="center"/>
    </xf>
    <xf numFmtId="0" fontId="33" fillId="5" borderId="23" xfId="2" applyFont="1" applyFill="1" applyBorder="1" applyAlignment="1">
      <alignment horizontal="center"/>
    </xf>
    <xf numFmtId="176" fontId="33" fillId="5" borderId="63" xfId="2" applyNumberFormat="1" applyFont="1" applyFill="1" applyBorder="1" applyAlignment="1">
      <alignment horizontal="center"/>
    </xf>
    <xf numFmtId="196" fontId="33" fillId="5" borderId="63" xfId="2" applyNumberFormat="1" applyFont="1" applyFill="1" applyBorder="1" applyAlignment="1">
      <alignment horizontal="center"/>
    </xf>
    <xf numFmtId="196" fontId="33" fillId="5" borderId="20" xfId="2" applyNumberFormat="1" applyFont="1" applyFill="1" applyBorder="1" applyAlignment="1">
      <alignment horizontal="center"/>
    </xf>
    <xf numFmtId="196" fontId="33" fillId="5" borderId="23" xfId="2" applyNumberFormat="1" applyFont="1" applyFill="1" applyBorder="1" applyAlignment="1">
      <alignment horizontal="center"/>
    </xf>
    <xf numFmtId="174" fontId="33" fillId="5" borderId="63" xfId="2" applyNumberFormat="1" applyFont="1" applyFill="1" applyBorder="1" applyAlignment="1">
      <alignment horizontal="center"/>
    </xf>
    <xf numFmtId="174" fontId="33" fillId="5" borderId="20" xfId="2" applyNumberFormat="1" applyFont="1" applyFill="1" applyBorder="1" applyAlignment="1">
      <alignment horizontal="center"/>
    </xf>
    <xf numFmtId="174" fontId="33" fillId="5" borderId="23" xfId="2" applyNumberFormat="1" applyFont="1" applyFill="1" applyBorder="1" applyAlignment="1">
      <alignment horizontal="center"/>
    </xf>
    <xf numFmtId="167" fontId="33" fillId="5" borderId="63" xfId="2" applyNumberFormat="1" applyFont="1" applyFill="1" applyBorder="1" applyAlignment="1">
      <alignment horizontal="center"/>
    </xf>
    <xf numFmtId="167" fontId="33" fillId="5" borderId="20" xfId="2" applyNumberFormat="1" applyFont="1" applyFill="1" applyBorder="1" applyAlignment="1">
      <alignment horizontal="center"/>
    </xf>
    <xf numFmtId="167" fontId="33" fillId="5" borderId="23" xfId="2" applyNumberFormat="1" applyFont="1" applyFill="1" applyBorder="1" applyAlignment="1">
      <alignment horizontal="center"/>
    </xf>
    <xf numFmtId="170" fontId="33" fillId="5" borderId="63" xfId="2" applyNumberFormat="1" applyFont="1" applyFill="1" applyBorder="1" applyAlignment="1">
      <alignment horizontal="center"/>
    </xf>
    <xf numFmtId="170" fontId="33" fillId="5" borderId="20" xfId="2" applyNumberFormat="1" applyFont="1" applyFill="1" applyBorder="1" applyAlignment="1">
      <alignment horizontal="center"/>
    </xf>
    <xf numFmtId="170" fontId="33" fillId="5" borderId="23" xfId="2" applyNumberFormat="1" applyFont="1" applyFill="1" applyBorder="1" applyAlignment="1">
      <alignment horizontal="center"/>
    </xf>
    <xf numFmtId="0" fontId="2" fillId="9" borderId="2" xfId="0" applyFont="1" applyFill="1" applyBorder="1" applyAlignment="1" applyProtection="1">
      <alignment horizontal="center" vertical="center"/>
      <protection hidden="1"/>
    </xf>
    <xf numFmtId="0" fontId="0" fillId="9" borderId="2" xfId="0" applyFill="1" applyBorder="1" applyAlignment="1" applyProtection="1">
      <alignment horizontal="center" vertical="center"/>
      <protection hidden="1"/>
    </xf>
    <xf numFmtId="0" fontId="0" fillId="0" borderId="22" xfId="0" applyBorder="1" applyAlignment="1">
      <alignment horizontal="center" vertical="center"/>
    </xf>
    <xf numFmtId="0" fontId="8" fillId="0" borderId="33" xfId="0" applyFont="1" applyBorder="1" applyAlignment="1">
      <alignment horizontal="center" vertical="center"/>
    </xf>
    <xf numFmtId="0" fontId="8" fillId="0" borderId="32" xfId="0" applyFont="1" applyBorder="1" applyAlignment="1">
      <alignment horizontal="center" vertical="center"/>
    </xf>
    <xf numFmtId="187" fontId="2" fillId="7" borderId="2" xfId="0" applyNumberFormat="1" applyFont="1" applyFill="1" applyBorder="1" applyAlignment="1">
      <alignment horizontal="center" vertical="center"/>
    </xf>
    <xf numFmtId="197" fontId="33" fillId="5" borderId="24" xfId="2" applyNumberFormat="1" applyFont="1" applyFill="1" applyBorder="1" applyAlignment="1">
      <alignment horizontal="center"/>
    </xf>
    <xf numFmtId="197" fontId="33" fillId="5" borderId="26" xfId="2" applyNumberFormat="1" applyFont="1" applyFill="1" applyBorder="1" applyAlignment="1">
      <alignment horizontal="center"/>
    </xf>
    <xf numFmtId="197" fontId="33" fillId="5" borderId="25" xfId="2" applyNumberFormat="1" applyFont="1" applyFill="1" applyBorder="1" applyAlignment="1">
      <alignment horizontal="center"/>
    </xf>
    <xf numFmtId="0" fontId="45" fillId="0" borderId="0" xfId="2" applyFont="1" applyAlignment="1" applyProtection="1">
      <alignment horizontal="right"/>
      <protection hidden="1"/>
    </xf>
    <xf numFmtId="0" fontId="2" fillId="0" borderId="31" xfId="0" applyFont="1" applyBorder="1"/>
    <xf numFmtId="0" fontId="2" fillId="0" borderId="32" xfId="0" applyFont="1" applyBorder="1"/>
    <xf numFmtId="0" fontId="2" fillId="0" borderId="21" xfId="0" applyFont="1" applyBorder="1"/>
    <xf numFmtId="0" fontId="2" fillId="0" borderId="19" xfId="0" applyFont="1" applyBorder="1" applyAlignment="1">
      <alignment horizontal="left"/>
    </xf>
    <xf numFmtId="14" fontId="2" fillId="0" borderId="23" xfId="0" applyNumberFormat="1" applyFont="1" applyBorder="1" applyAlignment="1">
      <alignment horizontal="center"/>
    </xf>
    <xf numFmtId="0" fontId="15" fillId="0" borderId="0" xfId="0" applyFont="1" applyAlignment="1">
      <alignment horizontal="right"/>
    </xf>
    <xf numFmtId="0" fontId="42" fillId="0" borderId="0" xfId="0" applyFont="1" applyAlignment="1">
      <alignment horizontal="center"/>
    </xf>
    <xf numFmtId="0" fontId="15" fillId="0" borderId="0" xfId="0" applyFont="1" applyAlignment="1">
      <alignment horizontal="center"/>
    </xf>
    <xf numFmtId="0" fontId="2" fillId="0" borderId="19" xfId="0" applyFont="1" applyBorder="1"/>
    <xf numFmtId="0" fontId="2" fillId="0" borderId="34" xfId="0" applyFont="1" applyBorder="1"/>
    <xf numFmtId="0" fontId="2" fillId="0" borderId="14" xfId="0" applyFont="1" applyBorder="1" applyAlignment="1">
      <alignment horizontal="center"/>
    </xf>
    <xf numFmtId="0" fontId="15" fillId="0" borderId="2" xfId="0" applyFont="1" applyBorder="1" applyAlignment="1">
      <alignment horizontal="center"/>
    </xf>
    <xf numFmtId="0" fontId="15" fillId="0" borderId="64" xfId="0" applyFont="1" applyBorder="1" applyAlignment="1">
      <alignment horizontal="center"/>
    </xf>
    <xf numFmtId="201" fontId="15" fillId="0" borderId="0" xfId="0" applyNumberFormat="1" applyFont="1"/>
    <xf numFmtId="191" fontId="0" fillId="0" borderId="0" xfId="0" applyNumberFormat="1"/>
    <xf numFmtId="192" fontId="0" fillId="0" borderId="0" xfId="0" applyNumberFormat="1"/>
    <xf numFmtId="0" fontId="43" fillId="0" borderId="0" xfId="0" applyFont="1"/>
    <xf numFmtId="192" fontId="2" fillId="30" borderId="32" xfId="0" applyNumberFormat="1" applyFont="1" applyFill="1" applyBorder="1" applyProtection="1">
      <protection locked="0"/>
    </xf>
    <xf numFmtId="198" fontId="2" fillId="0" borderId="23" xfId="0" applyNumberFormat="1" applyFont="1" applyBorder="1"/>
    <xf numFmtId="0" fontId="42" fillId="0" borderId="0" xfId="0" applyFont="1"/>
    <xf numFmtId="3" fontId="2" fillId="30" borderId="32" xfId="0" applyNumberFormat="1" applyFont="1" applyFill="1" applyBorder="1" applyAlignment="1">
      <alignment horizontal="center"/>
    </xf>
    <xf numFmtId="191" fontId="2" fillId="0" borderId="33" xfId="0" applyNumberFormat="1" applyFont="1" applyBorder="1" applyAlignment="1">
      <alignment horizontal="center"/>
    </xf>
    <xf numFmtId="192" fontId="2" fillId="0" borderId="32" xfId="0" applyNumberFormat="1" applyFont="1" applyBorder="1" applyAlignment="1">
      <alignment horizontal="center"/>
    </xf>
    <xf numFmtId="191" fontId="2" fillId="0" borderId="22" xfId="0" applyNumberFormat="1" applyFont="1" applyBorder="1" applyAlignment="1">
      <alignment horizontal="center"/>
    </xf>
    <xf numFmtId="192" fontId="2" fillId="0" borderId="23" xfId="0" applyNumberFormat="1" applyFont="1" applyBorder="1" applyAlignment="1">
      <alignment horizontal="center"/>
    </xf>
    <xf numFmtId="192" fontId="2" fillId="30" borderId="32" xfId="0" applyNumberFormat="1" applyFont="1" applyFill="1" applyBorder="1" applyAlignment="1" applyProtection="1">
      <alignment horizontal="center"/>
      <protection locked="0"/>
    </xf>
    <xf numFmtId="202" fontId="2" fillId="0" borderId="23" xfId="0" applyNumberFormat="1" applyFont="1" applyBorder="1" applyAlignment="1">
      <alignment horizontal="center"/>
    </xf>
    <xf numFmtId="201" fontId="2" fillId="0" borderId="23" xfId="0" applyNumberFormat="1" applyFont="1" applyBorder="1" applyAlignment="1">
      <alignment horizontal="center"/>
    </xf>
    <xf numFmtId="199" fontId="2" fillId="0" borderId="33" xfId="0" applyNumberFormat="1" applyFont="1" applyBorder="1" applyAlignment="1">
      <alignment horizontal="center"/>
    </xf>
    <xf numFmtId="200" fontId="2" fillId="0" borderId="32" xfId="0" applyNumberFormat="1" applyFont="1" applyBorder="1" applyAlignment="1">
      <alignment horizontal="center"/>
    </xf>
    <xf numFmtId="191" fontId="2" fillId="0" borderId="0" xfId="0" applyNumberFormat="1" applyFont="1" applyAlignment="1">
      <alignment horizontal="center"/>
    </xf>
    <xf numFmtId="192" fontId="2" fillId="0" borderId="20" xfId="0" applyNumberFormat="1" applyFont="1" applyBorder="1" applyAlignment="1">
      <alignment horizontal="center"/>
    </xf>
    <xf numFmtId="0" fontId="15" fillId="0" borderId="10" xfId="0" applyFont="1" applyBorder="1"/>
    <xf numFmtId="0" fontId="0" fillId="29" borderId="20" xfId="0" applyFill="1" applyBorder="1" applyAlignment="1">
      <alignment horizontal="center"/>
    </xf>
    <xf numFmtId="0" fontId="0" fillId="31" borderId="65" xfId="0" applyFill="1" applyBorder="1" applyAlignment="1">
      <alignment horizontal="center"/>
    </xf>
    <xf numFmtId="186" fontId="0" fillId="24" borderId="11" xfId="0" applyNumberFormat="1" applyFill="1" applyBorder="1" applyAlignment="1">
      <alignment horizontal="center"/>
    </xf>
    <xf numFmtId="203" fontId="0" fillId="24" borderId="11" xfId="0" applyNumberFormat="1" applyFill="1" applyBorder="1" applyAlignment="1">
      <alignment horizontal="center"/>
    </xf>
    <xf numFmtId="0" fontId="2" fillId="11" borderId="66" xfId="0" applyFont="1" applyFill="1" applyBorder="1" applyAlignment="1" applyProtection="1">
      <alignment horizontal="center" vertical="center"/>
      <protection hidden="1"/>
    </xf>
    <xf numFmtId="164" fontId="2" fillId="17" borderId="24" xfId="0" applyNumberFormat="1" applyFont="1" applyFill="1" applyBorder="1" applyAlignment="1">
      <alignment horizontal="center" vertical="center"/>
    </xf>
    <xf numFmtId="0" fontId="2" fillId="11" borderId="67" xfId="0" applyFont="1" applyFill="1" applyBorder="1" applyAlignment="1" applyProtection="1">
      <alignment horizontal="center" vertical="center"/>
      <protection hidden="1"/>
    </xf>
    <xf numFmtId="0" fontId="2" fillId="28" borderId="2" xfId="0" applyFont="1" applyFill="1" applyBorder="1" applyAlignment="1">
      <alignment horizontal="center" vertical="center"/>
    </xf>
    <xf numFmtId="0" fontId="0" fillId="30" borderId="0" xfId="0" applyFill="1"/>
    <xf numFmtId="0" fontId="0" fillId="30" borderId="0" xfId="0" applyFill="1" applyAlignment="1">
      <alignment horizontal="center"/>
    </xf>
    <xf numFmtId="0" fontId="0" fillId="0" borderId="0" xfId="0" applyAlignment="1" applyProtection="1">
      <alignment horizontal="center"/>
      <protection locked="0"/>
    </xf>
    <xf numFmtId="0" fontId="0" fillId="29" borderId="25" xfId="0" applyFill="1" applyBorder="1" applyAlignment="1">
      <alignment horizontal="center"/>
    </xf>
    <xf numFmtId="0" fontId="1" fillId="0" borderId="0" xfId="2" applyProtection="1">
      <protection locked="0"/>
    </xf>
    <xf numFmtId="0" fontId="1" fillId="0" borderId="0" xfId="2"/>
    <xf numFmtId="0" fontId="36" fillId="0" borderId="0" xfId="2" applyFont="1"/>
    <xf numFmtId="186" fontId="0" fillId="0" borderId="0" xfId="0" applyNumberFormat="1" applyAlignment="1">
      <alignment vertical="center"/>
    </xf>
    <xf numFmtId="0" fontId="0" fillId="0" borderId="0" xfId="0" quotePrefix="1" applyAlignment="1">
      <alignment horizontal="center" vertical="center"/>
    </xf>
    <xf numFmtId="170" fontId="0" fillId="0" borderId="0" xfId="0" applyNumberFormat="1" applyAlignment="1">
      <alignment horizontal="right" vertical="center"/>
    </xf>
    <xf numFmtId="164" fontId="2" fillId="18" borderId="24" xfId="0" applyNumberFormat="1" applyFont="1" applyFill="1" applyBorder="1" applyAlignment="1" applyProtection="1">
      <alignment horizontal="center" vertical="center"/>
      <protection locked="0"/>
    </xf>
    <xf numFmtId="0" fontId="10" fillId="0" borderId="0" xfId="1" applyAlignment="1" applyProtection="1">
      <alignment horizontal="left"/>
      <protection hidden="1"/>
    </xf>
    <xf numFmtId="166" fontId="50" fillId="0" borderId="0" xfId="0" applyNumberFormat="1" applyFont="1" applyAlignment="1">
      <alignment vertical="center"/>
    </xf>
    <xf numFmtId="0" fontId="2" fillId="0" borderId="0" xfId="0" applyFont="1" applyAlignment="1" applyProtection="1">
      <alignment horizontal="center" vertical="center"/>
      <protection hidden="1"/>
    </xf>
    <xf numFmtId="186" fontId="2" fillId="0" borderId="0" xfId="0" applyNumberFormat="1" applyFont="1" applyAlignment="1">
      <alignment horizontal="center" vertical="center"/>
    </xf>
    <xf numFmtId="204" fontId="2" fillId="32" borderId="2" xfId="0" applyNumberFormat="1" applyFont="1" applyFill="1" applyBorder="1" applyAlignment="1">
      <alignment horizontal="center" vertical="center"/>
    </xf>
    <xf numFmtId="175" fontId="0" fillId="7" borderId="46" xfId="0" applyNumberFormat="1" applyFill="1" applyBorder="1" applyAlignment="1">
      <alignment horizontal="center" vertical="center"/>
    </xf>
    <xf numFmtId="175" fontId="2" fillId="7" borderId="2" xfId="0" applyNumberFormat="1" applyFont="1" applyFill="1" applyBorder="1" applyAlignment="1">
      <alignment horizontal="center" vertical="center"/>
    </xf>
    <xf numFmtId="166" fontId="2" fillId="0" borderId="0" xfId="0" applyNumberFormat="1" applyFont="1" applyAlignment="1">
      <alignment horizontal="right" vertical="center"/>
    </xf>
    <xf numFmtId="0" fontId="2" fillId="9" borderId="46" xfId="0" applyFont="1" applyFill="1" applyBorder="1" applyAlignment="1" applyProtection="1">
      <alignment horizontal="center" vertical="center"/>
      <protection hidden="1"/>
    </xf>
    <xf numFmtId="0" fontId="5" fillId="9" borderId="46" xfId="0" applyFont="1" applyFill="1" applyBorder="1" applyAlignment="1" applyProtection="1">
      <alignment horizontal="center" vertical="center"/>
      <protection hidden="1"/>
    </xf>
    <xf numFmtId="2" fontId="0" fillId="7" borderId="68" xfId="0" applyNumberFormat="1" applyFill="1" applyBorder="1" applyAlignment="1">
      <alignment horizontal="center" vertical="center"/>
    </xf>
    <xf numFmtId="187" fontId="2" fillId="7" borderId="68" xfId="0" applyNumberFormat="1" applyFont="1" applyFill="1" applyBorder="1" applyAlignment="1">
      <alignment horizontal="center" vertical="center"/>
    </xf>
    <xf numFmtId="165" fontId="0" fillId="7" borderId="69" xfId="0" applyNumberFormat="1" applyFill="1" applyBorder="1" applyAlignment="1">
      <alignment horizontal="center" vertical="center"/>
    </xf>
    <xf numFmtId="188" fontId="2" fillId="7" borderId="70" xfId="0" applyNumberFormat="1" applyFont="1" applyFill="1" applyBorder="1" applyAlignment="1">
      <alignment horizontal="center" vertical="center"/>
    </xf>
    <xf numFmtId="165" fontId="0" fillId="7" borderId="71" xfId="0" applyNumberFormat="1" applyFill="1" applyBorder="1" applyAlignment="1">
      <alignment horizontal="center" vertical="center"/>
    </xf>
    <xf numFmtId="165" fontId="0" fillId="7" borderId="70" xfId="0" applyNumberFormat="1" applyFill="1" applyBorder="1" applyAlignment="1">
      <alignment horizontal="center" vertical="center"/>
    </xf>
    <xf numFmtId="186" fontId="0" fillId="7" borderId="43" xfId="0" applyNumberFormat="1" applyFill="1" applyBorder="1" applyAlignment="1">
      <alignment horizontal="center" vertical="center"/>
    </xf>
    <xf numFmtId="165" fontId="0" fillId="7" borderId="72" xfId="0" applyNumberFormat="1" applyFill="1" applyBorder="1" applyAlignment="1">
      <alignment horizontal="center" vertical="center"/>
    </xf>
    <xf numFmtId="166" fontId="2" fillId="27" borderId="14" xfId="0" applyNumberFormat="1" applyFont="1" applyFill="1" applyBorder="1" applyAlignment="1">
      <alignment horizontal="center" vertical="center"/>
    </xf>
    <xf numFmtId="0" fontId="0" fillId="32" borderId="2" xfId="0" applyFill="1" applyBorder="1" applyAlignment="1">
      <alignment vertical="center"/>
    </xf>
    <xf numFmtId="187" fontId="0" fillId="7" borderId="73" xfId="0" applyNumberFormat="1" applyFill="1" applyBorder="1" applyAlignment="1">
      <alignment horizontal="center" vertical="center"/>
    </xf>
    <xf numFmtId="205" fontId="0" fillId="32" borderId="2" xfId="0" applyNumberFormat="1" applyFill="1" applyBorder="1" applyAlignment="1">
      <alignment horizontal="center" vertical="center"/>
    </xf>
    <xf numFmtId="206" fontId="15" fillId="0" borderId="0" xfId="2" applyNumberFormat="1" applyFont="1" applyProtection="1">
      <protection hidden="1"/>
    </xf>
    <xf numFmtId="175" fontId="2" fillId="0" borderId="0" xfId="2" applyNumberFormat="1" applyFont="1" applyProtection="1">
      <protection locked="0"/>
    </xf>
    <xf numFmtId="186" fontId="2" fillId="30" borderId="2" xfId="0" applyNumberFormat="1" applyFont="1" applyFill="1" applyBorder="1" applyAlignment="1">
      <alignment horizontal="center" vertical="center"/>
    </xf>
    <xf numFmtId="177" fontId="2" fillId="0" borderId="0" xfId="2" applyNumberFormat="1" applyFont="1"/>
    <xf numFmtId="170" fontId="2" fillId="33" borderId="25" xfId="0" applyNumberFormat="1" applyFont="1" applyFill="1" applyBorder="1" applyAlignment="1" applyProtection="1">
      <alignment horizontal="center" vertical="center"/>
      <protection locked="0"/>
    </xf>
    <xf numFmtId="165" fontId="2" fillId="5" borderId="34" xfId="2" applyNumberFormat="1" applyFont="1" applyFill="1" applyBorder="1" applyAlignment="1">
      <alignment horizontal="center"/>
    </xf>
    <xf numFmtId="178" fontId="14" fillId="5" borderId="34" xfId="2" applyNumberFormat="1" applyFont="1" applyFill="1" applyBorder="1"/>
    <xf numFmtId="179" fontId="32" fillId="5" borderId="24" xfId="2" applyNumberFormat="1" applyFont="1" applyFill="1" applyBorder="1" applyAlignment="1" applyProtection="1">
      <alignment horizontal="center" vertical="center"/>
      <protection hidden="1"/>
    </xf>
    <xf numFmtId="0" fontId="32" fillId="5" borderId="24" xfId="2" applyFont="1" applyFill="1" applyBorder="1" applyAlignment="1" applyProtection="1">
      <alignment horizontal="center" vertical="center"/>
      <protection hidden="1"/>
    </xf>
    <xf numFmtId="2" fontId="15" fillId="0" borderId="19" xfId="2" applyNumberFormat="1" applyFont="1" applyBorder="1" applyAlignment="1" applyProtection="1">
      <alignment horizontal="center"/>
      <protection hidden="1"/>
    </xf>
    <xf numFmtId="2" fontId="15" fillId="0" borderId="20" xfId="2" applyNumberFormat="1" applyFont="1" applyBorder="1" applyAlignment="1" applyProtection="1">
      <alignment horizontal="center"/>
      <protection hidden="1"/>
    </xf>
    <xf numFmtId="2" fontId="15" fillId="0" borderId="0" xfId="2" applyNumberFormat="1" applyFont="1" applyAlignment="1" applyProtection="1">
      <alignment horizontal="center"/>
      <protection hidden="1"/>
    </xf>
    <xf numFmtId="0" fontId="2" fillId="6" borderId="24" xfId="2" applyFont="1" applyFill="1" applyBorder="1" applyAlignment="1">
      <alignment vertical="center"/>
    </xf>
    <xf numFmtId="0" fontId="2" fillId="6" borderId="24" xfId="2" applyFont="1" applyFill="1" applyBorder="1" applyAlignment="1">
      <alignment horizontal="center" vertical="center"/>
    </xf>
    <xf numFmtId="0" fontId="0" fillId="7" borderId="74" xfId="0" applyFill="1" applyBorder="1" applyAlignment="1">
      <alignment horizontal="center" vertical="center"/>
    </xf>
    <xf numFmtId="175" fontId="2" fillId="0" borderId="0" xfId="0" applyNumberFormat="1" applyFont="1" applyAlignment="1">
      <alignment horizontal="center" vertical="center"/>
    </xf>
    <xf numFmtId="0" fontId="2" fillId="0" borderId="22" xfId="0" applyFont="1" applyBorder="1" applyAlignment="1">
      <alignment horizontal="center" vertical="center"/>
    </xf>
    <xf numFmtId="182" fontId="2" fillId="0" borderId="0" xfId="0" applyNumberFormat="1" applyFont="1" applyAlignment="1">
      <alignment horizontal="center"/>
    </xf>
    <xf numFmtId="14" fontId="2" fillId="0" borderId="0" xfId="0" applyNumberFormat="1" applyFont="1" applyAlignment="1">
      <alignment horizontal="center"/>
    </xf>
    <xf numFmtId="0" fontId="0" fillId="0" borderId="64" xfId="0" applyBorder="1" applyAlignment="1">
      <alignment horizontal="center"/>
    </xf>
    <xf numFmtId="0" fontId="0" fillId="0" borderId="2" xfId="0" applyBorder="1" applyAlignment="1">
      <alignment horizontal="center"/>
    </xf>
    <xf numFmtId="0" fontId="2" fillId="10" borderId="2" xfId="2" applyFont="1" applyFill="1" applyBorder="1" applyAlignment="1" applyProtection="1">
      <alignment horizontal="left"/>
      <protection hidden="1"/>
    </xf>
    <xf numFmtId="0" fontId="2" fillId="10" borderId="26" xfId="2" applyFont="1" applyFill="1" applyBorder="1" applyAlignment="1" applyProtection="1">
      <alignment horizontal="left"/>
      <protection hidden="1"/>
    </xf>
    <xf numFmtId="0" fontId="2" fillId="0" borderId="2" xfId="0" applyFont="1" applyBorder="1" applyAlignment="1">
      <alignment horizontal="center"/>
    </xf>
    <xf numFmtId="1" fontId="2" fillId="0" borderId="2" xfId="0" applyNumberFormat="1" applyFont="1" applyBorder="1" applyAlignment="1">
      <alignment horizontal="center"/>
    </xf>
    <xf numFmtId="0" fontId="2" fillId="0" borderId="2" xfId="0" applyFont="1" applyBorder="1" applyAlignment="1">
      <alignment horizontal="center" vertical="center"/>
    </xf>
    <xf numFmtId="175" fontId="2" fillId="0" borderId="2" xfId="0" applyNumberFormat="1" applyFont="1" applyBorder="1" applyAlignment="1">
      <alignment horizontal="center" vertical="center"/>
    </xf>
    <xf numFmtId="175" fontId="2" fillId="0" borderId="2" xfId="0" applyNumberFormat="1" applyFont="1" applyBorder="1" applyAlignment="1">
      <alignment horizontal="right" vertical="center"/>
    </xf>
    <xf numFmtId="0" fontId="0" fillId="0" borderId="20" xfId="0" applyBorder="1" applyAlignment="1">
      <alignment horizontal="center"/>
    </xf>
    <xf numFmtId="0" fontId="0" fillId="0" borderId="0" xfId="0" applyAlignment="1">
      <alignment horizontal="left" vertical="top"/>
    </xf>
    <xf numFmtId="0" fontId="0" fillId="3" borderId="4" xfId="0" applyFill="1" applyBorder="1" applyAlignment="1">
      <alignment horizontal="center"/>
    </xf>
    <xf numFmtId="0" fontId="51" fillId="11" borderId="67" xfId="0" applyFont="1" applyFill="1" applyBorder="1" applyAlignment="1" applyProtection="1">
      <alignment horizontal="center" vertical="center"/>
      <protection hidden="1"/>
    </xf>
    <xf numFmtId="0" fontId="0" fillId="34" borderId="2" xfId="0" applyFill="1" applyBorder="1" applyAlignment="1">
      <alignment vertical="center"/>
    </xf>
    <xf numFmtId="1" fontId="30" fillId="14" borderId="0" xfId="2" applyNumberFormat="1" applyFont="1" applyFill="1" applyAlignment="1">
      <alignment horizontal="center"/>
    </xf>
    <xf numFmtId="0" fontId="35" fillId="4" borderId="34" xfId="2" applyFont="1" applyFill="1" applyBorder="1" applyAlignment="1" applyProtection="1">
      <alignment horizontal="right" vertical="center"/>
      <protection locked="0"/>
    </xf>
    <xf numFmtId="0" fontId="35" fillId="30" borderId="14" xfId="2" applyFont="1" applyFill="1" applyBorder="1" applyAlignment="1" applyProtection="1">
      <alignment horizontal="left" vertical="center"/>
      <protection locked="0"/>
    </xf>
    <xf numFmtId="0" fontId="49" fillId="0" borderId="0" xfId="2" applyFont="1" applyProtection="1">
      <protection hidden="1"/>
    </xf>
    <xf numFmtId="0" fontId="45" fillId="0" borderId="0" xfId="2" applyFont="1" applyAlignment="1">
      <alignment horizontal="center"/>
    </xf>
    <xf numFmtId="0" fontId="2" fillId="6" borderId="2" xfId="2" applyFont="1" applyFill="1" applyBorder="1" applyAlignment="1" applyProtection="1">
      <alignment horizontal="center"/>
      <protection hidden="1"/>
    </xf>
    <xf numFmtId="0" fontId="2" fillId="10" borderId="75" xfId="2" applyFont="1" applyFill="1" applyBorder="1" applyAlignment="1" applyProtection="1">
      <alignment horizontal="center"/>
      <protection hidden="1"/>
    </xf>
    <xf numFmtId="0" fontId="2" fillId="10" borderId="76" xfId="2" applyFont="1" applyFill="1" applyBorder="1" applyAlignment="1" applyProtection="1">
      <alignment horizontal="center"/>
      <protection hidden="1"/>
    </xf>
    <xf numFmtId="0" fontId="45" fillId="4" borderId="25" xfId="2" applyFont="1" applyFill="1" applyBorder="1" applyAlignment="1" applyProtection="1">
      <alignment horizontal="center"/>
      <protection locked="0"/>
    </xf>
    <xf numFmtId="0" fontId="45" fillId="4" borderId="77" xfId="2" applyFont="1" applyFill="1" applyBorder="1" applyAlignment="1" applyProtection="1">
      <alignment horizontal="center"/>
      <protection locked="0"/>
    </xf>
    <xf numFmtId="165" fontId="33" fillId="5" borderId="2" xfId="2" applyNumberFormat="1" applyFont="1" applyFill="1" applyBorder="1" applyAlignment="1">
      <alignment horizontal="center"/>
    </xf>
    <xf numFmtId="178" fontId="33" fillId="5" borderId="34" xfId="2" applyNumberFormat="1" applyFont="1" applyFill="1" applyBorder="1" applyAlignment="1">
      <alignment horizontal="center"/>
    </xf>
    <xf numFmtId="178" fontId="33" fillId="5" borderId="14" xfId="2" applyNumberFormat="1" applyFont="1" applyFill="1" applyBorder="1" applyAlignment="1">
      <alignment horizontal="center"/>
    </xf>
    <xf numFmtId="165" fontId="33" fillId="5" borderId="34" xfId="2" applyNumberFormat="1" applyFont="1" applyFill="1" applyBorder="1" applyAlignment="1">
      <alignment horizontal="center"/>
    </xf>
    <xf numFmtId="165" fontId="33" fillId="5" borderId="14" xfId="2" applyNumberFormat="1" applyFont="1" applyFill="1" applyBorder="1" applyAlignment="1">
      <alignment horizontal="center"/>
    </xf>
    <xf numFmtId="0" fontId="2" fillId="10" borderId="78" xfId="2" applyFont="1" applyFill="1" applyBorder="1" applyAlignment="1" applyProtection="1">
      <alignment horizontal="center"/>
      <protection hidden="1"/>
    </xf>
    <xf numFmtId="0" fontId="2" fillId="10" borderId="79" xfId="2" applyFont="1" applyFill="1" applyBorder="1" applyAlignment="1" applyProtection="1">
      <alignment horizontal="center"/>
      <protection hidden="1"/>
    </xf>
    <xf numFmtId="0" fontId="2" fillId="0" borderId="0" xfId="2" applyFont="1" applyAlignment="1">
      <alignment horizontal="center"/>
    </xf>
    <xf numFmtId="177" fontId="2" fillId="4" borderId="34" xfId="2" applyNumberFormat="1" applyFont="1" applyFill="1" applyBorder="1" applyAlignment="1" applyProtection="1">
      <alignment horizontal="center"/>
      <protection locked="0"/>
    </xf>
    <xf numFmtId="177" fontId="2" fillId="4" borderId="14" xfId="2" applyNumberFormat="1" applyFont="1" applyFill="1" applyBorder="1" applyAlignment="1" applyProtection="1">
      <alignment horizontal="center"/>
      <protection locked="0"/>
    </xf>
    <xf numFmtId="0" fontId="35" fillId="4" borderId="25" xfId="2" applyFont="1" applyFill="1" applyBorder="1" applyAlignment="1" applyProtection="1">
      <alignment horizontal="center" vertical="center"/>
      <protection locked="0"/>
    </xf>
    <xf numFmtId="0" fontId="35" fillId="4" borderId="2" xfId="2" applyFont="1" applyFill="1" applyBorder="1" applyAlignment="1" applyProtection="1">
      <alignment horizontal="center" vertical="center"/>
      <protection locked="0"/>
    </xf>
    <xf numFmtId="0" fontId="3" fillId="19" borderId="0" xfId="2" applyFont="1" applyFill="1" applyAlignment="1">
      <alignment horizontal="center"/>
    </xf>
    <xf numFmtId="0" fontId="2" fillId="0" borderId="0" xfId="2" applyFont="1" applyAlignment="1" applyProtection="1">
      <alignment horizontal="center"/>
      <protection hidden="1"/>
    </xf>
    <xf numFmtId="178" fontId="33" fillId="5" borderId="2" xfId="2" applyNumberFormat="1" applyFont="1" applyFill="1" applyBorder="1" applyAlignment="1">
      <alignment horizontal="center"/>
    </xf>
    <xf numFmtId="0" fontId="2" fillId="10" borderId="80" xfId="2" applyFont="1" applyFill="1" applyBorder="1" applyAlignment="1" applyProtection="1">
      <alignment horizontal="center"/>
      <protection hidden="1"/>
    </xf>
    <xf numFmtId="0" fontId="2" fillId="10" borderId="81" xfId="2" applyFont="1" applyFill="1" applyBorder="1" applyAlignment="1" applyProtection="1">
      <alignment horizontal="center"/>
      <protection hidden="1"/>
    </xf>
    <xf numFmtId="0" fontId="2" fillId="4" borderId="34" xfId="2" applyFont="1" applyFill="1" applyBorder="1" applyAlignment="1" applyProtection="1">
      <alignment horizontal="center"/>
      <protection locked="0"/>
    </xf>
    <xf numFmtId="0" fontId="2" fillId="4" borderId="82" xfId="2" applyFont="1" applyFill="1" applyBorder="1" applyAlignment="1" applyProtection="1">
      <alignment horizontal="center"/>
      <protection locked="0"/>
    </xf>
    <xf numFmtId="0" fontId="2" fillId="10" borderId="34" xfId="2" applyFont="1" applyFill="1" applyBorder="1" applyAlignment="1" applyProtection="1">
      <alignment horizontal="center"/>
      <protection hidden="1"/>
    </xf>
    <xf numFmtId="0" fontId="2" fillId="10" borderId="14" xfId="2" applyFont="1" applyFill="1" applyBorder="1" applyAlignment="1" applyProtection="1">
      <alignment horizontal="center"/>
      <protection hidden="1"/>
    </xf>
    <xf numFmtId="176" fontId="33" fillId="5" borderId="34" xfId="2" applyNumberFormat="1" applyFont="1" applyFill="1" applyBorder="1" applyAlignment="1">
      <alignment horizontal="center"/>
    </xf>
    <xf numFmtId="176" fontId="33" fillId="5" borderId="14" xfId="2" applyNumberFormat="1" applyFont="1" applyFill="1" applyBorder="1" applyAlignment="1">
      <alignment horizontal="center"/>
    </xf>
    <xf numFmtId="178" fontId="34" fillId="5" borderId="34" xfId="2" applyNumberFormat="1" applyFont="1" applyFill="1" applyBorder="1" applyAlignment="1">
      <alignment horizontal="center"/>
    </xf>
    <xf numFmtId="178" fontId="34" fillId="5" borderId="14" xfId="2" applyNumberFormat="1" applyFont="1" applyFill="1" applyBorder="1" applyAlignment="1">
      <alignment horizontal="center"/>
    </xf>
    <xf numFmtId="0" fontId="33" fillId="6" borderId="34" xfId="2" applyFont="1" applyFill="1" applyBorder="1" applyAlignment="1">
      <alignment horizontal="center"/>
    </xf>
    <xf numFmtId="0" fontId="33" fillId="6" borderId="14" xfId="2" applyFont="1" applyFill="1" applyBorder="1" applyAlignment="1">
      <alignment horizontal="center"/>
    </xf>
    <xf numFmtId="20" fontId="2" fillId="4" borderId="34" xfId="2" applyNumberFormat="1" applyFont="1" applyFill="1" applyBorder="1" applyAlignment="1" applyProtection="1">
      <alignment horizontal="center"/>
      <protection locked="0"/>
    </xf>
    <xf numFmtId="20" fontId="2" fillId="4" borderId="82" xfId="2" applyNumberFormat="1" applyFont="1" applyFill="1" applyBorder="1" applyAlignment="1" applyProtection="1">
      <alignment horizontal="center"/>
      <protection locked="0"/>
    </xf>
    <xf numFmtId="177" fontId="2" fillId="4" borderId="2" xfId="2" applyNumberFormat="1" applyFont="1" applyFill="1" applyBorder="1" applyAlignment="1" applyProtection="1">
      <alignment horizontal="center"/>
      <protection locked="0"/>
    </xf>
    <xf numFmtId="0" fontId="45" fillId="0" borderId="83" xfId="2" applyFont="1" applyBorder="1" applyAlignment="1">
      <alignment horizontal="center"/>
    </xf>
    <xf numFmtId="0" fontId="2" fillId="4" borderId="21" xfId="2" applyFont="1" applyFill="1" applyBorder="1" applyAlignment="1" applyProtection="1">
      <alignment horizontal="center"/>
      <protection locked="0"/>
    </xf>
    <xf numFmtId="0" fontId="2" fillId="4" borderId="84" xfId="2" applyFont="1" applyFill="1" applyBorder="1" applyAlignment="1" applyProtection="1">
      <alignment horizontal="center"/>
      <protection locked="0"/>
    </xf>
    <xf numFmtId="0" fontId="17" fillId="5" borderId="31" xfId="2" applyFont="1" applyFill="1" applyBorder="1" applyAlignment="1">
      <alignment horizontal="center" vertical="center"/>
    </xf>
    <xf numFmtId="0" fontId="17" fillId="5" borderId="32" xfId="2" applyFont="1" applyFill="1" applyBorder="1" applyAlignment="1">
      <alignment horizontal="center" vertical="center"/>
    </xf>
    <xf numFmtId="0" fontId="17" fillId="5" borderId="21" xfId="2" applyFont="1" applyFill="1" applyBorder="1" applyAlignment="1">
      <alignment horizontal="center" vertical="center"/>
    </xf>
    <xf numFmtId="0" fontId="17" fillId="5" borderId="23" xfId="2" applyFont="1" applyFill="1" applyBorder="1" applyAlignment="1">
      <alignment horizontal="center" vertical="center"/>
    </xf>
    <xf numFmtId="0" fontId="2" fillId="4" borderId="2" xfId="2" applyFont="1" applyFill="1" applyBorder="1" applyAlignment="1" applyProtection="1">
      <alignment horizontal="center"/>
      <protection locked="0"/>
    </xf>
    <xf numFmtId="0" fontId="2" fillId="4" borderId="8" xfId="2" applyFont="1" applyFill="1" applyBorder="1" applyAlignment="1" applyProtection="1">
      <alignment horizontal="center"/>
      <protection locked="0"/>
    </xf>
    <xf numFmtId="177" fontId="33" fillId="5" borderId="34" xfId="2" applyNumberFormat="1" applyFont="1" applyFill="1" applyBorder="1" applyAlignment="1" applyProtection="1">
      <alignment horizontal="center"/>
      <protection hidden="1"/>
    </xf>
    <xf numFmtId="177" fontId="33" fillId="5" borderId="14" xfId="2" applyNumberFormat="1" applyFont="1" applyFill="1" applyBorder="1" applyAlignment="1" applyProtection="1">
      <alignment horizontal="center"/>
      <protection hidden="1"/>
    </xf>
    <xf numFmtId="176" fontId="33" fillId="5" borderId="34" xfId="2" applyNumberFormat="1" applyFont="1" applyFill="1" applyBorder="1" applyAlignment="1" applyProtection="1">
      <alignment horizontal="center"/>
      <protection hidden="1"/>
    </xf>
    <xf numFmtId="176" fontId="33" fillId="5" borderId="14" xfId="2" applyNumberFormat="1" applyFont="1" applyFill="1" applyBorder="1" applyAlignment="1" applyProtection="1">
      <alignment horizontal="center"/>
      <protection hidden="1"/>
    </xf>
    <xf numFmtId="165" fontId="2" fillId="5" borderId="34" xfId="2" applyNumberFormat="1" applyFont="1" applyFill="1" applyBorder="1" applyAlignment="1">
      <alignment horizontal="center"/>
    </xf>
    <xf numFmtId="165" fontId="2" fillId="5" borderId="14" xfId="2" applyNumberFormat="1" applyFont="1" applyFill="1" applyBorder="1" applyAlignment="1">
      <alignment horizontal="center"/>
    </xf>
    <xf numFmtId="0" fontId="15" fillId="0" borderId="0" xfId="2" applyFont="1" applyAlignment="1" applyProtection="1">
      <alignment horizontal="center"/>
      <protection hidden="1"/>
    </xf>
    <xf numFmtId="0" fontId="30" fillId="6" borderId="34" xfId="2" applyFont="1" applyFill="1" applyBorder="1" applyAlignment="1" applyProtection="1">
      <alignment horizontal="center"/>
      <protection hidden="1"/>
    </xf>
    <xf numFmtId="0" fontId="30" fillId="6" borderId="14" xfId="2" applyFont="1" applyFill="1" applyBorder="1" applyAlignment="1" applyProtection="1">
      <alignment horizontal="center"/>
      <protection hidden="1"/>
    </xf>
    <xf numFmtId="0" fontId="2" fillId="10" borderId="2" xfId="2" applyFont="1" applyFill="1" applyBorder="1" applyAlignment="1" applyProtection="1">
      <alignment horizontal="center"/>
      <protection hidden="1"/>
    </xf>
    <xf numFmtId="0" fontId="33" fillId="6" borderId="2" xfId="2" applyFont="1" applyFill="1" applyBorder="1" applyAlignment="1">
      <alignment horizontal="center"/>
    </xf>
    <xf numFmtId="0" fontId="41" fillId="8" borderId="85" xfId="0" applyFont="1" applyFill="1" applyBorder="1" applyAlignment="1" applyProtection="1">
      <alignment horizontal="center" vertical="center"/>
      <protection hidden="1"/>
    </xf>
    <xf numFmtId="0" fontId="41" fillId="8" borderId="86" xfId="0" applyFont="1" applyFill="1" applyBorder="1" applyAlignment="1" applyProtection="1">
      <alignment horizontal="center" vertical="center"/>
      <protection hidden="1"/>
    </xf>
    <xf numFmtId="0" fontId="2" fillId="8" borderId="87" xfId="0" applyFont="1" applyFill="1" applyBorder="1" applyAlignment="1" applyProtection="1">
      <alignment horizontal="center" vertical="center"/>
      <protection hidden="1"/>
    </xf>
    <xf numFmtId="0" fontId="11" fillId="8" borderId="15" xfId="0" applyFont="1" applyFill="1" applyBorder="1" applyAlignment="1" applyProtection="1">
      <alignment horizontal="center" vertical="center"/>
      <protection hidden="1"/>
    </xf>
    <xf numFmtId="0" fontId="41" fillId="8" borderId="88" xfId="0" applyFont="1" applyFill="1" applyBorder="1" applyAlignment="1" applyProtection="1">
      <alignment horizontal="center" vertical="center"/>
      <protection hidden="1"/>
    </xf>
    <xf numFmtId="0" fontId="41" fillId="8" borderId="89" xfId="0" applyFont="1" applyFill="1" applyBorder="1" applyAlignment="1" applyProtection="1">
      <alignment horizontal="center" vertical="center"/>
      <protection hidden="1"/>
    </xf>
    <xf numFmtId="0" fontId="14" fillId="8" borderId="15" xfId="0" applyFont="1" applyFill="1" applyBorder="1" applyAlignment="1" applyProtection="1">
      <alignment horizontal="center" vertical="center"/>
      <protection hidden="1"/>
    </xf>
    <xf numFmtId="0" fontId="12" fillId="8" borderId="17" xfId="0" applyFont="1" applyFill="1" applyBorder="1" applyAlignment="1" applyProtection="1">
      <alignment horizontal="center" vertical="center"/>
      <protection hidden="1"/>
    </xf>
    <xf numFmtId="0" fontId="12" fillId="8" borderId="16" xfId="0" applyFont="1" applyFill="1" applyBorder="1" applyAlignment="1" applyProtection="1">
      <alignment horizontal="center" vertical="center"/>
      <protection hidden="1"/>
    </xf>
    <xf numFmtId="0" fontId="2" fillId="13" borderId="90" xfId="0" applyFont="1" applyFill="1" applyBorder="1" applyAlignment="1" applyProtection="1">
      <alignment horizontal="center" vertical="center"/>
      <protection locked="0"/>
    </xf>
    <xf numFmtId="0" fontId="2" fillId="13" borderId="91" xfId="0" applyFont="1" applyFill="1" applyBorder="1" applyAlignment="1" applyProtection="1">
      <alignment horizontal="center" vertical="center"/>
      <protection locked="0"/>
    </xf>
    <xf numFmtId="164" fontId="2" fillId="13" borderId="103" xfId="0" applyNumberFormat="1" applyFont="1" applyFill="1" applyBorder="1" applyAlignment="1">
      <alignment horizontal="center" vertical="center"/>
    </xf>
    <xf numFmtId="168" fontId="2" fillId="13" borderId="15" xfId="0" applyNumberFormat="1" applyFont="1" applyFill="1" applyBorder="1" applyAlignment="1" applyProtection="1">
      <alignment horizontal="center" vertical="center"/>
      <protection locked="0"/>
    </xf>
    <xf numFmtId="167" fontId="2" fillId="13" borderId="15" xfId="0" applyNumberFormat="1" applyFont="1" applyFill="1" applyBorder="1" applyAlignment="1" applyProtection="1">
      <alignment horizontal="center" vertical="center"/>
      <protection locked="0"/>
    </xf>
    <xf numFmtId="0" fontId="2" fillId="13" borderId="92" xfId="0" applyFont="1" applyFill="1" applyBorder="1" applyAlignment="1">
      <alignment horizontal="center"/>
    </xf>
    <xf numFmtId="0" fontId="2" fillId="13" borderId="91" xfId="0" applyFont="1" applyFill="1" applyBorder="1" applyAlignment="1">
      <alignment horizontal="center"/>
    </xf>
    <xf numFmtId="0" fontId="2" fillId="12" borderId="15" xfId="0" applyFont="1" applyFill="1" applyBorder="1" applyAlignment="1" applyProtection="1">
      <alignment horizontal="center"/>
      <protection hidden="1"/>
    </xf>
    <xf numFmtId="166" fontId="2" fillId="17" borderId="46" xfId="0" applyNumberFormat="1" applyFont="1" applyFill="1" applyBorder="1" applyAlignment="1">
      <alignment horizontal="center" vertical="center"/>
    </xf>
    <xf numFmtId="0" fontId="2" fillId="12" borderId="66" xfId="0" applyFont="1" applyFill="1" applyBorder="1" applyAlignment="1" applyProtection="1">
      <alignment horizontal="center"/>
      <protection hidden="1"/>
    </xf>
    <xf numFmtId="0" fontId="2" fillId="12" borderId="93" xfId="0" applyFont="1" applyFill="1" applyBorder="1" applyAlignment="1" applyProtection="1">
      <alignment horizontal="center"/>
      <protection hidden="1"/>
    </xf>
    <xf numFmtId="0" fontId="11" fillId="8" borderId="94" xfId="0" applyFont="1" applyFill="1" applyBorder="1" applyAlignment="1" applyProtection="1">
      <alignment horizontal="center" vertical="center"/>
      <protection hidden="1"/>
    </xf>
    <xf numFmtId="0" fontId="11" fillId="8" borderId="68" xfId="0" applyFont="1" applyFill="1" applyBorder="1" applyAlignment="1" applyProtection="1">
      <alignment horizontal="center" vertical="center"/>
      <protection hidden="1"/>
    </xf>
    <xf numFmtId="0" fontId="12" fillId="8" borderId="95" xfId="0" applyFont="1" applyFill="1" applyBorder="1" applyAlignment="1" applyProtection="1">
      <alignment horizontal="center" vertical="center"/>
      <protection hidden="1"/>
    </xf>
    <xf numFmtId="0" fontId="11" fillId="8" borderId="96" xfId="0" applyFont="1" applyFill="1" applyBorder="1" applyAlignment="1" applyProtection="1">
      <alignment horizontal="center" vertical="center"/>
      <protection hidden="1"/>
    </xf>
    <xf numFmtId="0" fontId="41" fillId="8" borderId="97" xfId="0" applyFont="1" applyFill="1" applyBorder="1" applyAlignment="1" applyProtection="1">
      <alignment horizontal="center" vertical="center"/>
      <protection hidden="1"/>
    </xf>
    <xf numFmtId="0" fontId="2" fillId="4" borderId="34" xfId="2" applyFont="1" applyFill="1" applyBorder="1" applyAlignment="1" applyProtection="1">
      <alignment horizontal="center" vertical="center"/>
      <protection locked="0"/>
    </xf>
    <xf numFmtId="0" fontId="2" fillId="4" borderId="14" xfId="2" applyFont="1" applyFill="1" applyBorder="1" applyAlignment="1" applyProtection="1">
      <alignment horizontal="center" vertical="center"/>
      <protection locked="0"/>
    </xf>
    <xf numFmtId="0" fontId="14" fillId="8" borderId="98" xfId="0" applyFont="1" applyFill="1" applyBorder="1" applyAlignment="1" applyProtection="1">
      <alignment horizontal="center" vertical="center"/>
      <protection hidden="1"/>
    </xf>
    <xf numFmtId="0" fontId="14" fillId="8" borderId="43" xfId="0" applyFont="1" applyFill="1" applyBorder="1" applyAlignment="1" applyProtection="1">
      <alignment horizontal="center" vertical="center"/>
      <protection hidden="1"/>
    </xf>
    <xf numFmtId="0" fontId="2" fillId="10" borderId="2" xfId="2" applyFont="1" applyFill="1" applyBorder="1" applyAlignment="1" applyProtection="1">
      <alignment horizontal="center" vertical="center"/>
      <protection hidden="1"/>
    </xf>
    <xf numFmtId="0" fontId="0" fillId="0" borderId="31" xfId="0" applyBorder="1" applyAlignment="1">
      <alignment horizontal="center" vertical="center"/>
    </xf>
    <xf numFmtId="0" fontId="0" fillId="0" borderId="33" xfId="0" applyBorder="1" applyAlignment="1">
      <alignment horizontal="center" vertical="center"/>
    </xf>
    <xf numFmtId="0" fontId="0" fillId="0" borderId="32" xfId="0" applyBorder="1" applyAlignment="1">
      <alignment horizontal="center" vertical="center"/>
    </xf>
    <xf numFmtId="0" fontId="2" fillId="4" borderId="2" xfId="2" applyFont="1" applyFill="1" applyBorder="1" applyAlignment="1" applyProtection="1">
      <alignment horizontal="center" vertical="center"/>
      <protection locked="0"/>
    </xf>
    <xf numFmtId="0" fontId="35" fillId="13" borderId="2" xfId="0" applyFont="1" applyFill="1" applyBorder="1" applyAlignment="1">
      <alignment horizontal="center"/>
    </xf>
    <xf numFmtId="0" fontId="45" fillId="0" borderId="0" xfId="0" applyFont="1" applyAlignment="1">
      <alignment horizontal="center" vertical="center"/>
    </xf>
    <xf numFmtId="0" fontId="3" fillId="20" borderId="0" xfId="0" applyFont="1" applyFill="1" applyAlignment="1">
      <alignment horizontal="center"/>
    </xf>
    <xf numFmtId="0" fontId="35" fillId="13" borderId="15" xfId="0" applyFont="1" applyFill="1" applyBorder="1" applyAlignment="1">
      <alignment horizontal="center"/>
    </xf>
    <xf numFmtId="0" fontId="35" fillId="13" borderId="46" xfId="0" applyFont="1" applyFill="1" applyBorder="1" applyAlignment="1">
      <alignment horizontal="center"/>
    </xf>
    <xf numFmtId="0" fontId="2" fillId="0" borderId="0" xfId="0" applyFont="1" applyAlignment="1">
      <alignment horizontal="center" vertical="center"/>
    </xf>
    <xf numFmtId="0" fontId="2" fillId="0" borderId="0" xfId="0" applyFont="1" applyAlignment="1" applyProtection="1">
      <alignment horizontal="center"/>
      <protection hidden="1"/>
    </xf>
    <xf numFmtId="0" fontId="0" fillId="0" borderId="0" xfId="0" applyAlignment="1">
      <alignment horizontal="center"/>
    </xf>
    <xf numFmtId="0" fontId="0" fillId="30" borderId="21" xfId="0" applyFill="1" applyBorder="1" applyAlignment="1">
      <alignment horizontal="center"/>
    </xf>
    <xf numFmtId="0" fontId="0" fillId="30" borderId="23" xfId="0" applyFill="1" applyBorder="1" applyAlignment="1">
      <alignment horizontal="center"/>
    </xf>
    <xf numFmtId="0" fontId="0" fillId="0" borderId="0" xfId="0" applyAlignment="1" applyProtection="1">
      <alignment horizontal="center"/>
      <protection locked="0"/>
    </xf>
    <xf numFmtId="0" fontId="0" fillId="30" borderId="19" xfId="0" applyFill="1" applyBorder="1" applyAlignment="1">
      <alignment horizontal="center"/>
    </xf>
    <xf numFmtId="0" fontId="0" fillId="30" borderId="20" xfId="0" applyFill="1" applyBorder="1" applyAlignment="1">
      <alignment horizontal="center"/>
    </xf>
    <xf numFmtId="0" fontId="0" fillId="4" borderId="19" xfId="0" applyFill="1" applyBorder="1" applyAlignment="1" applyProtection="1">
      <alignment horizontal="center"/>
      <protection locked="0"/>
    </xf>
    <xf numFmtId="0" fontId="0" fillId="4" borderId="20" xfId="0" applyFill="1" applyBorder="1" applyAlignment="1" applyProtection="1">
      <alignment horizontal="center"/>
      <protection locked="0"/>
    </xf>
    <xf numFmtId="0" fontId="0" fillId="4" borderId="0" xfId="0" applyFill="1" applyAlignment="1" applyProtection="1">
      <alignment horizontal="center"/>
      <protection locked="0"/>
    </xf>
    <xf numFmtId="0" fontId="0" fillId="30" borderId="21" xfId="0" applyFill="1" applyBorder="1" applyAlignment="1" applyProtection="1">
      <alignment horizontal="center"/>
      <protection locked="0"/>
    </xf>
    <xf numFmtId="0" fontId="0" fillId="30" borderId="23" xfId="0" applyFill="1" applyBorder="1" applyAlignment="1" applyProtection="1">
      <alignment horizontal="center"/>
      <protection locked="0"/>
    </xf>
    <xf numFmtId="0" fontId="0" fillId="0" borderId="33" xfId="0" applyBorder="1" applyAlignment="1" applyProtection="1">
      <alignment horizontal="center"/>
      <protection locked="0"/>
    </xf>
    <xf numFmtId="0" fontId="0" fillId="30" borderId="19" xfId="0" applyFill="1" applyBorder="1" applyAlignment="1" applyProtection="1">
      <alignment horizontal="center"/>
      <protection locked="0"/>
    </xf>
    <xf numFmtId="0" fontId="0" fillId="30" borderId="20" xfId="0" applyFill="1" applyBorder="1" applyAlignment="1" applyProtection="1">
      <alignment horizontal="center"/>
      <protection locked="0"/>
    </xf>
    <xf numFmtId="0" fontId="0" fillId="28" borderId="31" xfId="0" applyFill="1" applyBorder="1" applyAlignment="1">
      <alignment horizontal="center"/>
    </xf>
    <xf numFmtId="0" fontId="0" fillId="28" borderId="32" xfId="0" applyFill="1" applyBorder="1" applyAlignment="1">
      <alignment horizontal="center"/>
    </xf>
    <xf numFmtId="0" fontId="0" fillId="0" borderId="33" xfId="0" applyBorder="1" applyAlignment="1">
      <alignment horizontal="center"/>
    </xf>
    <xf numFmtId="2" fontId="0" fillId="22" borderId="53" xfId="0" applyNumberFormat="1" applyFill="1" applyBorder="1" applyAlignment="1">
      <alignment horizontal="center"/>
    </xf>
    <xf numFmtId="2" fontId="0" fillId="22" borderId="65" xfId="0" applyNumberFormat="1" applyFill="1" applyBorder="1" applyAlignment="1">
      <alignment horizontal="center"/>
    </xf>
    <xf numFmtId="2" fontId="0" fillId="22" borderId="11" xfId="0" applyNumberFormat="1" applyFill="1" applyBorder="1" applyAlignment="1">
      <alignment horizontal="center"/>
    </xf>
    <xf numFmtId="2" fontId="0" fillId="22" borderId="54" xfId="0" applyNumberFormat="1" applyFill="1" applyBorder="1" applyAlignment="1">
      <alignment horizontal="center"/>
    </xf>
    <xf numFmtId="0" fontId="0" fillId="22" borderId="99" xfId="0" applyFill="1" applyBorder="1" applyAlignment="1">
      <alignment horizontal="center"/>
    </xf>
    <xf numFmtId="0" fontId="0" fillId="22" borderId="100" xfId="0" applyFill="1" applyBorder="1" applyAlignment="1">
      <alignment horizontal="center"/>
    </xf>
    <xf numFmtId="0" fontId="0" fillId="22" borderId="101" xfId="0" applyFill="1" applyBorder="1" applyAlignment="1">
      <alignment horizontal="center"/>
    </xf>
    <xf numFmtId="2" fontId="0" fillId="22" borderId="52" xfId="0" applyNumberFormat="1" applyFill="1" applyBorder="1" applyAlignment="1">
      <alignment horizontal="center"/>
    </xf>
    <xf numFmtId="0" fontId="35" fillId="13" borderId="18" xfId="0" applyFont="1" applyFill="1" applyBorder="1" applyAlignment="1">
      <alignment horizontal="center"/>
    </xf>
    <xf numFmtId="0" fontId="35" fillId="13" borderId="27" xfId="0" applyFont="1" applyFill="1" applyBorder="1" applyAlignment="1">
      <alignment horizontal="center"/>
    </xf>
    <xf numFmtId="194" fontId="2" fillId="13" borderId="46" xfId="0" applyNumberFormat="1" applyFont="1" applyFill="1" applyBorder="1" applyAlignment="1">
      <alignment horizontal="center" vertical="center"/>
    </xf>
    <xf numFmtId="195" fontId="2" fillId="17" borderId="15" xfId="0" applyNumberFormat="1" applyFont="1" applyFill="1" applyBorder="1" applyAlignment="1">
      <alignment horizontal="center" vertical="center"/>
    </xf>
    <xf numFmtId="0" fontId="2" fillId="13" borderId="15" xfId="0" applyFont="1" applyFill="1" applyBorder="1" applyAlignment="1">
      <alignment horizontal="center" vertical="center"/>
    </xf>
    <xf numFmtId="0" fontId="2" fillId="13" borderId="46" xfId="0" applyFont="1" applyFill="1" applyBorder="1" applyAlignment="1">
      <alignment horizontal="center" vertical="center"/>
    </xf>
    <xf numFmtId="165" fontId="2" fillId="0" borderId="33" xfId="0" applyNumberFormat="1" applyFont="1" applyBorder="1" applyAlignment="1">
      <alignment horizontal="center" vertical="center"/>
    </xf>
    <xf numFmtId="165" fontId="2" fillId="0" borderId="32" xfId="0" applyNumberFormat="1" applyFont="1" applyBorder="1" applyAlignment="1">
      <alignment horizontal="center" vertical="center"/>
    </xf>
    <xf numFmtId="165" fontId="2" fillId="0" borderId="0" xfId="0" applyNumberFormat="1" applyFont="1" applyAlignment="1">
      <alignment horizontal="center" vertical="center"/>
    </xf>
    <xf numFmtId="165" fontId="2" fillId="0" borderId="20" xfId="0" applyNumberFormat="1" applyFont="1" applyBorder="1" applyAlignment="1">
      <alignment horizontal="center" vertical="center"/>
    </xf>
    <xf numFmtId="0" fontId="2" fillId="0" borderId="12" xfId="0" applyFont="1" applyBorder="1" applyAlignment="1">
      <alignment horizontal="center" vertical="center"/>
    </xf>
    <xf numFmtId="0" fontId="2" fillId="0" borderId="102" xfId="0" applyFont="1" applyBorder="1" applyAlignment="1">
      <alignment horizontal="center" vertical="center"/>
    </xf>
    <xf numFmtId="0" fontId="2" fillId="0" borderId="20" xfId="0" applyFont="1" applyBorder="1" applyAlignment="1">
      <alignment horizontal="center" vertical="center"/>
    </xf>
    <xf numFmtId="175" fontId="2" fillId="0" borderId="22" xfId="0" applyNumberFormat="1" applyFont="1" applyBorder="1" applyAlignment="1">
      <alignment horizontal="center" vertical="center"/>
    </xf>
    <xf numFmtId="175" fontId="2" fillId="0" borderId="23" xfId="0" applyNumberFormat="1" applyFont="1" applyBorder="1" applyAlignment="1">
      <alignment horizontal="center" vertical="center"/>
    </xf>
    <xf numFmtId="165" fontId="2" fillId="0" borderId="12" xfId="0" applyNumberFormat="1" applyFont="1" applyBorder="1" applyAlignment="1">
      <alignment horizontal="center" vertical="center"/>
    </xf>
    <xf numFmtId="1" fontId="2" fillId="0" borderId="12" xfId="0" applyNumberFormat="1" applyFont="1" applyBorder="1" applyAlignment="1">
      <alignment horizontal="center" vertical="center"/>
    </xf>
    <xf numFmtId="0" fontId="2" fillId="0" borderId="21" xfId="0" applyFont="1" applyBorder="1" applyAlignment="1">
      <alignment horizontal="left"/>
    </xf>
    <xf numFmtId="0" fontId="2" fillId="0" borderId="22" xfId="0" applyFont="1" applyBorder="1" applyAlignment="1">
      <alignment horizontal="left"/>
    </xf>
    <xf numFmtId="0" fontId="2" fillId="0" borderId="31" xfId="0" applyFont="1" applyBorder="1" applyAlignment="1">
      <alignment horizontal="left"/>
    </xf>
    <xf numFmtId="0" fontId="2" fillId="0" borderId="33" xfId="0" applyFont="1" applyBorder="1" applyAlignment="1">
      <alignment horizontal="left"/>
    </xf>
  </cellXfs>
  <cellStyles count="3">
    <cellStyle name="Lien hypertexte" xfId="1" builtinId="8"/>
    <cellStyle name="Normal" xfId="0" builtinId="0"/>
    <cellStyle name="Normal 2" xfId="2" xr:uid="{00000000-0005-0000-0000-000002000000}"/>
  </cellStyles>
  <dxfs count="54">
    <dxf>
      <font>
        <color theme="0"/>
      </font>
    </dxf>
    <dxf>
      <font>
        <color theme="0"/>
      </font>
    </dxf>
    <dxf>
      <font>
        <color theme="0"/>
      </font>
    </dxf>
    <dxf>
      <fill>
        <patternFill patternType="solid">
          <fgColor indexed="42"/>
          <bgColor rgb="FFFFFFCC"/>
        </patternFill>
      </fill>
    </dxf>
    <dxf>
      <fill>
        <patternFill patternType="solid">
          <fgColor indexed="31"/>
          <bgColor indexed="22"/>
        </patternFill>
      </fill>
    </dxf>
    <dxf>
      <fill>
        <patternFill patternType="solid">
          <fgColor indexed="27"/>
          <bgColor rgb="FFFFCCFF"/>
        </patternFill>
      </fill>
    </dxf>
    <dxf>
      <font>
        <color rgb="FFFF0000"/>
      </font>
    </dxf>
    <dxf>
      <font>
        <color rgb="FF808080"/>
      </font>
    </dxf>
    <dxf>
      <fill>
        <patternFill>
          <bgColor indexed="10"/>
        </patternFill>
      </fill>
    </dxf>
    <dxf>
      <fill>
        <patternFill patternType="solid">
          <fgColor indexed="53"/>
          <bgColor rgb="FFFF0000"/>
        </patternFill>
      </fill>
    </dxf>
    <dxf>
      <fill>
        <patternFill patternType="solid">
          <fgColor indexed="60"/>
          <bgColor indexed="10"/>
        </patternFill>
      </fill>
    </dxf>
    <dxf>
      <fill>
        <patternFill>
          <bgColor rgb="FFFF0000"/>
        </patternFill>
      </fill>
    </dxf>
    <dxf>
      <font>
        <color rgb="FFCCFFFF"/>
      </font>
    </dxf>
    <dxf>
      <font>
        <color rgb="FFCC6600"/>
      </font>
    </dxf>
    <dxf>
      <font>
        <color rgb="FFCC6600"/>
      </font>
    </dxf>
    <dxf>
      <fill>
        <patternFill>
          <bgColor rgb="FFFF0000"/>
        </patternFill>
      </fill>
    </dxf>
    <dxf>
      <font>
        <color theme="0"/>
      </font>
      <fill>
        <patternFill patternType="none">
          <bgColor indexed="65"/>
        </patternFill>
      </fill>
      <border>
        <left/>
        <right/>
        <top/>
        <bottom/>
      </border>
    </dxf>
    <dxf>
      <font>
        <color theme="0"/>
      </font>
      <fill>
        <patternFill patternType="none">
          <bgColor indexed="65"/>
        </patternFill>
      </fill>
      <border>
        <left/>
        <right/>
        <bottom/>
      </border>
    </dxf>
    <dxf>
      <font>
        <color rgb="FF99CCFF"/>
      </font>
    </dxf>
    <dxf>
      <fill>
        <patternFill>
          <bgColor indexed="10"/>
        </patternFill>
      </fill>
    </dxf>
    <dxf>
      <font>
        <color theme="0"/>
      </font>
      <fill>
        <patternFill>
          <bgColor theme="0"/>
        </patternFill>
      </fill>
      <border>
        <right/>
        <top/>
        <bottom/>
      </border>
    </dxf>
    <dxf>
      <font>
        <color indexed="9"/>
      </font>
      <fill>
        <patternFill patternType="solid">
          <bgColor indexed="9"/>
        </patternFill>
      </fill>
      <border>
        <left/>
        <right/>
        <top/>
        <bottom/>
      </border>
    </dxf>
    <dxf>
      <font>
        <color theme="0"/>
      </font>
      <fill>
        <patternFill>
          <bgColor theme="0"/>
        </patternFill>
      </fill>
      <border>
        <left/>
        <right/>
        <top/>
        <bottom/>
      </border>
    </dxf>
    <dxf>
      <font>
        <color theme="0"/>
      </font>
      <fill>
        <patternFill patternType="solid">
          <bgColor theme="0"/>
        </patternFill>
      </fill>
      <border>
        <right/>
        <bottom/>
      </border>
    </dxf>
    <dxf>
      <fill>
        <patternFill patternType="solid">
          <fgColor indexed="60"/>
          <bgColor indexed="10"/>
        </patternFill>
      </fill>
    </dxf>
    <dxf>
      <font>
        <color rgb="FFFFFF99"/>
        <name val="Cambria"/>
        <scheme val="none"/>
      </font>
    </dxf>
    <dxf>
      <font>
        <color rgb="FF808080"/>
      </font>
    </dxf>
    <dxf>
      <font>
        <color theme="0"/>
      </font>
      <fill>
        <patternFill>
          <bgColor theme="0"/>
        </patternFill>
      </fill>
      <border>
        <left/>
        <right/>
        <bottom/>
      </border>
    </dxf>
    <dxf>
      <font>
        <color rgb="FFFF0000"/>
      </font>
    </dxf>
    <dxf>
      <font>
        <color indexed="9"/>
      </font>
      <fill>
        <patternFill>
          <bgColor indexed="9"/>
        </patternFill>
      </fill>
      <border>
        <left/>
        <right/>
        <top/>
        <bottom/>
      </border>
    </dxf>
    <dxf>
      <font>
        <condense val="0"/>
        <extend val="0"/>
        <color indexed="9"/>
      </font>
      <fill>
        <patternFill patternType="none">
          <bgColor indexed="65"/>
        </patternFill>
      </fill>
      <border>
        <left/>
        <right/>
        <top/>
        <bottom/>
      </border>
    </dxf>
    <dxf>
      <font>
        <condense val="0"/>
        <extend val="0"/>
        <color indexed="9"/>
      </font>
      <fill>
        <patternFill patternType="none">
          <bgColor indexed="65"/>
        </patternFill>
      </fill>
      <border>
        <left/>
        <right/>
        <top/>
        <bottom/>
      </border>
    </dxf>
    <dxf>
      <font>
        <color theme="0"/>
      </font>
    </dxf>
    <dxf>
      <font>
        <color rgb="FFFF0000"/>
      </font>
    </dxf>
    <dxf>
      <font>
        <color rgb="FFFF0000"/>
      </font>
    </dxf>
    <dxf>
      <font>
        <color rgb="FFFF0000"/>
      </font>
    </dxf>
    <dxf>
      <font>
        <condense val="0"/>
        <extend val="0"/>
        <color indexed="11"/>
      </font>
    </dxf>
    <dxf>
      <font>
        <color rgb="FFFF0000"/>
      </font>
    </dxf>
    <dxf>
      <font>
        <color rgb="FFFF0000"/>
      </font>
    </dxf>
    <dxf>
      <font>
        <color rgb="FFFF0000"/>
      </font>
    </dxf>
    <dxf>
      <font>
        <color rgb="FFFF0000"/>
      </font>
    </dxf>
    <dxf>
      <font>
        <color theme="1"/>
      </font>
    </dxf>
    <dxf>
      <font>
        <color rgb="FFFFFF99"/>
      </font>
    </dxf>
    <dxf>
      <font>
        <color rgb="FFCC6600"/>
      </font>
    </dxf>
    <dxf>
      <font>
        <color rgb="FFCC6600"/>
      </font>
    </dxf>
    <dxf>
      <font>
        <color rgb="FFCC6600"/>
      </font>
    </dxf>
    <dxf>
      <font>
        <color rgb="FFCC6600"/>
      </font>
    </dxf>
    <dxf>
      <font>
        <color rgb="FFCC6600"/>
      </font>
    </dxf>
    <dxf>
      <font>
        <color theme="1"/>
      </font>
    </dxf>
    <dxf>
      <font>
        <color rgb="FFCC6600"/>
      </font>
    </dxf>
    <dxf>
      <font>
        <color rgb="FFCC6600"/>
      </font>
    </dxf>
    <dxf>
      <font>
        <color rgb="FFFF0000"/>
      </font>
    </dxf>
    <dxf>
      <font>
        <color rgb="FFCC6600"/>
      </font>
    </dxf>
    <dxf>
      <font>
        <color theme="0"/>
      </font>
      <fill>
        <patternFill patternType="none">
          <bgColor indexed="65"/>
        </patternFill>
      </fill>
      <border>
        <left/>
        <right/>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3CAFF"/>
      <rgbColor rgb="00993366"/>
      <rgbColor rgb="00E6E6E6"/>
      <rgbColor rgb="00CCFFFF"/>
      <rgbColor rgb="00660066"/>
      <rgbColor rgb="00FF8080"/>
      <rgbColor rgb="000066CC"/>
      <rgbColor rgb="00CCCCCC"/>
      <rgbColor rgb="00000080"/>
      <rgbColor rgb="00FF00FF"/>
      <rgbColor rgb="00FFFF00"/>
      <rgbColor rgb="0000FFFF"/>
      <rgbColor rgb="00800080"/>
      <rgbColor rgb="00800000"/>
      <rgbColor rgb="00008080"/>
      <rgbColor rgb="000000FF"/>
      <rgbColor rgb="0000CCFF"/>
      <rgbColor rgb="00D9D9D9"/>
      <rgbColor rgb="00CCFFCC"/>
      <rgbColor rgb="00FFFF99"/>
      <rgbColor rgb="0099CCFF"/>
      <rgbColor rgb="00FF99CC"/>
      <rgbColor rgb="00CC99FF"/>
      <rgbColor rgb="00FFCC99"/>
      <rgbColor rgb="003366FF"/>
      <rgbColor rgb="0033CCCC"/>
      <rgbColor rgb="0099CC00"/>
      <rgbColor rgb="00FFD320"/>
      <rgbColor rgb="00FF9900"/>
      <rgbColor rgb="00FF6600"/>
      <rgbColor rgb="00666699"/>
      <rgbColor rgb="00B3B3B3"/>
      <rgbColor rgb="00004586"/>
      <rgbColor rgb="00339966"/>
      <rgbColor rgb="00003300"/>
      <rgbColor rgb="00333300"/>
      <rgbColor rgb="00993300"/>
      <rgbColor rgb="00993366"/>
      <rgbColor rgb="00333399"/>
      <rgbColor rgb="00333333"/>
    </indexed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7970566137003713E-2"/>
          <c:y val="6.4690026954178192E-2"/>
          <c:w val="0.84871001627006748"/>
          <c:h val="0.90566037735849303"/>
        </c:manualLayout>
      </c:layout>
      <c:scatterChart>
        <c:scatterStyle val="lineMarker"/>
        <c:varyColors val="0"/>
        <c:ser>
          <c:idx val="0"/>
          <c:order val="0"/>
          <c:tx>
            <c:v>fuselage</c:v>
          </c:tx>
          <c:spPr>
            <a:ln w="25400">
              <a:solidFill>
                <a:srgbClr val="000080"/>
              </a:solidFill>
              <a:prstDash val="solid"/>
            </a:ln>
          </c:spPr>
          <c:marker>
            <c:symbol val="none"/>
          </c:marker>
          <c:xVal>
            <c:numRef>
              <c:f>Stabilito!$D$124:$D$131</c:f>
              <c:numCache>
                <c:formatCode>0</c:formatCode>
                <c:ptCount val="8"/>
                <c:pt idx="0">
                  <c:v>0</c:v>
                </c:pt>
                <c:pt idx="1">
                  <c:v>42</c:v>
                </c:pt>
                <c:pt idx="2">
                  <c:v>42</c:v>
                </c:pt>
                <c:pt idx="3">
                  <c:v>52</c:v>
                </c:pt>
                <c:pt idx="4">
                  <c:v>52</c:v>
                </c:pt>
                <c:pt idx="5">
                  <c:v>42</c:v>
                </c:pt>
                <c:pt idx="6">
                  <c:v>42</c:v>
                </c:pt>
                <c:pt idx="7">
                  <c:v>0</c:v>
                </c:pt>
              </c:numCache>
            </c:numRef>
          </c:xVal>
          <c:yVal>
            <c:numRef>
              <c:f>Stabilito!$C$124:$C$131</c:f>
              <c:numCache>
                <c:formatCode>0</c:formatCode>
                <c:ptCount val="8"/>
                <c:pt idx="0">
                  <c:v>-1</c:v>
                </c:pt>
                <c:pt idx="1">
                  <c:v>-1</c:v>
                </c:pt>
                <c:pt idx="2">
                  <c:v>-1</c:v>
                </c:pt>
                <c:pt idx="3">
                  <c:v>-61</c:v>
                </c:pt>
                <c:pt idx="4">
                  <c:v>-1070</c:v>
                </c:pt>
                <c:pt idx="5">
                  <c:v>-1120</c:v>
                </c:pt>
                <c:pt idx="6">
                  <c:v>-1120</c:v>
                </c:pt>
                <c:pt idx="7">
                  <c:v>-1120</c:v>
                </c:pt>
              </c:numCache>
            </c:numRef>
          </c:yVal>
          <c:smooth val="0"/>
          <c:extLst>
            <c:ext xmlns:c16="http://schemas.microsoft.com/office/drawing/2014/chart" uri="{C3380CC4-5D6E-409C-BE32-E72D297353CC}">
              <c16:uniqueId val="{00000000-F091-4909-B7A3-EF83D77F839F}"/>
            </c:ext>
          </c:extLst>
        </c:ser>
        <c:ser>
          <c:idx val="1"/>
          <c:order val="1"/>
          <c:tx>
            <c:v>aileron</c:v>
          </c:tx>
          <c:spPr>
            <a:ln w="25400">
              <a:solidFill>
                <a:srgbClr val="00FF00"/>
              </a:solidFill>
              <a:prstDash val="solid"/>
            </a:ln>
          </c:spPr>
          <c:marker>
            <c:symbol val="none"/>
          </c:marker>
          <c:xVal>
            <c:numRef>
              <c:f>Stabilito!$D$132:$D$136</c:f>
              <c:numCache>
                <c:formatCode>0</c:formatCode>
                <c:ptCount val="5"/>
                <c:pt idx="0">
                  <c:v>52</c:v>
                </c:pt>
                <c:pt idx="1">
                  <c:v>197</c:v>
                </c:pt>
                <c:pt idx="2">
                  <c:v>197</c:v>
                </c:pt>
                <c:pt idx="3">
                  <c:v>52</c:v>
                </c:pt>
                <c:pt idx="4">
                  <c:v>52</c:v>
                </c:pt>
              </c:numCache>
            </c:numRef>
          </c:xVal>
          <c:yVal>
            <c:numRef>
              <c:f>Stabilito!$C$132:$C$136</c:f>
              <c:numCache>
                <c:formatCode>0</c:formatCode>
                <c:ptCount val="5"/>
                <c:pt idx="0">
                  <c:v>-850</c:v>
                </c:pt>
                <c:pt idx="1">
                  <c:v>-1030</c:v>
                </c:pt>
                <c:pt idx="2">
                  <c:v>-1110</c:v>
                </c:pt>
                <c:pt idx="3">
                  <c:v>-1040</c:v>
                </c:pt>
                <c:pt idx="4">
                  <c:v>-850</c:v>
                </c:pt>
              </c:numCache>
            </c:numRef>
          </c:yVal>
          <c:smooth val="0"/>
          <c:extLst>
            <c:ext xmlns:c16="http://schemas.microsoft.com/office/drawing/2014/chart" uri="{C3380CC4-5D6E-409C-BE32-E72D297353CC}">
              <c16:uniqueId val="{00000001-F091-4909-B7A3-EF83D77F839F}"/>
            </c:ext>
          </c:extLst>
        </c:ser>
        <c:ser>
          <c:idx val="2"/>
          <c:order val="2"/>
          <c:tx>
            <c:v>fuselage2</c:v>
          </c:tx>
          <c:spPr>
            <a:ln w="25400">
              <a:solidFill>
                <a:srgbClr val="000080"/>
              </a:solidFill>
              <a:prstDash val="solid"/>
            </a:ln>
          </c:spPr>
          <c:marker>
            <c:symbol val="none"/>
          </c:marker>
          <c:xVal>
            <c:numRef>
              <c:f>Stabilito!$E$124:$E$131</c:f>
              <c:numCache>
                <c:formatCode>0</c:formatCode>
                <c:ptCount val="8"/>
                <c:pt idx="0">
                  <c:v>0</c:v>
                </c:pt>
                <c:pt idx="1">
                  <c:v>-42</c:v>
                </c:pt>
                <c:pt idx="2">
                  <c:v>-42</c:v>
                </c:pt>
                <c:pt idx="3">
                  <c:v>-52</c:v>
                </c:pt>
                <c:pt idx="4">
                  <c:v>-52</c:v>
                </c:pt>
                <c:pt idx="5">
                  <c:v>-42</c:v>
                </c:pt>
                <c:pt idx="6">
                  <c:v>-42</c:v>
                </c:pt>
                <c:pt idx="7">
                  <c:v>0</c:v>
                </c:pt>
              </c:numCache>
            </c:numRef>
          </c:xVal>
          <c:yVal>
            <c:numRef>
              <c:f>Stabilito!$C$124:$C$131</c:f>
              <c:numCache>
                <c:formatCode>0</c:formatCode>
                <c:ptCount val="8"/>
                <c:pt idx="0">
                  <c:v>-1</c:v>
                </c:pt>
                <c:pt idx="1">
                  <c:v>-1</c:v>
                </c:pt>
                <c:pt idx="2">
                  <c:v>-1</c:v>
                </c:pt>
                <c:pt idx="3">
                  <c:v>-61</c:v>
                </c:pt>
                <c:pt idx="4">
                  <c:v>-1070</c:v>
                </c:pt>
                <c:pt idx="5">
                  <c:v>-1120</c:v>
                </c:pt>
                <c:pt idx="6">
                  <c:v>-1120</c:v>
                </c:pt>
                <c:pt idx="7">
                  <c:v>-1120</c:v>
                </c:pt>
              </c:numCache>
            </c:numRef>
          </c:yVal>
          <c:smooth val="0"/>
          <c:extLst>
            <c:ext xmlns:c16="http://schemas.microsoft.com/office/drawing/2014/chart" uri="{C3380CC4-5D6E-409C-BE32-E72D297353CC}">
              <c16:uniqueId val="{00000002-F091-4909-B7A3-EF83D77F839F}"/>
            </c:ext>
          </c:extLst>
        </c:ser>
        <c:ser>
          <c:idx val="3"/>
          <c:order val="3"/>
          <c:tx>
            <c:v>aileron2</c:v>
          </c:tx>
          <c:spPr>
            <a:ln w="25400">
              <a:solidFill>
                <a:srgbClr val="00FF00"/>
              </a:solidFill>
              <a:prstDash val="solid"/>
            </a:ln>
          </c:spPr>
          <c:marker>
            <c:symbol val="none"/>
          </c:marker>
          <c:xVal>
            <c:numRef>
              <c:f>Stabilito!$E$132:$E$136</c:f>
              <c:numCache>
                <c:formatCode>0</c:formatCode>
                <c:ptCount val="5"/>
                <c:pt idx="0">
                  <c:v>-52</c:v>
                </c:pt>
                <c:pt idx="1">
                  <c:v>-197</c:v>
                </c:pt>
                <c:pt idx="2">
                  <c:v>-197</c:v>
                </c:pt>
                <c:pt idx="3">
                  <c:v>-52</c:v>
                </c:pt>
                <c:pt idx="4">
                  <c:v>-52</c:v>
                </c:pt>
              </c:numCache>
            </c:numRef>
          </c:xVal>
          <c:yVal>
            <c:numRef>
              <c:f>Stabilito!$C$132:$C$136</c:f>
              <c:numCache>
                <c:formatCode>0</c:formatCode>
                <c:ptCount val="5"/>
                <c:pt idx="0">
                  <c:v>-850</c:v>
                </c:pt>
                <c:pt idx="1">
                  <c:v>-1030</c:v>
                </c:pt>
                <c:pt idx="2">
                  <c:v>-1110</c:v>
                </c:pt>
                <c:pt idx="3">
                  <c:v>-1040</c:v>
                </c:pt>
                <c:pt idx="4">
                  <c:v>-850</c:v>
                </c:pt>
              </c:numCache>
            </c:numRef>
          </c:yVal>
          <c:smooth val="0"/>
          <c:extLst>
            <c:ext xmlns:c16="http://schemas.microsoft.com/office/drawing/2014/chart" uri="{C3380CC4-5D6E-409C-BE32-E72D297353CC}">
              <c16:uniqueId val="{00000003-F091-4909-B7A3-EF83D77F839F}"/>
            </c:ext>
          </c:extLst>
        </c:ser>
        <c:ser>
          <c:idx val="4"/>
          <c:order val="4"/>
          <c:tx>
            <c:strRef>
              <c:f>Stabilito!$B$13</c:f>
              <c:strCache>
                <c:ptCount val="1"/>
                <c:pt idx="0">
                  <c:v>Centre de Masse</c:v>
                </c:pt>
              </c:strCache>
            </c:strRef>
          </c:tx>
          <c:spPr>
            <a:ln w="25400">
              <a:solidFill>
                <a:srgbClr val="0000FF"/>
              </a:solidFill>
              <a:prstDash val="solid"/>
            </a:ln>
          </c:spPr>
          <c:marker>
            <c:symbol val="circle"/>
            <c:size val="5"/>
            <c:spPr>
              <a:solidFill>
                <a:srgbClr val="0000FF"/>
              </a:solidFill>
              <a:ln w="9525">
                <a:noFill/>
              </a:ln>
            </c:spPr>
          </c:marker>
          <c:dLbls>
            <c:dLbl>
              <c:idx val="1"/>
              <c:spPr>
                <a:noFill/>
                <a:ln w="25400">
                  <a:noFill/>
                </a:ln>
              </c:spPr>
              <c:txPr>
                <a:bodyPr/>
                <a:lstStyle/>
                <a:p>
                  <a:pPr>
                    <a:defRPr sz="800" b="0" i="0" u="none" strike="noStrike" baseline="0">
                      <a:solidFill>
                        <a:srgbClr val="0000FF"/>
                      </a:solidFill>
                      <a:latin typeface="Arial"/>
                      <a:ea typeface="Arial"/>
                      <a:cs typeface="Arial"/>
                    </a:defRPr>
                  </a:pPr>
                  <a:endParaRPr lang="fr-FR"/>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4-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Stabilito!$D$149:$D$150</c:f>
              <c:numCache>
                <c:formatCode>0</c:formatCode>
                <c:ptCount val="2"/>
                <c:pt idx="0">
                  <c:v>0</c:v>
                </c:pt>
                <c:pt idx="1">
                  <c:v>0</c:v>
                </c:pt>
              </c:numCache>
            </c:numRef>
          </c:xVal>
          <c:yVal>
            <c:numRef>
              <c:f>Stabilito!$C$149:$C$150</c:f>
              <c:numCache>
                <c:formatCode>0</c:formatCode>
                <c:ptCount val="2"/>
                <c:pt idx="0">
                  <c:v>-495.01209891601582</c:v>
                </c:pt>
                <c:pt idx="1">
                  <c:v>-495</c:v>
                </c:pt>
              </c:numCache>
            </c:numRef>
          </c:yVal>
          <c:smooth val="0"/>
          <c:extLst>
            <c:ext xmlns:c16="http://schemas.microsoft.com/office/drawing/2014/chart" uri="{C3380CC4-5D6E-409C-BE32-E72D297353CC}">
              <c16:uniqueId val="{00000005-F091-4909-B7A3-EF83D77F839F}"/>
            </c:ext>
          </c:extLst>
        </c:ser>
        <c:ser>
          <c:idx val="5"/>
          <c:order val="5"/>
          <c:tx>
            <c:strRef>
              <c:f>Stabilito!$F$28</c:f>
              <c:strCache>
                <c:ptCount val="1"/>
                <c:pt idx="0">
                  <c:v>Portance</c:v>
                </c:pt>
              </c:strCache>
            </c:strRef>
          </c:tx>
          <c:spPr>
            <a:ln w="25400">
              <a:solidFill>
                <a:srgbClr val="800000"/>
              </a:solidFill>
              <a:prstDash val="solid"/>
            </a:ln>
          </c:spPr>
          <c:marker>
            <c:symbol val="diamond"/>
            <c:size val="5"/>
            <c:spPr>
              <a:solidFill>
                <a:srgbClr val="800000"/>
              </a:solidFill>
              <a:ln>
                <a:solidFill>
                  <a:srgbClr val="800000"/>
                </a:solidFill>
                <a:prstDash val="solid"/>
              </a:ln>
            </c:spPr>
          </c:marker>
          <c:dLbls>
            <c:dLbl>
              <c:idx val="1"/>
              <c:spPr>
                <a:noFill/>
                <a:ln w="25400">
                  <a:noFill/>
                </a:ln>
              </c:spPr>
              <c:txPr>
                <a:bodyPr/>
                <a:lstStyle/>
                <a:p>
                  <a:pPr>
                    <a:defRPr sz="800" b="0" i="0" u="none" strike="noStrike" baseline="0">
                      <a:solidFill>
                        <a:srgbClr val="800000"/>
                      </a:solidFill>
                      <a:latin typeface="Arial"/>
                      <a:ea typeface="Arial"/>
                      <a:cs typeface="Arial"/>
                    </a:defRPr>
                  </a:pPr>
                  <a:endParaRPr lang="fr-FR"/>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6-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Stabilito!$D$151:$D$154</c:f>
              <c:numCache>
                <c:formatCode>0</c:formatCode>
                <c:ptCount val="4"/>
                <c:pt idx="0">
                  <c:v>0</c:v>
                </c:pt>
                <c:pt idx="1">
                  <c:v>108.6951459173211</c:v>
                </c:pt>
                <c:pt idx="2">
                  <c:v>108.6951459173211</c:v>
                </c:pt>
                <c:pt idx="3">
                  <c:v>0</c:v>
                </c:pt>
              </c:numCache>
            </c:numRef>
          </c:xVal>
          <c:yVal>
            <c:numRef>
              <c:f>Stabilito!$C$151:$C$154</c:f>
              <c:numCache>
                <c:formatCode>0</c:formatCode>
                <c:ptCount val="4"/>
                <c:pt idx="0">
                  <c:v>-836.17122860587619</c:v>
                </c:pt>
                <c:pt idx="1">
                  <c:v>-836.17122860587619</c:v>
                </c:pt>
                <c:pt idx="2">
                  <c:v>-836.17122860587619</c:v>
                </c:pt>
                <c:pt idx="3">
                  <c:v>-836.17122860587619</c:v>
                </c:pt>
              </c:numCache>
            </c:numRef>
          </c:yVal>
          <c:smooth val="0"/>
          <c:extLst>
            <c:ext xmlns:c16="http://schemas.microsoft.com/office/drawing/2014/chart" uri="{C3380CC4-5D6E-409C-BE32-E72D297353CC}">
              <c16:uniqueId val="{00000007-F091-4909-B7A3-EF83D77F839F}"/>
            </c:ext>
          </c:extLst>
        </c:ser>
        <c:ser>
          <c:idx val="6"/>
          <c:order val="6"/>
          <c:tx>
            <c:v>canard</c:v>
          </c:tx>
          <c:spPr>
            <a:ln w="25400">
              <a:solidFill>
                <a:srgbClr val="008000"/>
              </a:solidFill>
              <a:prstDash val="solid"/>
            </a:ln>
          </c:spPr>
          <c:marker>
            <c:symbol val="none"/>
          </c:marker>
          <c:xVal>
            <c:numRef>
              <c:f>Stabilito!$D$158:$D$162</c:f>
              <c:numCache>
                <c:formatCode>0</c:formatCode>
                <c:ptCount val="5"/>
                <c:pt idx="0">
                  <c:v>0</c:v>
                </c:pt>
                <c:pt idx="1">
                  <c:v>0</c:v>
                </c:pt>
                <c:pt idx="2">
                  <c:v>0</c:v>
                </c:pt>
                <c:pt idx="3">
                  <c:v>0</c:v>
                </c:pt>
                <c:pt idx="4">
                  <c:v>0</c:v>
                </c:pt>
              </c:numCache>
            </c:numRef>
          </c:xVal>
          <c:yVal>
            <c:numRef>
              <c:f>Stabilito!$C$158:$C$162</c:f>
              <c:numCache>
                <c:formatCode>0</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8-F091-4909-B7A3-EF83D77F839F}"/>
            </c:ext>
          </c:extLst>
        </c:ser>
        <c:ser>
          <c:idx val="7"/>
          <c:order val="7"/>
          <c:tx>
            <c:v>canard2</c:v>
          </c:tx>
          <c:spPr>
            <a:ln w="25400">
              <a:solidFill>
                <a:srgbClr val="008000"/>
              </a:solidFill>
              <a:prstDash val="solid"/>
            </a:ln>
          </c:spPr>
          <c:marker>
            <c:symbol val="none"/>
          </c:marker>
          <c:xVal>
            <c:numRef>
              <c:f>Stabilito!$E$158:$E$162</c:f>
              <c:numCache>
                <c:formatCode>0</c:formatCode>
                <c:ptCount val="5"/>
                <c:pt idx="0">
                  <c:v>0</c:v>
                </c:pt>
                <c:pt idx="1">
                  <c:v>0</c:v>
                </c:pt>
                <c:pt idx="2">
                  <c:v>0</c:v>
                </c:pt>
                <c:pt idx="3">
                  <c:v>0</c:v>
                </c:pt>
                <c:pt idx="4">
                  <c:v>0</c:v>
                </c:pt>
              </c:numCache>
            </c:numRef>
          </c:xVal>
          <c:yVal>
            <c:numRef>
              <c:f>Stabilito!$C$158:$C$162</c:f>
              <c:numCache>
                <c:formatCode>0</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9-F091-4909-B7A3-EF83D77F839F}"/>
            </c:ext>
          </c:extLst>
        </c:ser>
        <c:ser>
          <c:idx val="8"/>
          <c:order val="8"/>
          <c:tx>
            <c:v>masquage</c:v>
          </c:tx>
          <c:spPr>
            <a:ln w="25400">
              <a:solidFill>
                <a:srgbClr val="FF0000"/>
              </a:solidFill>
              <a:prstDash val="sysDash"/>
            </a:ln>
          </c:spPr>
          <c:marker>
            <c:symbol val="none"/>
          </c:marker>
          <c:xVal>
            <c:numRef>
              <c:f>Stabilito!$D$163:$D$167</c:f>
              <c:numCache>
                <c:formatCode>0</c:formatCode>
                <c:ptCount val="5"/>
                <c:pt idx="0">
                  <c:v>0</c:v>
                </c:pt>
                <c:pt idx="1">
                  <c:v>0</c:v>
                </c:pt>
                <c:pt idx="2">
                  <c:v>0</c:v>
                </c:pt>
                <c:pt idx="3">
                  <c:v>0</c:v>
                </c:pt>
                <c:pt idx="4">
                  <c:v>0</c:v>
                </c:pt>
              </c:numCache>
            </c:numRef>
          </c:xVal>
          <c:yVal>
            <c:numRef>
              <c:f>Stabilito!$C$163:$C$167</c:f>
              <c:numCache>
                <c:formatCode>0</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A-F091-4909-B7A3-EF83D77F839F}"/>
            </c:ext>
          </c:extLst>
        </c:ser>
        <c:ser>
          <c:idx val="9"/>
          <c:order val="9"/>
          <c:tx>
            <c:v>masquage2</c:v>
          </c:tx>
          <c:spPr>
            <a:ln w="25400">
              <a:solidFill>
                <a:srgbClr val="FF0000"/>
              </a:solidFill>
              <a:prstDash val="sysDash"/>
            </a:ln>
          </c:spPr>
          <c:marker>
            <c:symbol val="none"/>
          </c:marker>
          <c:xVal>
            <c:numRef>
              <c:f>Stabilito!$E$163:$E$167</c:f>
              <c:numCache>
                <c:formatCode>0</c:formatCode>
                <c:ptCount val="5"/>
                <c:pt idx="0">
                  <c:v>0</c:v>
                </c:pt>
                <c:pt idx="1">
                  <c:v>0</c:v>
                </c:pt>
                <c:pt idx="2">
                  <c:v>0</c:v>
                </c:pt>
                <c:pt idx="3">
                  <c:v>0</c:v>
                </c:pt>
                <c:pt idx="4">
                  <c:v>0</c:v>
                </c:pt>
              </c:numCache>
            </c:numRef>
          </c:xVal>
          <c:yVal>
            <c:numRef>
              <c:f>Stabilito!$C$163:$C$167</c:f>
              <c:numCache>
                <c:formatCode>0</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B-F091-4909-B7A3-EF83D77F839F}"/>
            </c:ext>
          </c:extLst>
        </c:ser>
        <c:ser>
          <c:idx val="10"/>
          <c:order val="10"/>
          <c:tx>
            <c:v>cadre</c:v>
          </c:tx>
          <c:spPr>
            <a:ln w="12700">
              <a:solidFill>
                <a:srgbClr val="FFFFFF"/>
              </a:solidFill>
              <a:prstDash val="solid"/>
            </a:ln>
          </c:spPr>
          <c:marker>
            <c:symbol val="none"/>
          </c:marker>
          <c:xVal>
            <c:numRef>
              <c:f>Stabilito!$D$168:$D$169</c:f>
              <c:numCache>
                <c:formatCode>0</c:formatCode>
                <c:ptCount val="2"/>
                <c:pt idx="0">
                  <c:v>373.33333333333331</c:v>
                </c:pt>
                <c:pt idx="1">
                  <c:v>-373.33333333333331</c:v>
                </c:pt>
              </c:numCache>
            </c:numRef>
          </c:xVal>
          <c:yVal>
            <c:numRef>
              <c:f>Stabilito!$C$168:$C$169</c:f>
              <c:numCache>
                <c:formatCode>0</c:formatCode>
                <c:ptCount val="2"/>
                <c:pt idx="0">
                  <c:v>-1131.2</c:v>
                </c:pt>
                <c:pt idx="1">
                  <c:v>-1131.2</c:v>
                </c:pt>
              </c:numCache>
            </c:numRef>
          </c:yVal>
          <c:smooth val="0"/>
          <c:extLst>
            <c:ext xmlns:c16="http://schemas.microsoft.com/office/drawing/2014/chart" uri="{C3380CC4-5D6E-409C-BE32-E72D297353CC}">
              <c16:uniqueId val="{0000000C-F091-4909-B7A3-EF83D77F839F}"/>
            </c:ext>
          </c:extLst>
        </c:ser>
        <c:ser>
          <c:idx val="11"/>
          <c:order val="11"/>
          <c:tx>
            <c:v>Propu</c:v>
          </c:tx>
          <c:spPr>
            <a:ln w="25400">
              <a:solidFill>
                <a:srgbClr val="FF00FF"/>
              </a:solidFill>
              <a:prstDash val="solid"/>
            </a:ln>
          </c:spPr>
          <c:marker>
            <c:symbol val="none"/>
          </c:marker>
          <c:xVal>
            <c:numRef>
              <c:f>Stabilito!$D$170:$D$174</c:f>
              <c:numCache>
                <c:formatCode>0</c:formatCode>
                <c:ptCount val="5"/>
                <c:pt idx="0">
                  <c:v>0</c:v>
                </c:pt>
                <c:pt idx="1">
                  <c:v>0</c:v>
                </c:pt>
                <c:pt idx="2">
                  <c:v>0</c:v>
                </c:pt>
                <c:pt idx="3">
                  <c:v>0</c:v>
                </c:pt>
                <c:pt idx="4">
                  <c:v>0</c:v>
                </c:pt>
              </c:numCache>
            </c:numRef>
          </c:xVal>
          <c:yVal>
            <c:numRef>
              <c:f>Stabilito!$C$170:$C$174</c:f>
              <c:numCache>
                <c:formatCode>0</c:formatCode>
                <c:ptCount val="5"/>
                <c:pt idx="0">
                  <c:v>-1110</c:v>
                </c:pt>
                <c:pt idx="1">
                  <c:v>-1110</c:v>
                </c:pt>
                <c:pt idx="2">
                  <c:v>-1110</c:v>
                </c:pt>
                <c:pt idx="3">
                  <c:v>-1110</c:v>
                </c:pt>
                <c:pt idx="4">
                  <c:v>-1110</c:v>
                </c:pt>
              </c:numCache>
            </c:numRef>
          </c:yVal>
          <c:smooth val="0"/>
          <c:extLst>
            <c:ext xmlns:c16="http://schemas.microsoft.com/office/drawing/2014/chart" uri="{C3380CC4-5D6E-409C-BE32-E72D297353CC}">
              <c16:uniqueId val="{0000000D-F091-4909-B7A3-EF83D77F839F}"/>
            </c:ext>
          </c:extLst>
        </c:ser>
        <c:ser>
          <c:idx val="12"/>
          <c:order val="12"/>
          <c:tx>
            <c:v>Cone</c:v>
          </c:tx>
          <c:spPr>
            <a:ln w="25400">
              <a:solidFill>
                <a:srgbClr val="800080"/>
              </a:solidFill>
              <a:prstDash val="solid"/>
            </a:ln>
          </c:spPr>
          <c:marker>
            <c:symbol val="none"/>
          </c:marker>
          <c:xVal>
            <c:numRef>
              <c:f>Stabilito!$D$175:$D$180</c:f>
              <c:numCache>
                <c:formatCode>0</c:formatCode>
                <c:ptCount val="6"/>
                <c:pt idx="0">
                  <c:v>0</c:v>
                </c:pt>
                <c:pt idx="1">
                  <c:v>4.2</c:v>
                </c:pt>
                <c:pt idx="2">
                  <c:v>10.5</c:v>
                </c:pt>
                <c:pt idx="3">
                  <c:v>21</c:v>
                </c:pt>
                <c:pt idx="4">
                  <c:v>31.5</c:v>
                </c:pt>
                <c:pt idx="5">
                  <c:v>42</c:v>
                </c:pt>
              </c:numCache>
            </c:numRef>
          </c:xVal>
          <c:yVal>
            <c:numRef>
              <c:f>Stabilito!$C$175:$C$180</c:f>
              <c:numCache>
                <c:formatCode>0</c:formatCode>
                <c:ptCount val="6"/>
                <c:pt idx="0">
                  <c:v>0</c:v>
                </c:pt>
                <c:pt idx="1">
                  <c:v>-0.1</c:v>
                </c:pt>
                <c:pt idx="2">
                  <c:v>-0.25</c:v>
                </c:pt>
                <c:pt idx="3">
                  <c:v>-0.5</c:v>
                </c:pt>
                <c:pt idx="4">
                  <c:v>-0.75</c:v>
                </c:pt>
                <c:pt idx="5">
                  <c:v>-1</c:v>
                </c:pt>
              </c:numCache>
            </c:numRef>
          </c:yVal>
          <c:smooth val="0"/>
          <c:extLst>
            <c:ext xmlns:c16="http://schemas.microsoft.com/office/drawing/2014/chart" uri="{C3380CC4-5D6E-409C-BE32-E72D297353CC}">
              <c16:uniqueId val="{0000000E-F091-4909-B7A3-EF83D77F839F}"/>
            </c:ext>
          </c:extLst>
        </c:ser>
        <c:ser>
          <c:idx val="13"/>
          <c:order val="13"/>
          <c:tx>
            <c:v>Cone1</c:v>
          </c:tx>
          <c:spPr>
            <a:ln w="25400">
              <a:solidFill>
                <a:srgbClr val="800080"/>
              </a:solidFill>
              <a:prstDash val="solid"/>
            </a:ln>
          </c:spPr>
          <c:marker>
            <c:symbol val="none"/>
          </c:marker>
          <c:xVal>
            <c:numRef>
              <c:f>Stabilito!$E$175:$E$180</c:f>
              <c:numCache>
                <c:formatCode>0</c:formatCode>
                <c:ptCount val="6"/>
                <c:pt idx="0">
                  <c:v>0</c:v>
                </c:pt>
                <c:pt idx="1">
                  <c:v>-4.2</c:v>
                </c:pt>
                <c:pt idx="2">
                  <c:v>-10.5</c:v>
                </c:pt>
                <c:pt idx="3">
                  <c:v>-21</c:v>
                </c:pt>
                <c:pt idx="4">
                  <c:v>-31.5</c:v>
                </c:pt>
                <c:pt idx="5">
                  <c:v>-42</c:v>
                </c:pt>
              </c:numCache>
            </c:numRef>
          </c:xVal>
          <c:yVal>
            <c:numRef>
              <c:f>Stabilito!$C$175:$C$180</c:f>
              <c:numCache>
                <c:formatCode>0</c:formatCode>
                <c:ptCount val="6"/>
                <c:pt idx="0">
                  <c:v>0</c:v>
                </c:pt>
                <c:pt idx="1">
                  <c:v>-0.1</c:v>
                </c:pt>
                <c:pt idx="2">
                  <c:v>-0.25</c:v>
                </c:pt>
                <c:pt idx="3">
                  <c:v>-0.5</c:v>
                </c:pt>
                <c:pt idx="4">
                  <c:v>-0.75</c:v>
                </c:pt>
                <c:pt idx="5">
                  <c:v>-1</c:v>
                </c:pt>
              </c:numCache>
            </c:numRef>
          </c:yVal>
          <c:smooth val="0"/>
          <c:extLst>
            <c:ext xmlns:c16="http://schemas.microsoft.com/office/drawing/2014/chart" uri="{C3380CC4-5D6E-409C-BE32-E72D297353CC}">
              <c16:uniqueId val="{0000000F-F091-4909-B7A3-EF83D77F839F}"/>
            </c:ext>
          </c:extLst>
        </c:ser>
        <c:ser>
          <c:idx val="14"/>
          <c:order val="14"/>
          <c:tx>
            <c:strRef>
              <c:f>Stabilito!$B$137</c:f>
              <c:strCache>
                <c:ptCount val="1"/>
                <c:pt idx="0">
                  <c:v>Envergure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b"/>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0-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Stabilito!$D$137:$D$139</c:f>
              <c:numCache>
                <c:formatCode>0</c:formatCode>
                <c:ptCount val="3"/>
                <c:pt idx="0">
                  <c:v>-197</c:v>
                </c:pt>
                <c:pt idx="1">
                  <c:v>-124.5</c:v>
                </c:pt>
                <c:pt idx="2">
                  <c:v>-52</c:v>
                </c:pt>
              </c:numCache>
            </c:numRef>
          </c:xVal>
          <c:yVal>
            <c:numRef>
              <c:f>Stabilito!$C$137:$C$139</c:f>
              <c:numCache>
                <c:formatCode>0</c:formatCode>
                <c:ptCount val="3"/>
                <c:pt idx="0">
                  <c:v>-1147.3333333333333</c:v>
                </c:pt>
                <c:pt idx="1">
                  <c:v>-1147.3333333333333</c:v>
                </c:pt>
                <c:pt idx="2">
                  <c:v>-1147.3333333333333</c:v>
                </c:pt>
              </c:numCache>
            </c:numRef>
          </c:yVal>
          <c:smooth val="0"/>
          <c:extLst>
            <c:ext xmlns:c16="http://schemas.microsoft.com/office/drawing/2014/chart" uri="{C3380CC4-5D6E-409C-BE32-E72D297353CC}">
              <c16:uniqueId val="{00000011-F091-4909-B7A3-EF83D77F839F}"/>
            </c:ext>
          </c:extLst>
        </c:ser>
        <c:ser>
          <c:idx val="15"/>
          <c:order val="15"/>
          <c:tx>
            <c:strRef>
              <c:f>Stabilito!$B$143</c:f>
              <c:strCache>
                <c:ptCount val="1"/>
                <c:pt idx="0">
                  <c:v>Flèche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2-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Stabilito!$D$143:$D$145</c:f>
              <c:numCache>
                <c:formatCode>0</c:formatCode>
                <c:ptCount val="3"/>
                <c:pt idx="0">
                  <c:v>-234.33333333333334</c:v>
                </c:pt>
                <c:pt idx="1">
                  <c:v>-234.33333333333334</c:v>
                </c:pt>
                <c:pt idx="2">
                  <c:v>-234.33333333333334</c:v>
                </c:pt>
              </c:numCache>
            </c:numRef>
          </c:xVal>
          <c:yVal>
            <c:numRef>
              <c:f>Stabilito!$C$143:$C$145</c:f>
              <c:numCache>
                <c:formatCode>0</c:formatCode>
                <c:ptCount val="3"/>
                <c:pt idx="0">
                  <c:v>-850</c:v>
                </c:pt>
                <c:pt idx="1">
                  <c:v>-940</c:v>
                </c:pt>
                <c:pt idx="2">
                  <c:v>-1030</c:v>
                </c:pt>
              </c:numCache>
            </c:numRef>
          </c:yVal>
          <c:smooth val="0"/>
          <c:extLst>
            <c:ext xmlns:c16="http://schemas.microsoft.com/office/drawing/2014/chart" uri="{C3380CC4-5D6E-409C-BE32-E72D297353CC}">
              <c16:uniqueId val="{00000013-F091-4909-B7A3-EF83D77F839F}"/>
            </c:ext>
          </c:extLst>
        </c:ser>
        <c:ser>
          <c:idx val="16"/>
          <c:order val="16"/>
          <c:tx>
            <c:strRef>
              <c:f>Stabilito!$B$146</c:f>
              <c:strCache>
                <c:ptCount val="1"/>
                <c:pt idx="0">
                  <c:v>Saumon</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4-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Stabilito!$D$146:$D$148</c:f>
              <c:numCache>
                <c:formatCode>0</c:formatCode>
                <c:ptCount val="3"/>
                <c:pt idx="0">
                  <c:v>-253</c:v>
                </c:pt>
                <c:pt idx="1">
                  <c:v>-253</c:v>
                </c:pt>
                <c:pt idx="2">
                  <c:v>-253</c:v>
                </c:pt>
              </c:numCache>
            </c:numRef>
          </c:xVal>
          <c:yVal>
            <c:numRef>
              <c:f>Stabilito!$C$146:$C$148</c:f>
              <c:numCache>
                <c:formatCode>0</c:formatCode>
                <c:ptCount val="3"/>
                <c:pt idx="0">
                  <c:v>-1030</c:v>
                </c:pt>
                <c:pt idx="1">
                  <c:v>-1070</c:v>
                </c:pt>
                <c:pt idx="2">
                  <c:v>-1110</c:v>
                </c:pt>
              </c:numCache>
            </c:numRef>
          </c:yVal>
          <c:smooth val="0"/>
          <c:extLst>
            <c:ext xmlns:c16="http://schemas.microsoft.com/office/drawing/2014/chart" uri="{C3380CC4-5D6E-409C-BE32-E72D297353CC}">
              <c16:uniqueId val="{00000015-F091-4909-B7A3-EF83D77F839F}"/>
            </c:ext>
          </c:extLst>
        </c:ser>
        <c:ser>
          <c:idx val="17"/>
          <c:order val="17"/>
          <c:tx>
            <c:strRef>
              <c:f>Stabilito!$B$140</c:f>
              <c:strCache>
                <c:ptCount val="1"/>
                <c:pt idx="0">
                  <c:v>Emplanture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6-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Stabilito!$D$140:$D$142</c:f>
              <c:numCache>
                <c:formatCode>0</c:formatCode>
                <c:ptCount val="3"/>
                <c:pt idx="0">
                  <c:v>253</c:v>
                </c:pt>
                <c:pt idx="1">
                  <c:v>253</c:v>
                </c:pt>
                <c:pt idx="2">
                  <c:v>253</c:v>
                </c:pt>
              </c:numCache>
            </c:numRef>
          </c:xVal>
          <c:yVal>
            <c:numRef>
              <c:f>Stabilito!$C$140:$C$142</c:f>
              <c:numCache>
                <c:formatCode>0</c:formatCode>
                <c:ptCount val="3"/>
                <c:pt idx="0">
                  <c:v>-850</c:v>
                </c:pt>
                <c:pt idx="1">
                  <c:v>-945</c:v>
                </c:pt>
                <c:pt idx="2">
                  <c:v>-1040</c:v>
                </c:pt>
              </c:numCache>
            </c:numRef>
          </c:yVal>
          <c:smooth val="0"/>
          <c:extLst>
            <c:ext xmlns:c16="http://schemas.microsoft.com/office/drawing/2014/chart" uri="{C3380CC4-5D6E-409C-BE32-E72D297353CC}">
              <c16:uniqueId val="{00000017-F091-4909-B7A3-EF83D77F839F}"/>
            </c:ext>
          </c:extLst>
        </c:ser>
        <c:ser>
          <c:idx val="18"/>
          <c:order val="18"/>
          <c:tx>
            <c:strRef>
              <c:f>Stabilito!$B$155</c:f>
              <c:strCache>
                <c:ptCount val="1"/>
                <c:pt idx="0">
                  <c:v>Marge Statique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8-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Stabilito!$D$155:$D$157</c:f>
              <c:numCache>
                <c:formatCode>0</c:formatCode>
                <c:ptCount val="3"/>
                <c:pt idx="0">
                  <c:v>-253</c:v>
                </c:pt>
                <c:pt idx="1">
                  <c:v>-253</c:v>
                </c:pt>
                <c:pt idx="2">
                  <c:v>-253</c:v>
                </c:pt>
              </c:numCache>
            </c:numRef>
          </c:xVal>
          <c:yVal>
            <c:numRef>
              <c:f>Stabilito!$C$155:$C$157</c:f>
              <c:numCache>
                <c:formatCode>0</c:formatCode>
                <c:ptCount val="3"/>
                <c:pt idx="0">
                  <c:v>-495.00604945800791</c:v>
                </c:pt>
                <c:pt idx="1">
                  <c:v>-665.58863903194208</c:v>
                </c:pt>
                <c:pt idx="2">
                  <c:v>-836.17122860587619</c:v>
                </c:pt>
              </c:numCache>
            </c:numRef>
          </c:yVal>
          <c:smooth val="0"/>
          <c:extLst>
            <c:ext xmlns:c16="http://schemas.microsoft.com/office/drawing/2014/chart" uri="{C3380CC4-5D6E-409C-BE32-E72D297353CC}">
              <c16:uniqueId val="{00000019-F091-4909-B7A3-EF83D77F839F}"/>
            </c:ext>
          </c:extLst>
        </c:ser>
        <c:dLbls>
          <c:showLegendKey val="0"/>
          <c:showVal val="0"/>
          <c:showCatName val="0"/>
          <c:showSerName val="0"/>
          <c:showPercent val="0"/>
          <c:showBubbleSize val="0"/>
        </c:dLbls>
        <c:axId val="148707200"/>
        <c:axId val="148708736"/>
      </c:scatterChart>
      <c:valAx>
        <c:axId val="148707200"/>
        <c:scaling>
          <c:orientation val="minMax"/>
        </c:scaling>
        <c:delete val="0"/>
        <c:axPos val="t"/>
        <c:numFmt formatCode="0" sourceLinked="1"/>
        <c:majorTickMark val="out"/>
        <c:minorTickMark val="none"/>
        <c:tickLblPos val="nextTo"/>
        <c:spPr>
          <a:ln w="3175">
            <a:solidFill>
              <a:srgbClr val="000000"/>
            </a:solidFill>
            <a:prstDash val="solid"/>
          </a:ln>
        </c:spPr>
        <c:txPr>
          <a:bodyPr rot="0" vert="horz"/>
          <a:lstStyle/>
          <a:p>
            <a:pPr>
              <a:defRPr sz="500" b="0" i="0" u="none" strike="noStrike" baseline="0">
                <a:solidFill>
                  <a:srgbClr val="000000"/>
                </a:solidFill>
                <a:latin typeface="Arial"/>
                <a:ea typeface="Arial"/>
                <a:cs typeface="Arial"/>
              </a:defRPr>
            </a:pPr>
            <a:endParaRPr lang="fr-FR"/>
          </a:p>
        </c:txPr>
        <c:crossAx val="148708736"/>
        <c:crosses val="max"/>
        <c:crossBetween val="midCat"/>
      </c:valAx>
      <c:valAx>
        <c:axId val="148708736"/>
        <c:scaling>
          <c:orientation val="minMax"/>
        </c:scaling>
        <c:delete val="0"/>
        <c:axPos val="r"/>
        <c:numFmt formatCode="0" sourceLinked="1"/>
        <c:majorTickMark val="out"/>
        <c:minorTickMark val="none"/>
        <c:tickLblPos val="nextTo"/>
        <c:spPr>
          <a:ln w="3175">
            <a:solidFill>
              <a:srgbClr val="000000"/>
            </a:solidFill>
            <a:prstDash val="solid"/>
          </a:ln>
        </c:spPr>
        <c:txPr>
          <a:bodyPr rot="0" vert="horz"/>
          <a:lstStyle/>
          <a:p>
            <a:pPr>
              <a:defRPr sz="500" b="0" i="0" u="none" strike="noStrike" baseline="0">
                <a:solidFill>
                  <a:srgbClr val="000000"/>
                </a:solidFill>
                <a:latin typeface="Arial"/>
                <a:ea typeface="Arial"/>
                <a:cs typeface="Arial"/>
              </a:defRPr>
            </a:pPr>
            <a:endParaRPr lang="fr-FR"/>
          </a:p>
        </c:txPr>
        <c:crossAx val="148707200"/>
        <c:crosses val="max"/>
        <c:crossBetween val="midCat"/>
      </c:valAx>
      <c:spPr>
        <a:noFill/>
        <a:ln w="25400">
          <a:noFill/>
        </a:ln>
      </c:spPr>
    </c:plotArea>
    <c:plotVisOnly val="1"/>
    <c:dispBlanksAs val="gap"/>
    <c:showDLblsOverMax val="0"/>
  </c:chart>
  <c:spPr>
    <a:solidFill>
      <a:srgbClr val="FFFFFF"/>
    </a:solidFill>
    <a:ln w="3175">
      <a:solidFill>
        <a:srgbClr val="000000"/>
      </a:solidFill>
      <a:prstDash val="solid"/>
    </a:ln>
  </c:spPr>
  <c:txPr>
    <a:bodyPr/>
    <a:lstStyle/>
    <a:p>
      <a:pPr>
        <a:defRPr sz="475"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49212598450000095" footer="0.49212598450000095"/>
    <c:pageSetup paperSize="9"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Stabilito!$B$117</c:f>
          <c:strCache>
            <c:ptCount val="1"/>
            <c:pt idx="0">
              <c:v>Diagramme des critères de stabilité</c:v>
            </c:pt>
          </c:strCache>
        </c:strRef>
      </c:tx>
      <c:layout>
        <c:manualLayout>
          <c:xMode val="edge"/>
          <c:yMode val="edge"/>
          <c:x val="0.19620910443519407"/>
          <c:y val="8.0214173228346466E-2"/>
        </c:manualLayout>
      </c:layout>
      <c:overlay val="0"/>
      <c:spPr>
        <a:solidFill>
          <a:srgbClr val="FFFFFF"/>
        </a:solidFill>
        <a:ln w="25400">
          <a:noFill/>
        </a:ln>
      </c:spPr>
      <c:txPr>
        <a:bodyPr/>
        <a:lstStyle/>
        <a:p>
          <a:pPr>
            <a:defRPr sz="1000" b="0"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4.5092838196286504E-2"/>
          <c:y val="5.8823683008029475E-2"/>
          <c:w val="0.93899204244031864"/>
          <c:h val="0.82887916965859743"/>
        </c:manualLayout>
      </c:layout>
      <c:scatterChart>
        <c:scatterStyle val="smoothMarker"/>
        <c:varyColors val="0"/>
        <c:ser>
          <c:idx val="0"/>
          <c:order val="0"/>
          <c:tx>
            <c:v>Cna min</c:v>
          </c:tx>
          <c:spPr>
            <a:ln w="12700">
              <a:solidFill>
                <a:srgbClr val="FF0000"/>
              </a:solidFill>
              <a:prstDash val="solid"/>
            </a:ln>
          </c:spPr>
          <c:marker>
            <c:symbol val="none"/>
          </c:marker>
          <c:xVal>
            <c:numRef>
              <c:f>Stabilito!$B$182:$B$183</c:f>
              <c:numCache>
                <c:formatCode>General</c:formatCode>
                <c:ptCount val="2"/>
                <c:pt idx="0">
                  <c:v>0</c:v>
                </c:pt>
                <c:pt idx="1">
                  <c:v>7</c:v>
                </c:pt>
              </c:numCache>
            </c:numRef>
          </c:xVal>
          <c:yVal>
            <c:numRef>
              <c:f>Stabilito!$C$182:$C$183</c:f>
              <c:numCache>
                <c:formatCode>General</c:formatCode>
                <c:ptCount val="2"/>
                <c:pt idx="0">
                  <c:v>15</c:v>
                </c:pt>
                <c:pt idx="1">
                  <c:v>15</c:v>
                </c:pt>
              </c:numCache>
            </c:numRef>
          </c:yVal>
          <c:smooth val="1"/>
          <c:extLst>
            <c:ext xmlns:c16="http://schemas.microsoft.com/office/drawing/2014/chart" uri="{C3380CC4-5D6E-409C-BE32-E72D297353CC}">
              <c16:uniqueId val="{00000000-DD97-4068-951F-4990D529CDCA}"/>
            </c:ext>
          </c:extLst>
        </c:ser>
        <c:ser>
          <c:idx val="1"/>
          <c:order val="1"/>
          <c:tx>
            <c:v>Cna max</c:v>
          </c:tx>
          <c:spPr>
            <a:ln w="12700">
              <a:solidFill>
                <a:srgbClr val="FF0000"/>
              </a:solidFill>
              <a:prstDash val="solid"/>
            </a:ln>
          </c:spPr>
          <c:marker>
            <c:symbol val="none"/>
          </c:marker>
          <c:xVal>
            <c:numRef>
              <c:f>Stabilito!$B$184:$B$185</c:f>
              <c:numCache>
                <c:formatCode>General</c:formatCode>
                <c:ptCount val="2"/>
                <c:pt idx="0">
                  <c:v>0</c:v>
                </c:pt>
                <c:pt idx="1">
                  <c:v>7</c:v>
                </c:pt>
              </c:numCache>
            </c:numRef>
          </c:xVal>
          <c:yVal>
            <c:numRef>
              <c:f>Stabilito!$C$184:$C$185</c:f>
              <c:numCache>
                <c:formatCode>General</c:formatCode>
                <c:ptCount val="2"/>
                <c:pt idx="0">
                  <c:v>40</c:v>
                </c:pt>
                <c:pt idx="1">
                  <c:v>40</c:v>
                </c:pt>
              </c:numCache>
            </c:numRef>
          </c:yVal>
          <c:smooth val="1"/>
          <c:extLst>
            <c:ext xmlns:c16="http://schemas.microsoft.com/office/drawing/2014/chart" uri="{C3380CC4-5D6E-409C-BE32-E72D297353CC}">
              <c16:uniqueId val="{00000001-DD97-4068-951F-4990D529CDCA}"/>
            </c:ext>
          </c:extLst>
        </c:ser>
        <c:ser>
          <c:idx val="2"/>
          <c:order val="2"/>
          <c:tx>
            <c:v>MS min</c:v>
          </c:tx>
          <c:spPr>
            <a:ln w="12700">
              <a:solidFill>
                <a:srgbClr val="FF0000"/>
              </a:solidFill>
              <a:prstDash val="solid"/>
            </a:ln>
          </c:spPr>
          <c:marker>
            <c:symbol val="none"/>
          </c:marker>
          <c:xVal>
            <c:numRef>
              <c:f>Stabilito!$B$186:$B$187</c:f>
              <c:numCache>
                <c:formatCode>General</c:formatCode>
                <c:ptCount val="2"/>
                <c:pt idx="0">
                  <c:v>2</c:v>
                </c:pt>
                <c:pt idx="1">
                  <c:v>2</c:v>
                </c:pt>
              </c:numCache>
            </c:numRef>
          </c:xVal>
          <c:yVal>
            <c:numRef>
              <c:f>Stabilito!$C$186:$C$187</c:f>
              <c:numCache>
                <c:formatCode>General</c:formatCode>
                <c:ptCount val="2"/>
                <c:pt idx="0">
                  <c:v>0</c:v>
                </c:pt>
                <c:pt idx="1">
                  <c:v>55</c:v>
                </c:pt>
              </c:numCache>
            </c:numRef>
          </c:yVal>
          <c:smooth val="1"/>
          <c:extLst>
            <c:ext xmlns:c16="http://schemas.microsoft.com/office/drawing/2014/chart" uri="{C3380CC4-5D6E-409C-BE32-E72D297353CC}">
              <c16:uniqueId val="{00000002-DD97-4068-951F-4990D529CDCA}"/>
            </c:ext>
          </c:extLst>
        </c:ser>
        <c:ser>
          <c:idx val="3"/>
          <c:order val="3"/>
          <c:tx>
            <c:v>MS max</c:v>
          </c:tx>
          <c:spPr>
            <a:ln w="12700">
              <a:solidFill>
                <a:srgbClr val="FF0000"/>
              </a:solidFill>
              <a:prstDash val="solid"/>
            </a:ln>
          </c:spPr>
          <c:marker>
            <c:symbol val="none"/>
          </c:marker>
          <c:xVal>
            <c:numRef>
              <c:f>Stabilito!$B$188:$B$189</c:f>
              <c:numCache>
                <c:formatCode>General</c:formatCode>
                <c:ptCount val="2"/>
                <c:pt idx="0">
                  <c:v>6</c:v>
                </c:pt>
                <c:pt idx="1">
                  <c:v>6</c:v>
                </c:pt>
              </c:numCache>
            </c:numRef>
          </c:xVal>
          <c:yVal>
            <c:numRef>
              <c:f>Stabilito!$C$188:$C$189</c:f>
              <c:numCache>
                <c:formatCode>General</c:formatCode>
                <c:ptCount val="2"/>
                <c:pt idx="0">
                  <c:v>0</c:v>
                </c:pt>
                <c:pt idx="1">
                  <c:v>55</c:v>
                </c:pt>
              </c:numCache>
            </c:numRef>
          </c:yVal>
          <c:smooth val="1"/>
          <c:extLst>
            <c:ext xmlns:c16="http://schemas.microsoft.com/office/drawing/2014/chart" uri="{C3380CC4-5D6E-409C-BE32-E72D297353CC}">
              <c16:uniqueId val="{00000003-DD97-4068-951F-4990D529CDCA}"/>
            </c:ext>
          </c:extLst>
        </c:ser>
        <c:ser>
          <c:idx val="5"/>
          <c:order val="6"/>
          <c:tx>
            <c:v>MS*Cna min</c:v>
          </c:tx>
          <c:spPr>
            <a:ln w="12700">
              <a:solidFill>
                <a:srgbClr val="FF0000"/>
              </a:solidFill>
              <a:prstDash val="solid"/>
            </a:ln>
          </c:spPr>
          <c:marker>
            <c:symbol val="none"/>
          </c:marker>
          <c:xVal>
            <c:numRef>
              <c:f>Stabilito!$D$182:$D$187</c:f>
              <c:numCache>
                <c:formatCode>General</c:formatCode>
                <c:ptCount val="6"/>
                <c:pt idx="0">
                  <c:v>0.5</c:v>
                </c:pt>
                <c:pt idx="1">
                  <c:v>1</c:v>
                </c:pt>
                <c:pt idx="2">
                  <c:v>2</c:v>
                </c:pt>
                <c:pt idx="3">
                  <c:v>3</c:v>
                </c:pt>
                <c:pt idx="4">
                  <c:v>5</c:v>
                </c:pt>
                <c:pt idx="5">
                  <c:v>7</c:v>
                </c:pt>
              </c:numCache>
            </c:numRef>
          </c:xVal>
          <c:yVal>
            <c:numRef>
              <c:f>Stabilito!$E$182:$E$187</c:f>
              <c:numCache>
                <c:formatCode>General</c:formatCode>
                <c:ptCount val="6"/>
                <c:pt idx="0">
                  <c:v>80</c:v>
                </c:pt>
                <c:pt idx="1">
                  <c:v>40</c:v>
                </c:pt>
                <c:pt idx="2">
                  <c:v>20</c:v>
                </c:pt>
                <c:pt idx="3">
                  <c:v>13.333333333333334</c:v>
                </c:pt>
                <c:pt idx="4">
                  <c:v>8</c:v>
                </c:pt>
                <c:pt idx="5">
                  <c:v>5.7142857142857144</c:v>
                </c:pt>
              </c:numCache>
            </c:numRef>
          </c:yVal>
          <c:smooth val="1"/>
          <c:extLst>
            <c:ext xmlns:c16="http://schemas.microsoft.com/office/drawing/2014/chart" uri="{C3380CC4-5D6E-409C-BE32-E72D297353CC}">
              <c16:uniqueId val="{00000004-DD97-4068-951F-4990D529CDCA}"/>
            </c:ext>
          </c:extLst>
        </c:ser>
        <c:ser>
          <c:idx val="6"/>
          <c:order val="7"/>
          <c:tx>
            <c:v>MS*Cna max</c:v>
          </c:tx>
          <c:spPr>
            <a:ln w="12700">
              <a:solidFill>
                <a:srgbClr val="FF0000"/>
              </a:solidFill>
              <a:prstDash val="solid"/>
            </a:ln>
          </c:spPr>
          <c:marker>
            <c:symbol val="none"/>
          </c:marker>
          <c:xVal>
            <c:numRef>
              <c:f>Stabilito!$D$188:$D$193</c:f>
              <c:numCache>
                <c:formatCode>General</c:formatCode>
                <c:ptCount val="6"/>
                <c:pt idx="0">
                  <c:v>1</c:v>
                </c:pt>
                <c:pt idx="1">
                  <c:v>2</c:v>
                </c:pt>
                <c:pt idx="2">
                  <c:v>3</c:v>
                </c:pt>
                <c:pt idx="3">
                  <c:v>4</c:v>
                </c:pt>
                <c:pt idx="4">
                  <c:v>6</c:v>
                </c:pt>
                <c:pt idx="5">
                  <c:v>7</c:v>
                </c:pt>
              </c:numCache>
            </c:numRef>
          </c:xVal>
          <c:yVal>
            <c:numRef>
              <c:f>Stabilito!$E$188:$E$193</c:f>
              <c:numCache>
                <c:formatCode>General</c:formatCode>
                <c:ptCount val="6"/>
                <c:pt idx="0">
                  <c:v>100</c:v>
                </c:pt>
                <c:pt idx="1">
                  <c:v>50</c:v>
                </c:pt>
                <c:pt idx="2">
                  <c:v>33.333333333333336</c:v>
                </c:pt>
                <c:pt idx="3">
                  <c:v>25</c:v>
                </c:pt>
                <c:pt idx="4">
                  <c:v>16.666666666666668</c:v>
                </c:pt>
                <c:pt idx="5">
                  <c:v>14.285714285714286</c:v>
                </c:pt>
              </c:numCache>
            </c:numRef>
          </c:yVal>
          <c:smooth val="1"/>
          <c:extLst>
            <c:ext xmlns:c16="http://schemas.microsoft.com/office/drawing/2014/chart" uri="{C3380CC4-5D6E-409C-BE32-E72D297353CC}">
              <c16:uniqueId val="{00000005-DD97-4068-951F-4990D529CDCA}"/>
            </c:ext>
          </c:extLst>
        </c:ser>
        <c:ser>
          <c:idx val="7"/>
          <c:order val="8"/>
          <c:tx>
            <c:v>Cna moy</c:v>
          </c:tx>
          <c:spPr>
            <a:ln w="12700">
              <a:solidFill>
                <a:srgbClr val="FF0000"/>
              </a:solidFill>
              <a:prstDash val="solid"/>
            </a:ln>
          </c:spPr>
          <c:marker>
            <c:symbol val="none"/>
          </c:marker>
          <c:xVal>
            <c:numRef>
              <c:f>Stabilito!$B$195:$B$196</c:f>
              <c:numCache>
                <c:formatCode>General</c:formatCode>
                <c:ptCount val="2"/>
                <c:pt idx="0">
                  <c:v>0</c:v>
                </c:pt>
                <c:pt idx="1">
                  <c:v>2</c:v>
                </c:pt>
              </c:numCache>
            </c:numRef>
          </c:xVal>
          <c:yVal>
            <c:numRef>
              <c:f>Stabilito!$C$195:$C$196</c:f>
              <c:numCache>
                <c:formatCode>General</c:formatCode>
                <c:ptCount val="2"/>
                <c:pt idx="0">
                  <c:v>27.5</c:v>
                </c:pt>
                <c:pt idx="1">
                  <c:v>27.5</c:v>
                </c:pt>
              </c:numCache>
            </c:numRef>
          </c:yVal>
          <c:smooth val="1"/>
          <c:extLst>
            <c:ext xmlns:c16="http://schemas.microsoft.com/office/drawing/2014/chart" uri="{C3380CC4-5D6E-409C-BE32-E72D297353CC}">
              <c16:uniqueId val="{00000006-DD97-4068-951F-4990D529CDCA}"/>
            </c:ext>
          </c:extLst>
        </c:ser>
        <c:ser>
          <c:idx val="8"/>
          <c:order val="9"/>
          <c:tx>
            <c:v>Cna moy2</c:v>
          </c:tx>
          <c:spPr>
            <a:ln w="12700">
              <a:solidFill>
                <a:srgbClr val="FF0000"/>
              </a:solidFill>
              <a:prstDash val="solid"/>
            </a:ln>
          </c:spPr>
          <c:marker>
            <c:symbol val="none"/>
          </c:marker>
          <c:xVal>
            <c:numRef>
              <c:f>Stabilito!$B$197:$B$198</c:f>
              <c:numCache>
                <c:formatCode>General</c:formatCode>
                <c:ptCount val="2"/>
                <c:pt idx="0">
                  <c:v>3.6363636363636362</c:v>
                </c:pt>
                <c:pt idx="1">
                  <c:v>7</c:v>
                </c:pt>
              </c:numCache>
            </c:numRef>
          </c:xVal>
          <c:yVal>
            <c:numRef>
              <c:f>Stabilito!$C$197:$C$198</c:f>
              <c:numCache>
                <c:formatCode>General</c:formatCode>
                <c:ptCount val="2"/>
                <c:pt idx="0">
                  <c:v>27.5</c:v>
                </c:pt>
                <c:pt idx="1">
                  <c:v>27.5</c:v>
                </c:pt>
              </c:numCache>
            </c:numRef>
          </c:yVal>
          <c:smooth val="1"/>
          <c:extLst>
            <c:ext xmlns:c16="http://schemas.microsoft.com/office/drawing/2014/chart" uri="{C3380CC4-5D6E-409C-BE32-E72D297353CC}">
              <c16:uniqueId val="{00000007-DD97-4068-951F-4990D529CDCA}"/>
            </c:ext>
          </c:extLst>
        </c:ser>
        <c:ser>
          <c:idx val="9"/>
          <c:order val="10"/>
          <c:tx>
            <c:v>MS moy</c:v>
          </c:tx>
          <c:spPr>
            <a:ln w="12700">
              <a:solidFill>
                <a:srgbClr val="FF0000"/>
              </a:solidFill>
              <a:prstDash val="solid"/>
            </a:ln>
          </c:spPr>
          <c:marker>
            <c:symbol val="none"/>
          </c:marker>
          <c:xVal>
            <c:numRef>
              <c:f>Stabilito!$B$199:$B$200</c:f>
              <c:numCache>
                <c:formatCode>General</c:formatCode>
                <c:ptCount val="2"/>
                <c:pt idx="0">
                  <c:v>4</c:v>
                </c:pt>
                <c:pt idx="1">
                  <c:v>4</c:v>
                </c:pt>
              </c:numCache>
            </c:numRef>
          </c:xVal>
          <c:yVal>
            <c:numRef>
              <c:f>Stabilito!$C$199:$C$200</c:f>
              <c:numCache>
                <c:formatCode>General</c:formatCode>
                <c:ptCount val="2"/>
                <c:pt idx="0">
                  <c:v>0</c:v>
                </c:pt>
                <c:pt idx="1">
                  <c:v>15</c:v>
                </c:pt>
              </c:numCache>
            </c:numRef>
          </c:yVal>
          <c:smooth val="1"/>
          <c:extLst>
            <c:ext xmlns:c16="http://schemas.microsoft.com/office/drawing/2014/chart" uri="{C3380CC4-5D6E-409C-BE32-E72D297353CC}">
              <c16:uniqueId val="{00000008-DD97-4068-951F-4990D529CDCA}"/>
            </c:ext>
          </c:extLst>
        </c:ser>
        <c:ser>
          <c:idx val="10"/>
          <c:order val="11"/>
          <c:tx>
            <c:v>MS moy2</c:v>
          </c:tx>
          <c:spPr>
            <a:ln w="12700">
              <a:solidFill>
                <a:srgbClr val="FF0000"/>
              </a:solidFill>
              <a:prstDash val="solid"/>
            </a:ln>
          </c:spPr>
          <c:marker>
            <c:symbol val="none"/>
          </c:marker>
          <c:xVal>
            <c:numRef>
              <c:f>Stabilito!$B$201:$B$202</c:f>
              <c:numCache>
                <c:formatCode>General</c:formatCode>
                <c:ptCount val="2"/>
                <c:pt idx="0">
                  <c:v>4</c:v>
                </c:pt>
                <c:pt idx="1">
                  <c:v>4</c:v>
                </c:pt>
              </c:numCache>
            </c:numRef>
          </c:xVal>
          <c:yVal>
            <c:numRef>
              <c:f>Stabilito!$C$201:$C$202</c:f>
              <c:numCache>
                <c:formatCode>General</c:formatCode>
                <c:ptCount val="2"/>
                <c:pt idx="0">
                  <c:v>25</c:v>
                </c:pt>
                <c:pt idx="1">
                  <c:v>55</c:v>
                </c:pt>
              </c:numCache>
            </c:numRef>
          </c:yVal>
          <c:smooth val="1"/>
          <c:extLst>
            <c:ext xmlns:c16="http://schemas.microsoft.com/office/drawing/2014/chart" uri="{C3380CC4-5D6E-409C-BE32-E72D297353CC}">
              <c16:uniqueId val="{00000009-DD97-4068-951F-4990D529CDCA}"/>
            </c:ext>
          </c:extLst>
        </c:ser>
        <c:dLbls>
          <c:showLegendKey val="0"/>
          <c:showVal val="0"/>
          <c:showCatName val="0"/>
          <c:showSerName val="0"/>
          <c:showPercent val="0"/>
          <c:showBubbleSize val="0"/>
        </c:dLbls>
        <c:axId val="148471168"/>
        <c:axId val="148481536"/>
      </c:scatterChart>
      <c:scatterChart>
        <c:scatterStyle val="lineMarker"/>
        <c:varyColors val="0"/>
        <c:ser>
          <c:idx val="4"/>
          <c:order val="4"/>
          <c:tx>
            <c:v>Fusée en cours</c:v>
          </c:tx>
          <c:spPr>
            <a:ln w="25400">
              <a:solidFill>
                <a:schemeClr val="tx1"/>
              </a:solidFill>
            </a:ln>
          </c:spPr>
          <c:marker>
            <c:symbol val="diamond"/>
            <c:size val="7"/>
            <c:spPr>
              <a:solidFill>
                <a:schemeClr val="tx1"/>
              </a:solidFill>
              <a:ln>
                <a:noFill/>
              </a:ln>
            </c:spPr>
          </c:marker>
          <c:xVal>
            <c:numRef>
              <c:f>Stabilito!$B$190:$B$193</c:f>
              <c:numCache>
                <c:formatCode>0.00</c:formatCode>
                <c:ptCount val="4"/>
                <c:pt idx="0">
                  <c:v>3.2803762470178883</c:v>
                </c:pt>
                <c:pt idx="1">
                  <c:v>3.2803762470178883</c:v>
                </c:pt>
                <c:pt idx="2">
                  <c:v>3.2804925827488094</c:v>
                </c:pt>
                <c:pt idx="3">
                  <c:v>3.2804925827488094</c:v>
                </c:pt>
              </c:numCache>
            </c:numRef>
          </c:xVal>
          <c:yVal>
            <c:numRef>
              <c:f>Stabilito!$C$190:$C$193</c:f>
              <c:numCache>
                <c:formatCode>0.00</c:formatCode>
                <c:ptCount val="4"/>
                <c:pt idx="0">
                  <c:v>15.677184507305929</c:v>
                </c:pt>
                <c:pt idx="1">
                  <c:v>15.677184507305929</c:v>
                </c:pt>
                <c:pt idx="2">
                  <c:v>15.677184507305929</c:v>
                </c:pt>
                <c:pt idx="3">
                  <c:v>15.677184507305929</c:v>
                </c:pt>
              </c:numCache>
            </c:numRef>
          </c:yVal>
          <c:smooth val="0"/>
          <c:extLst>
            <c:ext xmlns:c16="http://schemas.microsoft.com/office/drawing/2014/chart" uri="{C3380CC4-5D6E-409C-BE32-E72D297353CC}">
              <c16:uniqueId val="{0000000A-DD97-4068-951F-4990D529CDCA}"/>
            </c:ext>
          </c:extLst>
        </c:ser>
        <c:ser>
          <c:idx val="11"/>
          <c:order val="5"/>
          <c:tx>
            <c:v>Fusée en cours0</c:v>
          </c:tx>
          <c:spPr>
            <a:ln w="25400">
              <a:solidFill>
                <a:schemeClr val="tx1"/>
              </a:solidFill>
            </a:ln>
          </c:spPr>
          <c:marker>
            <c:symbol val="none"/>
          </c:marker>
          <c:xVal>
            <c:numRef>
              <c:f>Stabilito!$B$193:$B$194</c:f>
              <c:numCache>
                <c:formatCode>0.00</c:formatCode>
                <c:ptCount val="2"/>
                <c:pt idx="0">
                  <c:v>3.2804925827488094</c:v>
                </c:pt>
                <c:pt idx="1">
                  <c:v>3.2803762470178883</c:v>
                </c:pt>
              </c:numCache>
            </c:numRef>
          </c:xVal>
          <c:yVal>
            <c:numRef>
              <c:f>Stabilito!$C$193:$C$194</c:f>
              <c:numCache>
                <c:formatCode>0.00</c:formatCode>
                <c:ptCount val="2"/>
                <c:pt idx="0">
                  <c:v>15.677184507305929</c:v>
                </c:pt>
                <c:pt idx="1">
                  <c:v>15.677184507305929</c:v>
                </c:pt>
              </c:numCache>
            </c:numRef>
          </c:yVal>
          <c:smooth val="0"/>
          <c:extLst>
            <c:ext xmlns:c16="http://schemas.microsoft.com/office/drawing/2014/chart" uri="{C3380CC4-5D6E-409C-BE32-E72D297353CC}">
              <c16:uniqueId val="{0000000B-DD97-4068-951F-4990D529CDCA}"/>
            </c:ext>
          </c:extLst>
        </c:ser>
        <c:ser>
          <c:idx val="12"/>
          <c:order val="12"/>
          <c:tx>
            <c:strRef>
              <c:f>Stabilito!$U$29</c:f>
              <c:strCache>
                <c:ptCount val="1"/>
                <c:pt idx="0">
                  <c:v>OpenRocket</c:v>
                </c:pt>
              </c:strCache>
            </c:strRef>
          </c:tx>
          <c:xVal>
            <c:numRef>
              <c:f>Stabilito!$U$31:$U$32</c:f>
              <c:numCache>
                <c:formatCode>General</c:formatCode>
                <c:ptCount val="2"/>
                <c:pt idx="0">
                  <c:v>4.0199999999999996</c:v>
                </c:pt>
                <c:pt idx="1">
                  <c:v>3.89</c:v>
                </c:pt>
              </c:numCache>
            </c:numRef>
          </c:xVal>
          <c:yVal>
            <c:numRef>
              <c:f>Stabilito!$V$31:$V$32</c:f>
              <c:numCache>
                <c:formatCode>General</c:formatCode>
                <c:ptCount val="2"/>
                <c:pt idx="0">
                  <c:v>14.656000000000001</c:v>
                </c:pt>
                <c:pt idx="1">
                  <c:v>14.656000000000001</c:v>
                </c:pt>
              </c:numCache>
            </c:numRef>
          </c:yVal>
          <c:smooth val="0"/>
          <c:extLst>
            <c:ext xmlns:c16="http://schemas.microsoft.com/office/drawing/2014/chart" uri="{C3380CC4-5D6E-409C-BE32-E72D297353CC}">
              <c16:uniqueId val="{00000002-E137-474A-8196-CBD1A34BCA24}"/>
            </c:ext>
          </c:extLst>
        </c:ser>
        <c:dLbls>
          <c:showLegendKey val="0"/>
          <c:showVal val="0"/>
          <c:showCatName val="0"/>
          <c:showSerName val="0"/>
          <c:showPercent val="0"/>
          <c:showBubbleSize val="0"/>
        </c:dLbls>
        <c:axId val="148471168"/>
        <c:axId val="148481536"/>
      </c:scatterChart>
      <c:valAx>
        <c:axId val="148471168"/>
        <c:scaling>
          <c:orientation val="minMax"/>
          <c:max val="7"/>
          <c:min val="0"/>
        </c:scaling>
        <c:delete val="0"/>
        <c:axPos val="b"/>
        <c:title>
          <c:tx>
            <c:strRef>
              <c:f>Stabilito!$B$118</c:f>
              <c:strCache>
                <c:ptCount val="1"/>
                <c:pt idx="0">
                  <c:v>Marge Statique (MS)</c:v>
                </c:pt>
              </c:strCache>
            </c:strRef>
          </c:tx>
          <c:layout>
            <c:manualLayout>
              <c:xMode val="edge"/>
              <c:yMode val="edge"/>
              <c:x val="0.51717271009913568"/>
              <c:y val="0.73094047244094495"/>
            </c:manualLayout>
          </c:layout>
          <c:overlay val="0"/>
          <c:spPr>
            <a:solidFill>
              <a:srgbClr val="FFFFFF"/>
            </a:solidFill>
            <a:ln w="25400">
              <a:noFill/>
            </a:ln>
          </c:spPr>
          <c:txPr>
            <a:bodyPr/>
            <a:lstStyle/>
            <a:p>
              <a:pPr>
                <a:defRPr sz="1000" b="0" i="0" u="none" strike="noStrike" baseline="0">
                  <a:solidFill>
                    <a:srgbClr val="000000"/>
                  </a:solidFill>
                  <a:latin typeface="Calibri"/>
                  <a:ea typeface="Calibri"/>
                  <a:cs typeface="Calibri"/>
                </a:defRPr>
              </a:pPr>
              <a:endParaRPr lang="fr-FR"/>
            </a:p>
          </c:txPr>
        </c:title>
        <c:numFmt formatCode="General"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8481536"/>
        <c:crosses val="autoZero"/>
        <c:crossBetween val="midCat"/>
      </c:valAx>
      <c:valAx>
        <c:axId val="148481536"/>
        <c:scaling>
          <c:orientation val="minMax"/>
          <c:max val="55"/>
          <c:min val="0"/>
        </c:scaling>
        <c:delete val="0"/>
        <c:axPos val="l"/>
        <c:title>
          <c:tx>
            <c:strRef>
              <c:f>Stabilito!$B$119</c:f>
              <c:strCache>
                <c:ptCount val="1"/>
                <c:pt idx="0">
                  <c:v>Portance Cnα</c:v>
                </c:pt>
              </c:strCache>
            </c:strRef>
          </c:tx>
          <c:layout>
            <c:manualLayout>
              <c:xMode val="edge"/>
              <c:yMode val="edge"/>
              <c:x val="6.9119481083972797E-2"/>
              <c:y val="0.24099905511811029"/>
            </c:manualLayout>
          </c:layout>
          <c:overlay val="0"/>
          <c:spPr>
            <a:solidFill>
              <a:srgbClr val="FFFFFF"/>
            </a:solidFill>
            <a:ln w="25400">
              <a:noFill/>
            </a:ln>
          </c:spPr>
          <c:txPr>
            <a:bodyPr/>
            <a:lstStyle/>
            <a:p>
              <a:pPr>
                <a:defRPr sz="1000" b="0" i="0" u="none" strike="noStrike" baseline="0">
                  <a:solidFill>
                    <a:srgbClr val="000000"/>
                  </a:solidFill>
                  <a:latin typeface="Calibri"/>
                  <a:ea typeface="Calibri"/>
                  <a:cs typeface="Calibri"/>
                </a:defRPr>
              </a:pPr>
              <a:endParaRPr lang="fr-FR"/>
            </a:p>
          </c:txPr>
        </c:title>
        <c:numFmt formatCode="General"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8471168"/>
        <c:crosses val="autoZero"/>
        <c:crossBetween val="midCat"/>
      </c:valAx>
      <c:spPr>
        <a:no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475"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49212598450000095" footer="0.4921259845000009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Trajecto!$B$111</c:f>
          <c:strCache>
            <c:ptCount val="1"/>
            <c:pt idx="0">
              <c:v>Trajectoire (x z)</c:v>
            </c:pt>
          </c:strCache>
        </c:strRef>
      </c:tx>
      <c:layout>
        <c:manualLayout>
          <c:xMode val="edge"/>
          <c:yMode val="edge"/>
          <c:x val="0.66868786671936287"/>
          <c:y val="3.8575744069727136E-2"/>
        </c:manualLayout>
      </c:layout>
      <c:overlay val="0"/>
      <c:spPr>
        <a:noFill/>
        <a:ln w="25400">
          <a:noFill/>
        </a:ln>
      </c:spPr>
      <c:txPr>
        <a:bodyPr/>
        <a:lstStyle/>
        <a:p>
          <a:pPr>
            <a:defRPr sz="800" b="1" i="0" u="none" strike="noStrike" baseline="0">
              <a:solidFill>
                <a:srgbClr val="0000FF"/>
              </a:solidFill>
              <a:latin typeface="Arial"/>
              <a:ea typeface="Arial"/>
              <a:cs typeface="Arial"/>
            </a:defRPr>
          </a:pPr>
          <a:endParaRPr lang="fr-FR"/>
        </a:p>
      </c:txPr>
    </c:title>
    <c:autoTitleDeleted val="0"/>
    <c:plotArea>
      <c:layout>
        <c:manualLayout>
          <c:layoutTarget val="inner"/>
          <c:xMode val="edge"/>
          <c:yMode val="edge"/>
          <c:x val="6.9697175950449913E-2"/>
          <c:y val="3.5608360198500402E-2"/>
          <c:w val="0.89697235136230857"/>
          <c:h val="0.89614373166225958"/>
        </c:manualLayout>
      </c:layout>
      <c:scatterChart>
        <c:scatterStyle val="lineMarker"/>
        <c:varyColors val="0"/>
        <c:ser>
          <c:idx val="0"/>
          <c:order val="0"/>
          <c:tx>
            <c:v>Point invisible pour mise à l'echelle</c:v>
          </c:tx>
          <c:spPr>
            <a:ln w="3175">
              <a:solidFill>
                <a:srgbClr val="99CCFF"/>
              </a:solidFill>
              <a:prstDash val="solid"/>
            </a:ln>
          </c:spPr>
          <c:marker>
            <c:symbol val="none"/>
          </c:marker>
          <c:xVal>
            <c:numRef>
              <c:f>Trajecto!$B$121</c:f>
              <c:numCache>
                <c:formatCode>0</c:formatCode>
                <c:ptCount val="1"/>
                <c:pt idx="0">
                  <c:v>1251.5050472142614</c:v>
                </c:pt>
              </c:numCache>
            </c:numRef>
          </c:xVal>
          <c:yVal>
            <c:numRef>
              <c:f>Trajecto!$C$121</c:f>
              <c:numCache>
                <c:formatCode>0</c:formatCode>
                <c:ptCount val="1"/>
                <c:pt idx="0">
                  <c:v>1251.5050472142614</c:v>
                </c:pt>
              </c:numCache>
            </c:numRef>
          </c:yVal>
          <c:smooth val="1"/>
          <c:extLst>
            <c:ext xmlns:c16="http://schemas.microsoft.com/office/drawing/2014/chart" uri="{C3380CC4-5D6E-409C-BE32-E72D297353CC}">
              <c16:uniqueId val="{00000000-432A-49A9-9499-7ED3E32DDB07}"/>
            </c:ext>
          </c:extLst>
        </c:ser>
        <c:ser>
          <c:idx val="1"/>
          <c:order val="1"/>
          <c:tx>
            <c:v>1 point par seconde</c:v>
          </c:tx>
          <c:spPr>
            <a:ln w="28575">
              <a:noFill/>
            </a:ln>
          </c:spPr>
          <c:marker>
            <c:symbol val="plus"/>
            <c:size val="7"/>
            <c:spPr>
              <a:noFill/>
              <a:ln>
                <a:solidFill>
                  <a:srgbClr val="000000"/>
                </a:solidFill>
                <a:prstDash val="solid"/>
              </a:ln>
            </c:spPr>
          </c:marker>
          <c:xVal>
            <c:numRef>
              <c:f>Calculs!$AD$4:$AD$1004</c:f>
              <c:numCache>
                <c:formatCode>0</c:formatCode>
                <c:ptCount val="1001"/>
                <c:pt idx="0">
                  <c:v>133.2454606677656</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170.28025397052082</c:v>
                </c:pt>
                <c:pt idx="101">
                  <c:v>#N/A</c:v>
                </c:pt>
                <c:pt idx="102">
                  <c:v>#N/A</c:v>
                </c:pt>
                <c:pt idx="103">
                  <c:v>#N/A</c:v>
                </c:pt>
                <c:pt idx="104">
                  <c:v>#N/A</c:v>
                </c:pt>
                <c:pt idx="105">
                  <c:v>#N/A</c:v>
                </c:pt>
                <c:pt idx="106">
                  <c:v>#N/A</c:v>
                </c:pt>
                <c:pt idx="107">
                  <c:v>#N/A</c:v>
                </c:pt>
                <c:pt idx="108">
                  <c:v>#N/A</c:v>
                </c:pt>
                <c:pt idx="109">
                  <c:v>#N/A</c:v>
                </c:pt>
                <c:pt idx="110">
                  <c:v>204.07064014699577</c:v>
                </c:pt>
                <c:pt idx="111">
                  <c:v>#N/A</c:v>
                </c:pt>
                <c:pt idx="112">
                  <c:v>#N/A</c:v>
                </c:pt>
                <c:pt idx="113">
                  <c:v>#N/A</c:v>
                </c:pt>
                <c:pt idx="114">
                  <c:v>#N/A</c:v>
                </c:pt>
                <c:pt idx="115">
                  <c:v>#N/A</c:v>
                </c:pt>
                <c:pt idx="116">
                  <c:v>#N/A</c:v>
                </c:pt>
                <c:pt idx="117">
                  <c:v>#N/A</c:v>
                </c:pt>
                <c:pt idx="118">
                  <c:v>#N/A</c:v>
                </c:pt>
                <c:pt idx="119">
                  <c:v>#N/A</c:v>
                </c:pt>
                <c:pt idx="120">
                  <c:v>235.34250117616284</c:v>
                </c:pt>
                <c:pt idx="121">
                  <c:v>#N/A</c:v>
                </c:pt>
                <c:pt idx="122">
                  <c:v>#N/A</c:v>
                </c:pt>
                <c:pt idx="123">
                  <c:v>#N/A</c:v>
                </c:pt>
                <c:pt idx="124">
                  <c:v>#N/A</c:v>
                </c:pt>
                <c:pt idx="125">
                  <c:v>#N/A</c:v>
                </c:pt>
                <c:pt idx="126">
                  <c:v>#N/A</c:v>
                </c:pt>
                <c:pt idx="127">
                  <c:v>#N/A</c:v>
                </c:pt>
                <c:pt idx="128">
                  <c:v>#N/A</c:v>
                </c:pt>
                <c:pt idx="129">
                  <c:v>#N/A</c:v>
                </c:pt>
                <c:pt idx="130">
                  <c:v>264.64170019043667</c:v>
                </c:pt>
                <c:pt idx="131">
                  <c:v>#N/A</c:v>
                </c:pt>
                <c:pt idx="132">
                  <c:v>#N/A</c:v>
                </c:pt>
                <c:pt idx="133">
                  <c:v>#N/A</c:v>
                </c:pt>
                <c:pt idx="134">
                  <c:v>#N/A</c:v>
                </c:pt>
                <c:pt idx="135">
                  <c:v>#N/A</c:v>
                </c:pt>
                <c:pt idx="136">
                  <c:v>#N/A</c:v>
                </c:pt>
                <c:pt idx="137">
                  <c:v>#N/A</c:v>
                </c:pt>
                <c:pt idx="138">
                  <c:v>#N/A</c:v>
                </c:pt>
                <c:pt idx="139">
                  <c:v>#N/A</c:v>
                </c:pt>
                <c:pt idx="140">
                  <c:v>292.38056383807208</c:v>
                </c:pt>
                <c:pt idx="141">
                  <c:v>#N/A</c:v>
                </c:pt>
                <c:pt idx="142">
                  <c:v>#N/A</c:v>
                </c:pt>
                <c:pt idx="143">
                  <c:v>#N/A</c:v>
                </c:pt>
                <c:pt idx="144">
                  <c:v>#N/A</c:v>
                </c:pt>
                <c:pt idx="145">
                  <c:v>#N/A</c:v>
                </c:pt>
                <c:pt idx="146">
                  <c:v>#N/A</c:v>
                </c:pt>
                <c:pt idx="147">
                  <c:v>#N/A</c:v>
                </c:pt>
                <c:pt idx="148">
                  <c:v>#N/A</c:v>
                </c:pt>
                <c:pt idx="149">
                  <c:v>#N/A</c:v>
                </c:pt>
                <c:pt idx="150">
                  <c:v>318.88045858776013</c:v>
                </c:pt>
                <c:pt idx="151">
                  <c:v>#N/A</c:v>
                </c:pt>
                <c:pt idx="152">
                  <c:v>#N/A</c:v>
                </c:pt>
                <c:pt idx="153">
                  <c:v>#N/A</c:v>
                </c:pt>
                <c:pt idx="154">
                  <c:v>#N/A</c:v>
                </c:pt>
                <c:pt idx="155">
                  <c:v>#N/A</c:v>
                </c:pt>
                <c:pt idx="156">
                  <c:v>#N/A</c:v>
                </c:pt>
                <c:pt idx="157">
                  <c:v>#N/A</c:v>
                </c:pt>
                <c:pt idx="158">
                  <c:v>#N/A</c:v>
                </c:pt>
                <c:pt idx="159">
                  <c:v>#N/A</c:v>
                </c:pt>
                <c:pt idx="160">
                  <c:v>344.39820467857783</c:v>
                </c:pt>
                <c:pt idx="161">
                  <c:v>#N/A</c:v>
                </c:pt>
                <c:pt idx="162">
                  <c:v>#N/A</c:v>
                </c:pt>
                <c:pt idx="163">
                  <c:v>#N/A</c:v>
                </c:pt>
                <c:pt idx="164">
                  <c:v>#N/A</c:v>
                </c:pt>
                <c:pt idx="165">
                  <c:v>#N/A</c:v>
                </c:pt>
                <c:pt idx="166">
                  <c:v>#N/A</c:v>
                </c:pt>
                <c:pt idx="167">
                  <c:v>#N/A</c:v>
                </c:pt>
                <c:pt idx="168">
                  <c:v>#N/A</c:v>
                </c:pt>
                <c:pt idx="169">
                  <c:v>#N/A</c:v>
                </c:pt>
                <c:pt idx="170">
                  <c:v>369.14241507211102</c:v>
                </c:pt>
                <c:pt idx="171">
                  <c:v>#N/A</c:v>
                </c:pt>
                <c:pt idx="172">
                  <c:v>#N/A</c:v>
                </c:pt>
                <c:pt idx="173">
                  <c:v>#N/A</c:v>
                </c:pt>
                <c:pt idx="174">
                  <c:v>#N/A</c:v>
                </c:pt>
                <c:pt idx="175">
                  <c:v>#N/A</c:v>
                </c:pt>
                <c:pt idx="176">
                  <c:v>#N/A</c:v>
                </c:pt>
                <c:pt idx="177">
                  <c:v>#N/A</c:v>
                </c:pt>
                <c:pt idx="178">
                  <c:v>#N/A</c:v>
                </c:pt>
                <c:pt idx="179">
                  <c:v>#N/A</c:v>
                </c:pt>
                <c:pt idx="180">
                  <c:v>393.28239483619603</c:v>
                </c:pt>
                <c:pt idx="181">
                  <c:v>#N/A</c:v>
                </c:pt>
                <c:pt idx="182">
                  <c:v>#N/A</c:v>
                </c:pt>
                <c:pt idx="183">
                  <c:v>#N/A</c:v>
                </c:pt>
                <c:pt idx="184">
                  <c:v>#N/A</c:v>
                </c:pt>
                <c:pt idx="185">
                  <c:v>#N/A</c:v>
                </c:pt>
                <c:pt idx="186">
                  <c:v>#N/A</c:v>
                </c:pt>
                <c:pt idx="187">
                  <c:v>#N/A</c:v>
                </c:pt>
                <c:pt idx="188">
                  <c:v>#N/A</c:v>
                </c:pt>
                <c:pt idx="189">
                  <c:v>#N/A</c:v>
                </c:pt>
                <c:pt idx="190">
                  <c:v>416.94975399682141</c:v>
                </c:pt>
                <c:pt idx="191">
                  <c:v>#N/A</c:v>
                </c:pt>
                <c:pt idx="192">
                  <c:v>#N/A</c:v>
                </c:pt>
                <c:pt idx="193">
                  <c:v>#N/A</c:v>
                </c:pt>
                <c:pt idx="194">
                  <c:v>#N/A</c:v>
                </c:pt>
                <c:pt idx="195">
                  <c:v>#N/A</c:v>
                </c:pt>
                <c:pt idx="196">
                  <c:v>#N/A</c:v>
                </c:pt>
                <c:pt idx="197">
                  <c:v>#N/A</c:v>
                </c:pt>
                <c:pt idx="198">
                  <c:v>#N/A</c:v>
                </c:pt>
                <c:pt idx="199">
                  <c:v>#N/A</c:v>
                </c:pt>
                <c:pt idx="200">
                  <c:v>440.23148883763326</c:v>
                </c:pt>
                <c:pt idx="201">
                  <c:v>#N/A</c:v>
                </c:pt>
                <c:pt idx="202">
                  <c:v>#N/A</c:v>
                </c:pt>
                <c:pt idx="203">
                  <c:v>#N/A</c:v>
                </c:pt>
                <c:pt idx="204">
                  <c:v>#N/A</c:v>
                </c:pt>
                <c:pt idx="205">
                  <c:v>#N/A</c:v>
                </c:pt>
                <c:pt idx="206">
                  <c:v>#N/A</c:v>
                </c:pt>
                <c:pt idx="207">
                  <c:v>#N/A</c:v>
                </c:pt>
                <c:pt idx="208">
                  <c:v>#N/A</c:v>
                </c:pt>
                <c:pt idx="209">
                  <c:v>#N/A</c:v>
                </c:pt>
                <c:pt idx="210">
                  <c:v>463.1580070224781</c:v>
                </c:pt>
                <c:pt idx="211">
                  <c:v>#N/A</c:v>
                </c:pt>
                <c:pt idx="212">
                  <c:v>#N/A</c:v>
                </c:pt>
                <c:pt idx="213">
                  <c:v>#N/A</c:v>
                </c:pt>
                <c:pt idx="214">
                  <c:v>#N/A</c:v>
                </c:pt>
                <c:pt idx="215">
                  <c:v>#N/A</c:v>
                </c:pt>
                <c:pt idx="216">
                  <c:v>#N/A</c:v>
                </c:pt>
                <c:pt idx="217">
                  <c:v>#N/A</c:v>
                </c:pt>
                <c:pt idx="218">
                  <c:v>#N/A</c:v>
                </c:pt>
                <c:pt idx="219">
                  <c:v>#N/A</c:v>
                </c:pt>
                <c:pt idx="220">
                  <c:v>485.70178301526028</c:v>
                </c:pt>
                <c:pt idx="221">
                  <c:v>#N/A</c:v>
                </c:pt>
                <c:pt idx="222">
                  <c:v>#N/A</c:v>
                </c:pt>
                <c:pt idx="223">
                  <c:v>#N/A</c:v>
                </c:pt>
                <c:pt idx="224">
                  <c:v>#N/A</c:v>
                </c:pt>
                <c:pt idx="225">
                  <c:v>#N/A</c:v>
                </c:pt>
                <c:pt idx="226">
                  <c:v>#N/A</c:v>
                </c:pt>
                <c:pt idx="227">
                  <c:v>#N/A</c:v>
                </c:pt>
                <c:pt idx="228">
                  <c:v>#N/A</c:v>
                </c:pt>
                <c:pt idx="229">
                  <c:v>#N/A</c:v>
                </c:pt>
                <c:pt idx="230">
                  <c:v>507.79512845686969</c:v>
                </c:pt>
                <c:pt idx="231">
                  <c:v>#N/A</c:v>
                </c:pt>
                <c:pt idx="232">
                  <c:v>#N/A</c:v>
                </c:pt>
                <c:pt idx="233">
                  <c:v>#N/A</c:v>
                </c:pt>
                <c:pt idx="234">
                  <c:v>#N/A</c:v>
                </c:pt>
                <c:pt idx="235">
                  <c:v>#N/A</c:v>
                </c:pt>
                <c:pt idx="236">
                  <c:v>#N/A</c:v>
                </c:pt>
                <c:pt idx="237">
                  <c:v>#N/A</c:v>
                </c:pt>
                <c:pt idx="238">
                  <c:v>#N/A</c:v>
                </c:pt>
                <c:pt idx="239">
                  <c:v>#N/A</c:v>
                </c:pt>
                <c:pt idx="240">
                  <c:v>529.35239692952189</c:v>
                </c:pt>
                <c:pt idx="241">
                  <c:v>#N/A</c:v>
                </c:pt>
                <c:pt idx="242">
                  <c:v>#N/A</c:v>
                </c:pt>
                <c:pt idx="243">
                  <c:v>#N/A</c:v>
                </c:pt>
                <c:pt idx="244">
                  <c:v>#N/A</c:v>
                </c:pt>
                <c:pt idx="245">
                  <c:v>#N/A</c:v>
                </c:pt>
                <c:pt idx="246">
                  <c:v>#N/A</c:v>
                </c:pt>
                <c:pt idx="247">
                  <c:v>#N/A</c:v>
                </c:pt>
                <c:pt idx="248">
                  <c:v>#N/A</c:v>
                </c:pt>
                <c:pt idx="249">
                  <c:v>#N/A</c:v>
                </c:pt>
                <c:pt idx="250">
                  <c:v>550.28518964347529</c:v>
                </c:pt>
                <c:pt idx="251">
                  <c:v>#N/A</c:v>
                </c:pt>
                <c:pt idx="252">
                  <c:v>#N/A</c:v>
                </c:pt>
                <c:pt idx="253">
                  <c:v>#N/A</c:v>
                </c:pt>
                <c:pt idx="254">
                  <c:v>#N/A</c:v>
                </c:pt>
                <c:pt idx="255">
                  <c:v>#N/A</c:v>
                </c:pt>
                <c:pt idx="256">
                  <c:v>#N/A</c:v>
                </c:pt>
                <c:pt idx="257">
                  <c:v>#N/A</c:v>
                </c:pt>
                <c:pt idx="258">
                  <c:v>#N/A</c:v>
                </c:pt>
                <c:pt idx="259">
                  <c:v>#N/A</c:v>
                </c:pt>
                <c:pt idx="260">
                  <c:v>570.51098543903504</c:v>
                </c:pt>
                <c:pt idx="261">
                  <c:v>#N/A</c:v>
                </c:pt>
                <c:pt idx="262">
                  <c:v>#N/A</c:v>
                </c:pt>
                <c:pt idx="263">
                  <c:v>#N/A</c:v>
                </c:pt>
                <c:pt idx="264">
                  <c:v>#N/A</c:v>
                </c:pt>
                <c:pt idx="265">
                  <c:v>#N/A</c:v>
                </c:pt>
                <c:pt idx="266">
                  <c:v>#N/A</c:v>
                </c:pt>
                <c:pt idx="267">
                  <c:v>#N/A</c:v>
                </c:pt>
                <c:pt idx="268">
                  <c:v>#N/A</c:v>
                </c:pt>
                <c:pt idx="269">
                  <c:v>#N/A</c:v>
                </c:pt>
                <c:pt idx="270">
                  <c:v>589.95789700915179</c:v>
                </c:pt>
                <c:pt idx="271">
                  <c:v>#N/A</c:v>
                </c:pt>
                <c:pt idx="272">
                  <c:v>#N/A</c:v>
                </c:pt>
                <c:pt idx="273">
                  <c:v>#N/A</c:v>
                </c:pt>
                <c:pt idx="274">
                  <c:v>#N/A</c:v>
                </c:pt>
                <c:pt idx="275">
                  <c:v>#N/A</c:v>
                </c:pt>
                <c:pt idx="276">
                  <c:v>#N/A</c:v>
                </c:pt>
                <c:pt idx="277">
                  <c:v>#N/A</c:v>
                </c:pt>
                <c:pt idx="278">
                  <c:v>#N/A</c:v>
                </c:pt>
                <c:pt idx="279">
                  <c:v>#N/A</c:v>
                </c:pt>
                <c:pt idx="280">
                  <c:v>608.56717272883941</c:v>
                </c:pt>
                <c:pt idx="281">
                  <c:v>#N/A</c:v>
                </c:pt>
                <c:pt idx="282">
                  <c:v>#N/A</c:v>
                </c:pt>
                <c:pt idx="283">
                  <c:v>#N/A</c:v>
                </c:pt>
                <c:pt idx="284">
                  <c:v>#N/A</c:v>
                </c:pt>
                <c:pt idx="285">
                  <c:v>#N/A</c:v>
                </c:pt>
                <c:pt idx="286">
                  <c:v>#N/A</c:v>
                </c:pt>
                <c:pt idx="287">
                  <c:v>#N/A</c:v>
                </c:pt>
                <c:pt idx="288">
                  <c:v>#N/A</c:v>
                </c:pt>
                <c:pt idx="289">
                  <c:v>#N/A</c:v>
                </c:pt>
                <c:pt idx="290">
                  <c:v>626.29425240847809</c:v>
                </c:pt>
                <c:pt idx="291">
                  <c:v>#N/A</c:v>
                </c:pt>
                <c:pt idx="292">
                  <c:v>#N/A</c:v>
                </c:pt>
                <c:pt idx="293">
                  <c:v>#N/A</c:v>
                </c:pt>
                <c:pt idx="294">
                  <c:v>#N/A</c:v>
                </c:pt>
                <c:pt idx="295">
                  <c:v>#N/A</c:v>
                </c:pt>
                <c:pt idx="296">
                  <c:v>#N/A</c:v>
                </c:pt>
                <c:pt idx="297">
                  <c:v>#N/A</c:v>
                </c:pt>
                <c:pt idx="298">
                  <c:v>#N/A</c:v>
                </c:pt>
                <c:pt idx="299">
                  <c:v>#N/A</c:v>
                </c:pt>
                <c:pt idx="300">
                  <c:v>643.10882212241802</c:v>
                </c:pt>
                <c:pt idx="301">
                  <c:v>#N/A</c:v>
                </c:pt>
                <c:pt idx="302">
                  <c:v>#N/A</c:v>
                </c:pt>
                <c:pt idx="303">
                  <c:v>#N/A</c:v>
                </c:pt>
                <c:pt idx="304">
                  <c:v>#N/A</c:v>
                </c:pt>
                <c:pt idx="305">
                  <c:v>#N/A</c:v>
                </c:pt>
                <c:pt idx="306">
                  <c:v>#N/A</c:v>
                </c:pt>
                <c:pt idx="307">
                  <c:v>#N/A</c:v>
                </c:pt>
                <c:pt idx="308">
                  <c:v>#N/A</c:v>
                </c:pt>
                <c:pt idx="309">
                  <c:v>#N/A</c:v>
                </c:pt>
                <c:pt idx="310">
                  <c:v>658.99416146707529</c:v>
                </c:pt>
                <c:pt idx="311">
                  <c:v>#N/A</c:v>
                </c:pt>
                <c:pt idx="312">
                  <c:v>#N/A</c:v>
                </c:pt>
                <c:pt idx="313">
                  <c:v>#N/A</c:v>
                </c:pt>
                <c:pt idx="314">
                  <c:v>#N/A</c:v>
                </c:pt>
                <c:pt idx="315">
                  <c:v>#N/A</c:v>
                </c:pt>
                <c:pt idx="316">
                  <c:v>#N/A</c:v>
                </c:pt>
                <c:pt idx="317">
                  <c:v>#N/A</c:v>
                </c:pt>
                <c:pt idx="318">
                  <c:v>#N/A</c:v>
                </c:pt>
                <c:pt idx="319">
                  <c:v>#N/A</c:v>
                </c:pt>
                <c:pt idx="320">
                  <c:v>673.94600632837444</c:v>
                </c:pt>
                <c:pt idx="321">
                  <c:v>#N/A</c:v>
                </c:pt>
                <c:pt idx="322">
                  <c:v>#N/A</c:v>
                </c:pt>
                <c:pt idx="323">
                  <c:v>#N/A</c:v>
                </c:pt>
                <c:pt idx="324">
                  <c:v>#N/A</c:v>
                </c:pt>
                <c:pt idx="325">
                  <c:v>#N/A</c:v>
                </c:pt>
                <c:pt idx="326">
                  <c:v>#N/A</c:v>
                </c:pt>
                <c:pt idx="327">
                  <c:v>#N/A</c:v>
                </c:pt>
                <c:pt idx="328">
                  <c:v>#N/A</c:v>
                </c:pt>
                <c:pt idx="329">
                  <c:v>#N/A</c:v>
                </c:pt>
                <c:pt idx="330">
                  <c:v>687.97110816123075</c:v>
                </c:pt>
                <c:pt idx="331">
                  <c:v>#N/A</c:v>
                </c:pt>
                <c:pt idx="332">
                  <c:v>#N/A</c:v>
                </c:pt>
                <c:pt idx="333">
                  <c:v>#N/A</c:v>
                </c:pt>
                <c:pt idx="334">
                  <c:v>#N/A</c:v>
                </c:pt>
                <c:pt idx="335">
                  <c:v>#N/A</c:v>
                </c:pt>
                <c:pt idx="336">
                  <c:v>#N/A</c:v>
                </c:pt>
                <c:pt idx="337">
                  <c:v>#N/A</c:v>
                </c:pt>
                <c:pt idx="338">
                  <c:v>#N/A</c:v>
                </c:pt>
                <c:pt idx="339">
                  <c:v>#N/A</c:v>
                </c:pt>
                <c:pt idx="340">
                  <c:v>701.08563727032254</c:v>
                </c:pt>
                <c:pt idx="341">
                  <c:v>#N/A</c:v>
                </c:pt>
                <c:pt idx="342">
                  <c:v>#N/A</c:v>
                </c:pt>
                <c:pt idx="343">
                  <c:v>#N/A</c:v>
                </c:pt>
                <c:pt idx="344">
                  <c:v>#N/A</c:v>
                </c:pt>
                <c:pt idx="345">
                  <c:v>#N/A</c:v>
                </c:pt>
                <c:pt idx="346">
                  <c:v>#N/A</c:v>
                </c:pt>
                <c:pt idx="347">
                  <c:v>#N/A</c:v>
                </c:pt>
                <c:pt idx="348">
                  <c:v>#N/A</c:v>
                </c:pt>
                <c:pt idx="349">
                  <c:v>#N/A</c:v>
                </c:pt>
                <c:pt idx="350">
                  <c:v>713.31354665948641</c:v>
                </c:pt>
                <c:pt idx="351">
                  <c:v>#N/A</c:v>
                </c:pt>
                <c:pt idx="352">
                  <c:v>#N/A</c:v>
                </c:pt>
                <c:pt idx="353">
                  <c:v>#N/A</c:v>
                </c:pt>
                <c:pt idx="354">
                  <c:v>#N/A</c:v>
                </c:pt>
                <c:pt idx="355">
                  <c:v>#N/A</c:v>
                </c:pt>
                <c:pt idx="356">
                  <c:v>#N/A</c:v>
                </c:pt>
                <c:pt idx="357">
                  <c:v>#N/A</c:v>
                </c:pt>
                <c:pt idx="358">
                  <c:v>#N/A</c:v>
                </c:pt>
                <c:pt idx="359">
                  <c:v>#N/A</c:v>
                </c:pt>
                <c:pt idx="360">
                  <c:v>724.68498391712455</c:v>
                </c:pt>
                <c:pt idx="361">
                  <c:v>#N/A</c:v>
                </c:pt>
                <c:pt idx="362">
                  <c:v>#N/A</c:v>
                </c:pt>
                <c:pt idx="363">
                  <c:v>#N/A</c:v>
                </c:pt>
                <c:pt idx="364">
                  <c:v>#N/A</c:v>
                </c:pt>
                <c:pt idx="365">
                  <c:v>#N/A</c:v>
                </c:pt>
                <c:pt idx="366">
                  <c:v>#N/A</c:v>
                </c:pt>
                <c:pt idx="367">
                  <c:v>#N/A</c:v>
                </c:pt>
                <c:pt idx="368">
                  <c:v>#N/A</c:v>
                </c:pt>
                <c:pt idx="369">
                  <c:v>#N/A</c:v>
                </c:pt>
                <c:pt idx="370">
                  <c:v>735.23481217445942</c:v>
                </c:pt>
                <c:pt idx="371">
                  <c:v>#N/A</c:v>
                </c:pt>
                <c:pt idx="372">
                  <c:v>#N/A</c:v>
                </c:pt>
                <c:pt idx="373">
                  <c:v>#N/A</c:v>
                </c:pt>
                <c:pt idx="374">
                  <c:v>#N/A</c:v>
                </c:pt>
                <c:pt idx="375">
                  <c:v>#N/A</c:v>
                </c:pt>
                <c:pt idx="376">
                  <c:v>#N/A</c:v>
                </c:pt>
                <c:pt idx="377">
                  <c:v>#N/A</c:v>
                </c:pt>
                <c:pt idx="378">
                  <c:v>#N/A</c:v>
                </c:pt>
                <c:pt idx="379">
                  <c:v>#N/A</c:v>
                </c:pt>
                <c:pt idx="380">
                  <c:v>745.00127839078061</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xVal>
          <c:yVal>
            <c:numRef>
              <c:f>Calculs!$K$4:$K$1004</c:f>
              <c:numCache>
                <c:formatCode>0.00</c:formatCode>
                <c:ptCount val="1001"/>
                <c:pt idx="0">
                  <c:v>574.95818926659933</c:v>
                </c:pt>
                <c:pt idx="1">
                  <c:v>576.4607643084081</c:v>
                </c:pt>
                <c:pt idx="2">
                  <c:v>577.96072910699593</c:v>
                </c:pt>
                <c:pt idx="3">
                  <c:v>579.45808951357935</c:v>
                </c:pt>
                <c:pt idx="4">
                  <c:v>580.95285135471443</c:v>
                </c:pt>
                <c:pt idx="5">
                  <c:v>582.44502043243335</c:v>
                </c:pt>
                <c:pt idx="6">
                  <c:v>583.93460252438092</c:v>
                </c:pt>
                <c:pt idx="7">
                  <c:v>585.42160338394922</c:v>
                </c:pt>
                <c:pt idx="8">
                  <c:v>586.90602874041213</c:v>
                </c:pt>
                <c:pt idx="9">
                  <c:v>588.38788429905833</c:v>
                </c:pt>
                <c:pt idx="10">
                  <c:v>589.86717574132354</c:v>
                </c:pt>
                <c:pt idx="11">
                  <c:v>591.34390871555877</c:v>
                </c:pt>
                <c:pt idx="12">
                  <c:v>592.81808882797088</c:v>
                </c:pt>
                <c:pt idx="13">
                  <c:v>594.28972165246091</c:v>
                </c:pt>
                <c:pt idx="14">
                  <c:v>595.75881274028313</c:v>
                </c:pt>
                <c:pt idx="15">
                  <c:v>597.22536762016443</c:v>
                </c:pt>
                <c:pt idx="16">
                  <c:v>598.68939179842289</c:v>
                </c:pt>
                <c:pt idx="17">
                  <c:v>600.15089075908588</c:v>
                </c:pt>
                <c:pt idx="18">
                  <c:v>601.60986996400663</c:v>
                </c:pt>
                <c:pt idx="19">
                  <c:v>603.06633485298096</c:v>
                </c:pt>
                <c:pt idx="20">
                  <c:v>604.52029084386231</c:v>
                </c:pt>
                <c:pt idx="21">
                  <c:v>605.97174333735904</c:v>
                </c:pt>
                <c:pt idx="22">
                  <c:v>607.42069772174682</c:v>
                </c:pt>
                <c:pt idx="23">
                  <c:v>608.86715936813198</c:v>
                </c:pt>
                <c:pt idx="24">
                  <c:v>610.31113362580095</c:v>
                </c:pt>
                <c:pt idx="25">
                  <c:v>611.75262582233609</c:v>
                </c:pt>
                <c:pt idx="26">
                  <c:v>613.19164126373039</c:v>
                </c:pt>
                <c:pt idx="27">
                  <c:v>614.62818523450153</c:v>
                </c:pt>
                <c:pt idx="28">
                  <c:v>616.06226299780565</c:v>
                </c:pt>
                <c:pt idx="29">
                  <c:v>617.49387979554967</c:v>
                </c:pt>
                <c:pt idx="30">
                  <c:v>618.92304084850332</c:v>
                </c:pt>
                <c:pt idx="31">
                  <c:v>620.34975135641002</c:v>
                </c:pt>
                <c:pt idx="32">
                  <c:v>621.77401649809769</c:v>
                </c:pt>
                <c:pt idx="33">
                  <c:v>623.19584143158795</c:v>
                </c:pt>
                <c:pt idx="34">
                  <c:v>624.6152312942055</c:v>
                </c:pt>
                <c:pt idx="35">
                  <c:v>626.03219120268602</c:v>
                </c:pt>
                <c:pt idx="36">
                  <c:v>627.44672625328383</c:v>
                </c:pt>
                <c:pt idx="37">
                  <c:v>628.8588415218785</c:v>
                </c:pt>
                <c:pt idx="38">
                  <c:v>630.26854206408109</c:v>
                </c:pt>
                <c:pt idx="39">
                  <c:v>631.67583291533936</c:v>
                </c:pt>
                <c:pt idx="40">
                  <c:v>633.08071909104274</c:v>
                </c:pt>
                <c:pt idx="41">
                  <c:v>634.48320558662613</c:v>
                </c:pt>
                <c:pt idx="42">
                  <c:v>635.8832973776731</c:v>
                </c:pt>
                <c:pt idx="43">
                  <c:v>637.2809994200187</c:v>
                </c:pt>
                <c:pt idx="44">
                  <c:v>638.6763166498514</c:v>
                </c:pt>
                <c:pt idx="45">
                  <c:v>640.06925398381429</c:v>
                </c:pt>
                <c:pt idx="46">
                  <c:v>641.45981631910593</c:v>
                </c:pt>
                <c:pt idx="47">
                  <c:v>642.84800853358001</c:v>
                </c:pt>
                <c:pt idx="48">
                  <c:v>644.23383548584502</c:v>
                </c:pt>
                <c:pt idx="49">
                  <c:v>645.61730201536272</c:v>
                </c:pt>
                <c:pt idx="50">
                  <c:v>646.998412942546</c:v>
                </c:pt>
                <c:pt idx="51">
                  <c:v>648.37717306885679</c:v>
                </c:pt>
                <c:pt idx="52">
                  <c:v>649.75358717690233</c:v>
                </c:pt>
                <c:pt idx="53">
                  <c:v>651.12766003053162</c:v>
                </c:pt>
                <c:pt idx="54">
                  <c:v>652.49939637493071</c:v>
                </c:pt>
                <c:pt idx="55">
                  <c:v>653.86880093671789</c:v>
                </c:pt>
                <c:pt idx="56">
                  <c:v>655.23587842403765</c:v>
                </c:pt>
                <c:pt idx="57">
                  <c:v>656.60063352665475</c:v>
                </c:pt>
                <c:pt idx="58">
                  <c:v>657.96307091604695</c:v>
                </c:pt>
                <c:pt idx="59">
                  <c:v>659.32319524549769</c:v>
                </c:pt>
                <c:pt idx="60">
                  <c:v>660.68101115018783</c:v>
                </c:pt>
                <c:pt idx="61">
                  <c:v>662.03652324728705</c:v>
                </c:pt>
                <c:pt idx="62">
                  <c:v>663.3897361360448</c:v>
                </c:pt>
                <c:pt idx="63">
                  <c:v>664.74065439787989</c:v>
                </c:pt>
                <c:pt idx="64">
                  <c:v>666.08928259647064</c:v>
                </c:pt>
                <c:pt idx="65">
                  <c:v>667.43562527784343</c:v>
                </c:pt>
                <c:pt idx="66">
                  <c:v>668.7796869704614</c:v>
                </c:pt>
                <c:pt idx="67">
                  <c:v>670.12147218531209</c:v>
                </c:pt>
                <c:pt idx="68">
                  <c:v>671.46098541599486</c:v>
                </c:pt>
                <c:pt idx="69">
                  <c:v>672.79823113880786</c:v>
                </c:pt>
                <c:pt idx="70">
                  <c:v>674.13321381283379</c:v>
                </c:pt>
                <c:pt idx="71">
                  <c:v>675.46593788002588</c:v>
                </c:pt>
                <c:pt idx="72">
                  <c:v>676.796407765293</c:v>
                </c:pt>
                <c:pt idx="73">
                  <c:v>678.12462787658399</c:v>
                </c:pt>
                <c:pt idx="74">
                  <c:v>679.45060260497189</c:v>
                </c:pt>
                <c:pt idx="75">
                  <c:v>680.77433632473753</c:v>
                </c:pt>
                <c:pt idx="76">
                  <c:v>682.09583339345238</c:v>
                </c:pt>
                <c:pt idx="77">
                  <c:v>683.41509815206109</c:v>
                </c:pt>
                <c:pt idx="78">
                  <c:v>684.73213492496325</c:v>
                </c:pt>
                <c:pt idx="79">
                  <c:v>686.04694802009521</c:v>
                </c:pt>
                <c:pt idx="80">
                  <c:v>687.35954172901086</c:v>
                </c:pt>
                <c:pt idx="81">
                  <c:v>688.66992032696169</c:v>
                </c:pt>
                <c:pt idx="82">
                  <c:v>689.97808807297724</c:v>
                </c:pt>
                <c:pt idx="83">
                  <c:v>691.28404920994433</c:v>
                </c:pt>
                <c:pt idx="84">
                  <c:v>692.58780796468591</c:v>
                </c:pt>
                <c:pt idx="85">
                  <c:v>693.88936854803956</c:v>
                </c:pt>
                <c:pt idx="86">
                  <c:v>695.18873515493533</c:v>
                </c:pt>
                <c:pt idx="87">
                  <c:v>696.48591196447353</c:v>
                </c:pt>
                <c:pt idx="88">
                  <c:v>697.78090314000133</c:v>
                </c:pt>
                <c:pt idx="89">
                  <c:v>699.07371282918962</c:v>
                </c:pt>
                <c:pt idx="90">
                  <c:v>700.36434516410873</c:v>
                </c:pt>
                <c:pt idx="91">
                  <c:v>701.65280426130437</c:v>
                </c:pt>
                <c:pt idx="92">
                  <c:v>702.93909422187232</c:v>
                </c:pt>
                <c:pt idx="93">
                  <c:v>704.22321913153348</c:v>
                </c:pt>
                <c:pt idx="94">
                  <c:v>705.50518306070762</c:v>
                </c:pt>
                <c:pt idx="95">
                  <c:v>706.78499006458765</c:v>
                </c:pt>
                <c:pt idx="96">
                  <c:v>708.06264418321234</c:v>
                </c:pt>
                <c:pt idx="97">
                  <c:v>709.3381494415396</c:v>
                </c:pt>
                <c:pt idx="98">
                  <c:v>710.6115098495186</c:v>
                </c:pt>
                <c:pt idx="99">
                  <c:v>711.88272940216177</c:v>
                </c:pt>
                <c:pt idx="100">
                  <c:v>713.15181207961643</c:v>
                </c:pt>
                <c:pt idx="101">
                  <c:v>725.72541786762235</c:v>
                </c:pt>
                <c:pt idx="102">
                  <c:v>738.08788525748264</c:v>
                </c:pt>
                <c:pt idx="103">
                  <c:v>750.2430521902437</c:v>
                </c:pt>
                <c:pt idx="104">
                  <c:v>762.1946170601999</c:v>
                </c:pt>
                <c:pt idx="105">
                  <c:v>773.94614515619912</c:v>
                </c:pt>
                <c:pt idx="106">
                  <c:v>785.50107472710852</c:v>
                </c:pt>
                <c:pt idx="107">
                  <c:v>796.8627226974711</c:v>
                </c:pt>
                <c:pt idx="108">
                  <c:v>808.03429005729367</c:v>
                </c:pt>
                <c:pt idx="109">
                  <c:v>819.01886694800919</c:v>
                </c:pt>
                <c:pt idx="110">
                  <c:v>829.81943746492709</c:v>
                </c:pt>
                <c:pt idx="111">
                  <c:v>840.43888419490906</c:v>
                </c:pt>
                <c:pt idx="112">
                  <c:v>850.87999250657367</c:v>
                </c:pt>
                <c:pt idx="113">
                  <c:v>861.14545460901888</c:v>
                </c:pt>
                <c:pt idx="114">
                  <c:v>871.2378733938541</c:v>
                </c:pt>
                <c:pt idx="115">
                  <c:v>881.15976607423579</c:v>
                </c:pt>
                <c:pt idx="116">
                  <c:v>890.91356763359624</c:v>
                </c:pt>
                <c:pt idx="117">
                  <c:v>900.50163409583297</c:v>
                </c:pt>
                <c:pt idx="118">
                  <c:v>909.92624562788183</c:v>
                </c:pt>
                <c:pt idx="119">
                  <c:v>919.18960948482049</c:v>
                </c:pt>
                <c:pt idx="120">
                  <c:v>928.29386280693427</c:v>
                </c:pt>
                <c:pt idx="121">
                  <c:v>937.24107527751994</c:v>
                </c:pt>
                <c:pt idx="122">
                  <c:v>946.0332516495987</c:v>
                </c:pt>
                <c:pt idx="123">
                  <c:v>954.67233414915154</c:v>
                </c:pt>
                <c:pt idx="124">
                  <c:v>963.16020476197571</c:v>
                </c:pt>
                <c:pt idx="125">
                  <c:v>971.49868741078672</c:v>
                </c:pt>
                <c:pt idx="126">
                  <c:v>979.689550028751</c:v>
                </c:pt>
                <c:pt idx="127">
                  <c:v>987.73450653522946</c:v>
                </c:pt>
                <c:pt idx="128">
                  <c:v>995.63521871913645</c:v>
                </c:pt>
                <c:pt idx="129">
                  <c:v>1003.3932980349711</c:v>
                </c:pt>
                <c:pt idx="130">
                  <c:v>1011.0103073162556</c:v>
                </c:pt>
                <c:pt idx="131">
                  <c:v>1018.4877624108186</c:v>
                </c:pt>
                <c:pt idx="132">
                  <c:v>1025.8271337420806</c:v>
                </c:pt>
                <c:pt idx="133">
                  <c:v>1033.0298478002455</c:v>
                </c:pt>
                <c:pt idx="134">
                  <c:v>1040.0972885670628</c:v>
                </c:pt>
                <c:pt idx="135">
                  <c:v>1047.0307988775985</c:v>
                </c:pt>
                <c:pt idx="136">
                  <c:v>1053.8316817222535</c:v>
                </c:pt>
                <c:pt idx="137">
                  <c:v>1060.5012014920705</c:v>
                </c:pt>
                <c:pt idx="138">
                  <c:v>1067.040585170196</c:v>
                </c:pt>
                <c:pt idx="139">
                  <c:v>1073.451023472192</c:v>
                </c:pt>
                <c:pt idx="140">
                  <c:v>1079.7336719377458</c:v>
                </c:pt>
                <c:pt idx="141">
                  <c:v>1085.8896519761738</c:v>
                </c:pt>
                <c:pt idx="142">
                  <c:v>1091.9200518679845</c:v>
                </c:pt>
                <c:pt idx="143">
                  <c:v>1097.825927724643</c:v>
                </c:pt>
                <c:pt idx="144">
                  <c:v>1103.6083044085585</c:v>
                </c:pt>
                <c:pt idx="145">
                  <c:v>1109.2681764152117</c:v>
                </c:pt>
                <c:pt idx="146">
                  <c:v>1114.8065087192344</c:v>
                </c:pt>
                <c:pt idx="147">
                  <c:v>1120.2242375861679</c:v>
                </c:pt>
                <c:pt idx="148">
                  <c:v>1125.5222713515259</c:v>
                </c:pt>
                <c:pt idx="149">
                  <c:v>1130.7014911687254</c:v>
                </c:pt>
                <c:pt idx="150">
                  <c:v>1135.7627517273568</c:v>
                </c:pt>
                <c:pt idx="151">
                  <c:v>1140.7068819432088</c:v>
                </c:pt>
                <c:pt idx="152">
                  <c:v>1145.5346856213951</c:v>
                </c:pt>
                <c:pt idx="153">
                  <c:v>1150.2469420938705</c:v>
                </c:pt>
                <c:pt idx="154">
                  <c:v>1154.8444068325782</c:v>
                </c:pt>
                <c:pt idx="155">
                  <c:v>1159.3278120394136</c:v>
                </c:pt>
                <c:pt idx="156">
                  <c:v>1163.6978672141579</c:v>
                </c:pt>
                <c:pt idx="157">
                  <c:v>1167.9552597014863</c:v>
                </c:pt>
                <c:pt idx="158">
                  <c:v>1172.100655218135</c:v>
                </c:pt>
                <c:pt idx="159">
                  <c:v>1176.1346983612727</c:v>
                </c:pt>
                <c:pt idx="160">
                  <c:v>1180.0580130991107</c:v>
                </c:pt>
                <c:pt idx="161">
                  <c:v>1183.8712032447586</c:v>
                </c:pt>
                <c:pt idx="162">
                  <c:v>1187.574852914332</c:v>
                </c:pt>
                <c:pt idx="163">
                  <c:v>1191.1695269703032</c:v>
                </c:pt>
                <c:pt idx="164">
                  <c:v>1194.6557714510941</c:v>
                </c:pt>
                <c:pt idx="165">
                  <c:v>1198.0341139879129</c:v>
                </c:pt>
                <c:pt idx="166">
                  <c:v>1201.3050642098508</c:v>
                </c:pt>
                <c:pt idx="167">
                  <c:v>1204.469114138278</c:v>
                </c:pt>
                <c:pt idx="168">
                  <c:v>1207.5267385716029</c:v>
                </c:pt>
                <c:pt idx="169">
                  <c:v>1210.4783954614975</c:v>
                </c:pt>
                <c:pt idx="170">
                  <c:v>1213.3245262817375</c:v>
                </c:pt>
                <c:pt idx="171">
                  <c:v>1216.0655563908572</c:v>
                </c:pt>
                <c:pt idx="172">
                  <c:v>1218.7018953898848</c:v>
                </c:pt>
                <c:pt idx="173">
                  <c:v>1221.2339374764977</c:v>
                </c:pt>
                <c:pt idx="174">
                  <c:v>1223.6620617970166</c:v>
                </c:pt>
                <c:pt idx="175">
                  <c:v>1225.986632797755</c:v>
                </c:pt>
                <c:pt idx="176">
                  <c:v>1228.2080005773382</c:v>
                </c:pt>
                <c:pt idx="177">
                  <c:v>1230.3265012417176</c:v>
                </c:pt>
                <c:pt idx="178">
                  <c:v>1232.3424572637227</c:v>
                </c:pt>
                <c:pt idx="179">
                  <c:v>1234.2561778491124</c:v>
                </c:pt>
                <c:pt idx="180">
                  <c:v>1236.0679593112077</c:v>
                </c:pt>
                <c:pt idx="181">
                  <c:v>1237.7780854563041</c:v>
                </c:pt>
                <c:pt idx="182">
                  <c:v>1239.3868279821681</c:v>
                </c:pt>
                <c:pt idx="183">
                  <c:v>1240.894446892004</c:v>
                </c:pt>
                <c:pt idx="184">
                  <c:v>1242.30119092634</c:v>
                </c:pt>
                <c:pt idx="185">
                  <c:v>1243.607298015294</c:v>
                </c:pt>
                <c:pt idx="186">
                  <c:v>1244.8129957536416</c:v>
                </c:pt>
                <c:pt idx="187">
                  <c:v>1245.9185019010076</c:v>
                </c:pt>
                <c:pt idx="188">
                  <c:v>1246.9240249093009</c:v>
                </c:pt>
                <c:pt idx="189">
                  <c:v>1247.8297644792301</c:v>
                </c:pt>
                <c:pt idx="190">
                  <c:v>1248.6359121473317</c:v>
                </c:pt>
                <c:pt idx="191">
                  <c:v>1249.3426519044181</c:v>
                </c:pt>
                <c:pt idx="192">
                  <c:v>1249.9501608457081</c:v>
                </c:pt>
                <c:pt idx="193">
                  <c:v>1250.4586098521379</c:v>
                </c:pt>
                <c:pt idx="194">
                  <c:v>1250.8681643014875</c:v>
                </c:pt>
                <c:pt idx="195">
                  <c:v>1251.1789848070164</c:v>
                </c:pt>
                <c:pt idx="196">
                  <c:v>1251.3912279803328</c:v>
                </c:pt>
                <c:pt idx="197">
                  <c:v>1251.5050472142614</c:v>
                </c:pt>
                <c:pt idx="198">
                  <c:v>1251.5205934805861</c:v>
                </c:pt>
                <c:pt idx="199">
                  <c:v>1251.4380161367837</c:v>
                </c:pt>
                <c:pt idx="200">
                  <c:v>1251.2574637352866</c:v>
                </c:pt>
                <c:pt idx="201">
                  <c:v>1250.9790848284513</c:v>
                </c:pt>
                <c:pt idx="202">
                  <c:v>1250.6030287623121</c:v>
                </c:pt>
                <c:pt idx="203">
                  <c:v>1250.1294464523469</c:v>
                </c:pt>
                <c:pt idx="204">
                  <c:v>1249.5584911348919</c:v>
                </c:pt>
                <c:pt idx="205">
                  <c:v>1248.8903190884614</c:v>
                </c:pt>
                <c:pt idx="206">
                  <c:v>1248.1250903200237</c:v>
                </c:pt>
                <c:pt idx="207">
                  <c:v>1247.2629692121948</c:v>
                </c:pt>
                <c:pt idx="208">
                  <c:v>1246.304125128288</c:v>
                </c:pt>
                <c:pt idx="209">
                  <c:v>1245.2487329731259</c:v>
                </c:pt>
                <c:pt idx="210">
                  <c:v>1244.0969737084629</c:v>
                </c:pt>
                <c:pt idx="211">
                  <c:v>1242.8490348227042</c:v>
                </c:pt>
                <c:pt idx="212">
                  <c:v>1241.5051107553631</c:v>
                </c:pt>
                <c:pt idx="213">
                  <c:v>1240.0654032773039</c:v>
                </c:pt>
                <c:pt idx="214">
                  <c:v>1238.5301218283196</c:v>
                </c:pt>
                <c:pt idx="215">
                  <c:v>1236.8994838139611</c:v>
                </c:pt>
                <c:pt idx="216">
                  <c:v>1235.1737148637885</c:v>
                </c:pt>
                <c:pt idx="217">
                  <c:v>1233.3530490533772</c:v>
                </c:pt>
                <c:pt idx="218">
                  <c:v>1231.4377290924838</c:v>
                </c:pt>
                <c:pt idx="219">
                  <c:v>1229.4280064817851</c:v>
                </c:pt>
                <c:pt idx="220">
                  <c:v>1227.3241416405558</c:v>
                </c:pt>
                <c:pt idx="221">
                  <c:v>1225.1264040075689</c:v>
                </c:pt>
                <c:pt idx="222">
                  <c:v>1222.8350721173897</c:v>
                </c:pt>
                <c:pt idx="223">
                  <c:v>1220.4504336541058</c:v>
                </c:pt>
                <c:pt idx="224">
                  <c:v>1217.9727854843968</c:v>
                </c:pt>
                <c:pt idx="225">
                  <c:v>1215.4024336717055</c:v>
                </c:pt>
                <c:pt idx="226">
                  <c:v>1212.7396934731328</c:v>
                </c:pt>
                <c:pt idx="227">
                  <c:v>1209.9848893205415</c:v>
                </c:pt>
                <c:pt idx="228">
                  <c:v>1207.1383547872249</c:v>
                </c:pt>
                <c:pt idx="229">
                  <c:v>1204.2004325413748</c:v>
                </c:pt>
                <c:pt idx="230">
                  <c:v>1201.1714742874713</c:v>
                </c:pt>
                <c:pt idx="231">
                  <c:v>1198.0518406966148</c:v>
                </c:pt>
                <c:pt idx="232">
                  <c:v>1194.8419013267237</c:v>
                </c:pt>
                <c:pt idx="233">
                  <c:v>1191.5420345334394</c:v>
                </c:pt>
                <c:pt idx="234">
                  <c:v>1188.1526273725015</c:v>
                </c:pt>
                <c:pt idx="235">
                  <c:v>1184.6740754942884</c:v>
                </c:pt>
                <c:pt idx="236">
                  <c:v>1181.1067830311554</c:v>
                </c:pt>
                <c:pt idx="237">
                  <c:v>1177.4511624781483</c:v>
                </c:pt>
                <c:pt idx="238">
                  <c:v>1173.7076345676226</c:v>
                </c:pt>
                <c:pt idx="239">
                  <c:v>1169.8766281382507</c:v>
                </c:pt>
                <c:pt idx="240">
                  <c:v>1165.9585799988668</c:v>
                </c:pt>
                <c:pt idx="241">
                  <c:v>1161.9539347875575</c:v>
                </c:pt>
                <c:pt idx="242">
                  <c:v>1157.8631448263832</c:v>
                </c:pt>
                <c:pt idx="243">
                  <c:v>1153.6866699720788</c:v>
                </c:pt>
                <c:pt idx="244">
                  <c:v>1149.4249774630684</c:v>
                </c:pt>
                <c:pt idx="245">
                  <c:v>1145.0785417630982</c:v>
                </c:pt>
                <c:pt idx="246">
                  <c:v>1140.6478444017757</c:v>
                </c:pt>
                <c:pt idx="247">
                  <c:v>1136.1333738122892</c:v>
                </c:pt>
                <c:pt idx="248">
                  <c:v>1131.5356251665596</c:v>
                </c:pt>
                <c:pt idx="249">
                  <c:v>1126.8551002080681</c:v>
                </c:pt>
                <c:pt idx="250">
                  <c:v>1122.0923070825875</c:v>
                </c:pt>
                <c:pt idx="251">
                  <c:v>1117.2477601670366</c:v>
                </c:pt>
                <c:pt idx="252">
                  <c:v>1112.3219798966618</c:v>
                </c:pt>
                <c:pt idx="253">
                  <c:v>1107.3154925907465</c:v>
                </c:pt>
                <c:pt idx="254">
                  <c:v>1102.2288302770373</c:v>
                </c:pt>
                <c:pt idx="255">
                  <c:v>1097.0625305150661</c:v>
                </c:pt>
                <c:pt idx="256">
                  <c:v>1091.8171362185449</c:v>
                </c:pt>
                <c:pt idx="257">
                  <c:v>1086.4931954769988</c:v>
                </c:pt>
                <c:pt idx="258">
                  <c:v>1081.0912613767996</c:v>
                </c:pt>
                <c:pt idx="259">
                  <c:v>1075.6118918217528</c:v>
                </c:pt>
                <c:pt idx="260">
                  <c:v>1070.0556493533909</c:v>
                </c:pt>
                <c:pt idx="261">
                  <c:v>1064.4231009711141</c:v>
                </c:pt>
                <c:pt idx="262">
                  <c:v>1058.714817952319</c:v>
                </c:pt>
                <c:pt idx="263">
                  <c:v>1052.9313756726506</c:v>
                </c:pt>
                <c:pt idx="264">
                  <c:v>1047.0733534265064</c:v>
                </c:pt>
                <c:pt idx="265">
                  <c:v>1041.1413342479179</c:v>
                </c:pt>
                <c:pt idx="266">
                  <c:v>1035.135904731932</c:v>
                </c:pt>
                <c:pt idx="267">
                  <c:v>1029.0576548566089</c:v>
                </c:pt>
                <c:pt idx="268">
                  <c:v>1022.9071778057489</c:v>
                </c:pt>
                <c:pt idx="269">
                  <c:v>1016.685069792459</c:v>
                </c:pt>
                <c:pt idx="270">
                  <c:v>1010.3919298836631</c:v>
                </c:pt>
                <c:pt idx="271">
                  <c:v>1004.0283598256586</c:v>
                </c:pt>
                <c:pt idx="272">
                  <c:v>997.59496387081708</c:v>
                </c:pt>
                <c:pt idx="273">
                  <c:v>991.09234860552283</c:v>
                </c:pt>
                <c:pt idx="274">
                  <c:v>984.52112277944161</c:v>
                </c:pt>
                <c:pt idx="275">
                  <c:v>977.88189713620557</c:v>
                </c:pt>
                <c:pt idx="276">
                  <c:v>971.17528424559862</c:v>
                </c:pt>
                <c:pt idx="277">
                  <c:v>964.40189833732336</c:v>
                </c:pt>
                <c:pt idx="278">
                  <c:v>957.56235513642582</c:v>
                </c:pt>
                <c:pt idx="279">
                  <c:v>950.65727170045216</c:v>
                </c:pt>
                <c:pt idx="280">
                  <c:v>943.68726625840804</c:v>
                </c:pt>
                <c:pt idx="281">
                  <c:v>936.65295805158758</c:v>
                </c:pt>
                <c:pt idx="282">
                  <c:v>929.55496717633605</c:v>
                </c:pt>
                <c:pt idx="283">
                  <c:v>922.39391442880708</c:v>
                </c:pt>
                <c:pt idx="284">
                  <c:v>915.17042115177196</c:v>
                </c:pt>
                <c:pt idx="285">
                  <c:v>907.88510908353646</c:v>
                </c:pt>
                <c:pt idx="286">
                  <c:v>900.53860020901504</c:v>
                </c:pt>
                <c:pt idx="287">
                  <c:v>893.13151661301288</c:v>
                </c:pt>
                <c:pt idx="288">
                  <c:v>885.66448033575966</c:v>
                </c:pt>
                <c:pt idx="289">
                  <c:v>878.13811323073867</c:v>
                </c:pt>
                <c:pt idx="290">
                  <c:v>870.55303682485089</c:v>
                </c:pt>
                <c:pt idx="291">
                  <c:v>862.90987218094995</c:v>
                </c:pt>
                <c:pt idx="292">
                  <c:v>855.20923976278334</c:v>
                </c:pt>
                <c:pt idx="293">
                  <c:v>847.45175930237019</c:v>
                </c:pt>
                <c:pt idx="294">
                  <c:v>839.63804966984435</c:v>
                </c:pt>
                <c:pt idx="295">
                  <c:v>831.7687287457893</c:v>
                </c:pt>
                <c:pt idx="296">
                  <c:v>823.84441329608705</c:v>
                </c:pt>
                <c:pt idx="297">
                  <c:v>815.86571884930288</c:v>
                </c:pt>
                <c:pt idx="298">
                  <c:v>807.83325957662373</c:v>
                </c:pt>
                <c:pt idx="299">
                  <c:v>799.74764817436551</c:v>
                </c:pt>
                <c:pt idx="300">
                  <c:v>791.60949574906363</c:v>
                </c:pt>
                <c:pt idx="301">
                  <c:v>783.41941170515702</c:v>
                </c:pt>
                <c:pt idx="302">
                  <c:v>775.17800363527499</c:v>
                </c:pt>
                <c:pt idx="303">
                  <c:v>766.88587721313297</c:v>
                </c:pt>
                <c:pt idx="304">
                  <c:v>758.54363608904168</c:v>
                </c:pt>
                <c:pt idx="305">
                  <c:v>750.15188178803203</c:v>
                </c:pt>
                <c:pt idx="306">
                  <c:v>741.71121361059613</c:v>
                </c:pt>
                <c:pt idx="307">
                  <c:v>733.22222853604183</c:v>
                </c:pt>
                <c:pt idx="308">
                  <c:v>724.68552112845816</c:v>
                </c:pt>
                <c:pt idx="309">
                  <c:v>716.10168344528552</c:v>
                </c:pt>
                <c:pt idx="310">
                  <c:v>707.47130494848273</c:v>
                </c:pt>
                <c:pt idx="311">
                  <c:v>698.79497241828267</c:v>
                </c:pt>
                <c:pt idx="312">
                  <c:v>690.07326986952512</c:v>
                </c:pt>
                <c:pt idx="313">
                  <c:v>681.30677847055483</c:v>
                </c:pt>
                <c:pt idx="314">
                  <c:v>672.49607646466973</c:v>
                </c:pt>
                <c:pt idx="315">
                  <c:v>663.64173909410499</c:v>
                </c:pt>
                <c:pt idx="316">
                  <c:v>654.7443385265351</c:v>
                </c:pt>
                <c:pt idx="317">
                  <c:v>645.80444378407583</c:v>
                </c:pt>
                <c:pt idx="318">
                  <c:v>636.82262067476665</c:v>
                </c:pt>
                <c:pt idx="319">
                  <c:v>627.7994317265119</c:v>
                </c:pt>
                <c:pt idx="320">
                  <c:v>618.73543612345918</c:v>
                </c:pt>
                <c:pt idx="321">
                  <c:v>609.63118964479133</c:v>
                </c:pt>
                <c:pt idx="322">
                  <c:v>600.4872446059079</c:v>
                </c:pt>
                <c:pt idx="323">
                  <c:v>591.30414980196986</c:v>
                </c:pt>
                <c:pt idx="324">
                  <c:v>582.0824504537818</c:v>
                </c:pt>
                <c:pt idx="325">
                  <c:v>572.822688155984</c:v>
                </c:pt>
                <c:pt idx="326">
                  <c:v>563.52540082752614</c:v>
                </c:pt>
                <c:pt idx="327">
                  <c:v>554.19112266439345</c:v>
                </c:pt>
                <c:pt idx="328">
                  <c:v>544.82038409455527</c:v>
                </c:pt>
                <c:pt idx="329">
                  <c:v>535.41371173510618</c:v>
                </c:pt>
                <c:pt idx="330">
                  <c:v>525.97162835156757</c:v>
                </c:pt>
                <c:pt idx="331">
                  <c:v>516.49465281931816</c:v>
                </c:pt>
                <c:pt idx="332">
                  <c:v>506.98330008712117</c:v>
                </c:pt>
                <c:pt idx="333">
                  <c:v>497.43808114271519</c:v>
                </c:pt>
                <c:pt idx="334">
                  <c:v>487.85950298043497</c:v>
                </c:pt>
                <c:pt idx="335">
                  <c:v>478.24806857082871</c:v>
                </c:pt>
                <c:pt idx="336">
                  <c:v>468.60427683223708</c:v>
                </c:pt>
                <c:pt idx="337">
                  <c:v>458.92862260430007</c:v>
                </c:pt>
                <c:pt idx="338">
                  <c:v>449.22159662335622</c:v>
                </c:pt>
                <c:pt idx="339">
                  <c:v>439.48368549969922</c:v>
                </c:pt>
                <c:pt idx="340">
                  <c:v>429.71537169665658</c:v>
                </c:pt>
                <c:pt idx="341">
                  <c:v>419.91713351145478</c:v>
                </c:pt>
                <c:pt idx="342">
                  <c:v>410.08944505783529</c:v>
                </c:pt>
                <c:pt idx="343">
                  <c:v>400.23277625038526</c:v>
                </c:pt>
                <c:pt idx="344">
                  <c:v>390.34759279054737</c:v>
                </c:pt>
                <c:pt idx="345">
                  <c:v>380.4343561542729</c:v>
                </c:pt>
                <c:pt idx="346">
                  <c:v>370.49352358128175</c:v>
                </c:pt>
                <c:pt idx="347">
                  <c:v>360.52554806589353</c:v>
                </c:pt>
                <c:pt idx="348">
                  <c:v>350.5308783493943</c:v>
                </c:pt>
                <c:pt idx="349">
                  <c:v>340.50995891390244</c:v>
                </c:pt>
                <c:pt idx="350">
                  <c:v>330.4632299776984</c:v>
                </c:pt>
                <c:pt idx="351">
                  <c:v>320.39112749198267</c:v>
                </c:pt>
                <c:pt idx="352">
                  <c:v>310.29408313902638</c:v>
                </c:pt>
                <c:pt idx="353">
                  <c:v>300.1725243316796</c:v>
                </c:pt>
                <c:pt idx="354">
                  <c:v>290.02687421420183</c:v>
                </c:pt>
                <c:pt idx="355">
                  <c:v>279.85755166438025</c:v>
                </c:pt>
                <c:pt idx="356">
                  <c:v>269.66497129690117</c:v>
                </c:pt>
                <c:pt idx="357">
                  <c:v>259.44954346793992</c:v>
                </c:pt>
                <c:pt idx="358">
                  <c:v>249.21167428093585</c:v>
                </c:pt>
                <c:pt idx="359">
                  <c:v>238.95176559351791</c:v>
                </c:pt>
                <c:pt idx="360">
                  <c:v>228.67021502554812</c:v>
                </c:pt>
                <c:pt idx="361">
                  <c:v>218.36741596824947</c:v>
                </c:pt>
                <c:pt idx="362">
                  <c:v>208.04375759438562</c:v>
                </c:pt>
                <c:pt idx="363">
                  <c:v>197.69962486946</c:v>
                </c:pt>
                <c:pt idx="364">
                  <c:v>187.3353985639024</c:v>
                </c:pt>
                <c:pt idx="365">
                  <c:v>176.95145526621147</c:v>
                </c:pt>
                <c:pt idx="366">
                  <c:v>166.54816739702179</c:v>
                </c:pt>
                <c:pt idx="367">
                  <c:v>156.12590322406481</c:v>
                </c:pt>
                <c:pt idx="368">
                  <c:v>145.68502687799347</c:v>
                </c:pt>
                <c:pt idx="369">
                  <c:v>135.2258983690401</c:v>
                </c:pt>
                <c:pt idx="370">
                  <c:v>124.74887360447867</c:v>
                </c:pt>
                <c:pt idx="371">
                  <c:v>114.25430440686191</c:v>
                </c:pt>
                <c:pt idx="372">
                  <c:v>103.74253853300476</c:v>
                </c:pt>
                <c:pt idx="373">
                  <c:v>93.213919693686307</c:v>
                </c:pt>
                <c:pt idx="374">
                  <c:v>82.668787574042028</c:v>
                </c:pt>
                <c:pt idx="375">
                  <c:v>72.107477854619532</c:v>
                </c:pt>
                <c:pt idx="376">
                  <c:v>61.530322233070812</c:v>
                </c:pt>
                <c:pt idx="377">
                  <c:v>50.937648446454865</c:v>
                </c:pt>
                <c:pt idx="378">
                  <c:v>40.329780294124731</c:v>
                </c:pt>
                <c:pt idx="379">
                  <c:v>29.7070376611738</c:v>
                </c:pt>
                <c:pt idx="380">
                  <c:v>19.069736542416365</c:v>
                </c:pt>
                <c:pt idx="381">
                  <c:v>8.418189066878238</c:v>
                </c:pt>
                <c:pt idx="382">
                  <c:v>-2.247296477226616</c:v>
                </c:pt>
                <c:pt idx="383">
                  <c:v>-2.2579688619526315</c:v>
                </c:pt>
                <c:pt idx="384">
                  <c:v>-2.2686412601608077</c:v>
                </c:pt>
                <c:pt idx="385">
                  <c:v>-2.2793136718508462</c:v>
                </c:pt>
                <c:pt idx="386">
                  <c:v>-2.289986097022449</c:v>
                </c:pt>
                <c:pt idx="387">
                  <c:v>-2.3006585356753178</c:v>
                </c:pt>
                <c:pt idx="388">
                  <c:v>-2.3113309878091539</c:v>
                </c:pt>
                <c:pt idx="389">
                  <c:v>-2.3220034534236591</c:v>
                </c:pt>
                <c:pt idx="390">
                  <c:v>-2.3326759325185353</c:v>
                </c:pt>
                <c:pt idx="391">
                  <c:v>-2.3433484250934842</c:v>
                </c:pt>
                <c:pt idx="392">
                  <c:v>-2.3540209311482077</c:v>
                </c:pt>
                <c:pt idx="393">
                  <c:v>-2.3646934506824073</c:v>
                </c:pt>
                <c:pt idx="394">
                  <c:v>-2.3753659836957848</c:v>
                </c:pt>
                <c:pt idx="395">
                  <c:v>-2.3860385301880416</c:v>
                </c:pt>
                <c:pt idx="396">
                  <c:v>-2.3967110901588797</c:v>
                </c:pt>
                <c:pt idx="397">
                  <c:v>-2.4073836636080008</c:v>
                </c:pt>
                <c:pt idx="398">
                  <c:v>-2.4180562505351069</c:v>
                </c:pt>
                <c:pt idx="399">
                  <c:v>-2.4287288509398994</c:v>
                </c:pt>
                <c:pt idx="400">
                  <c:v>-2.4394014648220801</c:v>
                </c:pt>
                <c:pt idx="401">
                  <c:v>-2.4500740921813509</c:v>
                </c:pt>
                <c:pt idx="402">
                  <c:v>-2.4607467330174133</c:v>
                </c:pt>
                <c:pt idx="403">
                  <c:v>-2.4714193873299695</c:v>
                </c:pt>
                <c:pt idx="404">
                  <c:v>-2.4820920551187209</c:v>
                </c:pt>
                <c:pt idx="405">
                  <c:v>-2.4927647363833692</c:v>
                </c:pt>
                <c:pt idx="406">
                  <c:v>-2.5034374311236163</c:v>
                </c:pt>
                <c:pt idx="407">
                  <c:v>-2.5141101393391638</c:v>
                </c:pt>
                <c:pt idx="408">
                  <c:v>-2.5247828610297138</c:v>
                </c:pt>
                <c:pt idx="409">
                  <c:v>-2.5354555961949679</c:v>
                </c:pt>
                <c:pt idx="410">
                  <c:v>-2.5461283448346279</c:v>
                </c:pt>
                <c:pt idx="411">
                  <c:v>-2.5568011069483956</c:v>
                </c:pt>
                <c:pt idx="412">
                  <c:v>-2.5674738825359724</c:v>
                </c:pt>
                <c:pt idx="413">
                  <c:v>-2.5781466715970605</c:v>
                </c:pt>
                <c:pt idx="414">
                  <c:v>-2.5888194741313617</c:v>
                </c:pt>
                <c:pt idx="415">
                  <c:v>-2.5994922901385777</c:v>
                </c:pt>
                <c:pt idx="416">
                  <c:v>-2.6101651196184106</c:v>
                </c:pt>
                <c:pt idx="417">
                  <c:v>-2.6208379625705618</c:v>
                </c:pt>
                <c:pt idx="418">
                  <c:v>-2.6315108189947334</c:v>
                </c:pt>
                <c:pt idx="419">
                  <c:v>-2.6421836888906269</c:v>
                </c:pt>
                <c:pt idx="420">
                  <c:v>-2.6528565722579445</c:v>
                </c:pt>
                <c:pt idx="421">
                  <c:v>-2.6635294690963875</c:v>
                </c:pt>
                <c:pt idx="422">
                  <c:v>-2.6742023794056582</c:v>
                </c:pt>
                <c:pt idx="423">
                  <c:v>-2.6848753031854584</c:v>
                </c:pt>
                <c:pt idx="424">
                  <c:v>-2.6955482404354898</c:v>
                </c:pt>
                <c:pt idx="425">
                  <c:v>-2.7062211911554543</c:v>
                </c:pt>
                <c:pt idx="426">
                  <c:v>-2.7168941553450536</c:v>
                </c:pt>
                <c:pt idx="427">
                  <c:v>-2.7275671330039897</c:v>
                </c:pt>
                <c:pt idx="428">
                  <c:v>-2.738240124131964</c:v>
                </c:pt>
                <c:pt idx="429">
                  <c:v>-2.7489131287286792</c:v>
                </c:pt>
                <c:pt idx="430">
                  <c:v>-2.7595861467938367</c:v>
                </c:pt>
                <c:pt idx="431">
                  <c:v>-2.7702591783271382</c:v>
                </c:pt>
                <c:pt idx="432">
                  <c:v>-2.7809322233282856</c:v>
                </c:pt>
                <c:pt idx="433">
                  <c:v>-2.791605281796981</c:v>
                </c:pt>
                <c:pt idx="434">
                  <c:v>-2.8022783537329259</c:v>
                </c:pt>
                <c:pt idx="435">
                  <c:v>-2.8129514391358228</c:v>
                </c:pt>
                <c:pt idx="436">
                  <c:v>-2.8236245380053728</c:v>
                </c:pt>
                <c:pt idx="437">
                  <c:v>-2.8342976503412785</c:v>
                </c:pt>
                <c:pt idx="438">
                  <c:v>-2.8449707761432412</c:v>
                </c:pt>
                <c:pt idx="439">
                  <c:v>-2.8556439154109632</c:v>
                </c:pt>
                <c:pt idx="440">
                  <c:v>-2.8663170681441463</c:v>
                </c:pt>
                <c:pt idx="441">
                  <c:v>-2.8769902343424922</c:v>
                </c:pt>
                <c:pt idx="442">
                  <c:v>-2.8876634140057029</c:v>
                </c:pt>
                <c:pt idx="443">
                  <c:v>-2.8983366071334804</c:v>
                </c:pt>
                <c:pt idx="444">
                  <c:v>-2.9090098137255267</c:v>
                </c:pt>
                <c:pt idx="445">
                  <c:v>-2.9196830337815434</c:v>
                </c:pt>
                <c:pt idx="446">
                  <c:v>-2.9303562673012329</c:v>
                </c:pt>
                <c:pt idx="447">
                  <c:v>-2.9410295142842968</c:v>
                </c:pt>
                <c:pt idx="448">
                  <c:v>-2.9517027747304367</c:v>
                </c:pt>
                <c:pt idx="449">
                  <c:v>-2.9623760486393551</c:v>
                </c:pt>
                <c:pt idx="450">
                  <c:v>-2.9730493360107535</c:v>
                </c:pt>
                <c:pt idx="451">
                  <c:v>-2.9837226368443339</c:v>
                </c:pt>
                <c:pt idx="452">
                  <c:v>-2.9943959511397984</c:v>
                </c:pt>
                <c:pt idx="453">
                  <c:v>-3.0050692788968489</c:v>
                </c:pt>
                <c:pt idx="454">
                  <c:v>-3.0157426201151876</c:v>
                </c:pt>
                <c:pt idx="455">
                  <c:v>-3.0264159747945159</c:v>
                </c:pt>
                <c:pt idx="456">
                  <c:v>-3.0370893429345363</c:v>
                </c:pt>
                <c:pt idx="457">
                  <c:v>-3.0477627245349503</c:v>
                </c:pt>
                <c:pt idx="458">
                  <c:v>-3.0584361195954601</c:v>
                </c:pt>
                <c:pt idx="459">
                  <c:v>-3.0691095281157676</c:v>
                </c:pt>
                <c:pt idx="460">
                  <c:v>-3.0797829500955749</c:v>
                </c:pt>
                <c:pt idx="461">
                  <c:v>-3.0904563855345839</c:v>
                </c:pt>
                <c:pt idx="462">
                  <c:v>-3.1011298344324962</c:v>
                </c:pt>
                <c:pt idx="463">
                  <c:v>-3.1118032967890144</c:v>
                </c:pt>
                <c:pt idx="464">
                  <c:v>-3.1224767726038403</c:v>
                </c:pt>
                <c:pt idx="465">
                  <c:v>-3.1331502618766756</c:v>
                </c:pt>
                <c:pt idx="466">
                  <c:v>-3.1438237646072222</c:v>
                </c:pt>
                <c:pt idx="467">
                  <c:v>-3.1544972807951828</c:v>
                </c:pt>
                <c:pt idx="468">
                  <c:v>-3.1651708104402587</c:v>
                </c:pt>
                <c:pt idx="469">
                  <c:v>-3.1758443535421521</c:v>
                </c:pt>
                <c:pt idx="470">
                  <c:v>-3.1865179101005654</c:v>
                </c:pt>
                <c:pt idx="471">
                  <c:v>-3.1971914801152002</c:v>
                </c:pt>
                <c:pt idx="472">
                  <c:v>-3.2078650635857584</c:v>
                </c:pt>
                <c:pt idx="473">
                  <c:v>-3.2185386605119422</c:v>
                </c:pt>
                <c:pt idx="474">
                  <c:v>-3.2292122708934539</c:v>
                </c:pt>
                <c:pt idx="475">
                  <c:v>-3.2398858947299951</c:v>
                </c:pt>
                <c:pt idx="476">
                  <c:v>-3.2505595320212679</c:v>
                </c:pt>
                <c:pt idx="477">
                  <c:v>-3.2612331827669743</c:v>
                </c:pt>
                <c:pt idx="478">
                  <c:v>-3.2719068469668167</c:v>
                </c:pt>
                <c:pt idx="479">
                  <c:v>-3.2825805246204967</c:v>
                </c:pt>
                <c:pt idx="480">
                  <c:v>-3.2932542157277163</c:v>
                </c:pt>
                <c:pt idx="481">
                  <c:v>-3.3039279202881779</c:v>
                </c:pt>
                <c:pt idx="482">
                  <c:v>-3.3146016383015837</c:v>
                </c:pt>
                <c:pt idx="483">
                  <c:v>-3.3252753697676352</c:v>
                </c:pt>
                <c:pt idx="484">
                  <c:v>-3.3359491146860347</c:v>
                </c:pt>
                <c:pt idx="485">
                  <c:v>-3.3466228730564844</c:v>
                </c:pt>
                <c:pt idx="486">
                  <c:v>-3.3572966448786863</c:v>
                </c:pt>
                <c:pt idx="487">
                  <c:v>-3.3679704301523423</c:v>
                </c:pt>
                <c:pt idx="488">
                  <c:v>-3.3786442288771545</c:v>
                </c:pt>
                <c:pt idx="489">
                  <c:v>-3.389318041052825</c:v>
                </c:pt>
                <c:pt idx="490">
                  <c:v>-3.3999918666790561</c:v>
                </c:pt>
                <c:pt idx="491">
                  <c:v>-3.4106657057555494</c:v>
                </c:pt>
                <c:pt idx="492">
                  <c:v>-3.4213395582820074</c:v>
                </c:pt>
                <c:pt idx="493">
                  <c:v>-3.4320134242581322</c:v>
                </c:pt>
                <c:pt idx="494">
                  <c:v>-3.4426873036836256</c:v>
                </c:pt>
                <c:pt idx="495">
                  <c:v>-3.4533611965581903</c:v>
                </c:pt>
                <c:pt idx="496">
                  <c:v>-3.4640351028815277</c:v>
                </c:pt>
                <c:pt idx="497">
                  <c:v>-3.4747090226533404</c:v>
                </c:pt>
                <c:pt idx="498">
                  <c:v>-3.4853829558733302</c:v>
                </c:pt>
                <c:pt idx="499">
                  <c:v>-3.4960569025411994</c:v>
                </c:pt>
                <c:pt idx="500">
                  <c:v>-3.5067308626566498</c:v>
                </c:pt>
                <c:pt idx="501">
                  <c:v>-3.5174048362193839</c:v>
                </c:pt>
                <c:pt idx="502">
                  <c:v>-3.5280788232291038</c:v>
                </c:pt>
                <c:pt idx="503">
                  <c:v>-3.5387528236855115</c:v>
                </c:pt>
                <c:pt idx="504">
                  <c:v>-3.5494268375883089</c:v>
                </c:pt>
                <c:pt idx="505">
                  <c:v>-3.5601008649371986</c:v>
                </c:pt>
                <c:pt idx="506">
                  <c:v>-3.5707749057318821</c:v>
                </c:pt>
                <c:pt idx="507">
                  <c:v>-3.5814489599720623</c:v>
                </c:pt>
                <c:pt idx="508">
                  <c:v>-3.5921230276574407</c:v>
                </c:pt>
                <c:pt idx="509">
                  <c:v>-3.60279710878772</c:v>
                </c:pt>
                <c:pt idx="510">
                  <c:v>-3.613471203362602</c:v>
                </c:pt>
                <c:pt idx="511">
                  <c:v>-3.6241453113817887</c:v>
                </c:pt>
                <c:pt idx="512">
                  <c:v>-3.6348194328449828</c:v>
                </c:pt>
                <c:pt idx="513">
                  <c:v>-3.645493567751886</c:v>
                </c:pt>
                <c:pt idx="514">
                  <c:v>-3.6561677161022006</c:v>
                </c:pt>
                <c:pt idx="515">
                  <c:v>-3.6668418778956289</c:v>
                </c:pt>
                <c:pt idx="516">
                  <c:v>-3.6775160531318729</c:v>
                </c:pt>
                <c:pt idx="517">
                  <c:v>-3.6881902418106352</c:v>
                </c:pt>
                <c:pt idx="518">
                  <c:v>-3.6988644439316172</c:v>
                </c:pt>
                <c:pt idx="519">
                  <c:v>-3.7095386594945219</c:v>
                </c:pt>
                <c:pt idx="520">
                  <c:v>-3.7202128884990509</c:v>
                </c:pt>
                <c:pt idx="521">
                  <c:v>-3.7308871309449065</c:v>
                </c:pt>
                <c:pt idx="522">
                  <c:v>-3.7415613868317914</c:v>
                </c:pt>
                <c:pt idx="523">
                  <c:v>-3.752235656159407</c:v>
                </c:pt>
                <c:pt idx="524">
                  <c:v>-3.7629099389274563</c:v>
                </c:pt>
                <c:pt idx="525">
                  <c:v>-3.7735842351356408</c:v>
                </c:pt>
                <c:pt idx="526">
                  <c:v>-3.784258544783663</c:v>
                </c:pt>
                <c:pt idx="527">
                  <c:v>-3.7949328678712253</c:v>
                </c:pt>
                <c:pt idx="528">
                  <c:v>-3.8056072043980298</c:v>
                </c:pt>
                <c:pt idx="529">
                  <c:v>-3.8162815543637789</c:v>
                </c:pt>
                <c:pt idx="530">
                  <c:v>-3.8269559177681747</c:v>
                </c:pt>
                <c:pt idx="531">
                  <c:v>-3.8376302946109191</c:v>
                </c:pt>
                <c:pt idx="532">
                  <c:v>-3.8483046848917146</c:v>
                </c:pt>
                <c:pt idx="533">
                  <c:v>-3.8589790886102633</c:v>
                </c:pt>
                <c:pt idx="534">
                  <c:v>-3.8696535057662675</c:v>
                </c:pt>
                <c:pt idx="535">
                  <c:v>-3.8803279363594299</c:v>
                </c:pt>
                <c:pt idx="536">
                  <c:v>-3.8910023803894522</c:v>
                </c:pt>
                <c:pt idx="537">
                  <c:v>-3.9016768378560367</c:v>
                </c:pt>
                <c:pt idx="538">
                  <c:v>-3.9123513087588861</c:v>
                </c:pt>
                <c:pt idx="539">
                  <c:v>-3.9230257930977022</c:v>
                </c:pt>
                <c:pt idx="540">
                  <c:v>-3.9337002908721872</c:v>
                </c:pt>
                <c:pt idx="541">
                  <c:v>-3.9443748020820437</c:v>
                </c:pt>
                <c:pt idx="542">
                  <c:v>-3.9550493267269742</c:v>
                </c:pt>
                <c:pt idx="543">
                  <c:v>-3.9657238648066802</c:v>
                </c:pt>
                <c:pt idx="544">
                  <c:v>-3.9763984163208645</c:v>
                </c:pt>
                <c:pt idx="545">
                  <c:v>-3.9870729812692294</c:v>
                </c:pt>
                <c:pt idx="546">
                  <c:v>-3.9977475596514771</c:v>
                </c:pt>
                <c:pt idx="547">
                  <c:v>-4.0084221514673102</c:v>
                </c:pt>
                <c:pt idx="548">
                  <c:v>-4.0190967567164302</c:v>
                </c:pt>
                <c:pt idx="549">
                  <c:v>-4.02977137539854</c:v>
                </c:pt>
                <c:pt idx="550">
                  <c:v>-4.0404460075133422</c:v>
                </c:pt>
                <c:pt idx="551">
                  <c:v>-4.0511206530605381</c:v>
                </c:pt>
                <c:pt idx="552">
                  <c:v>-4.0617953120398305</c:v>
                </c:pt>
                <c:pt idx="553">
                  <c:v>-4.0724699844509216</c:v>
                </c:pt>
                <c:pt idx="554">
                  <c:v>-4.0831446702935139</c:v>
                </c:pt>
                <c:pt idx="555">
                  <c:v>-4.09381936956731</c:v>
                </c:pt>
                <c:pt idx="556">
                  <c:v>-4.1044940822720122</c:v>
                </c:pt>
                <c:pt idx="557">
                  <c:v>-4.1151688084073221</c:v>
                </c:pt>
                <c:pt idx="558">
                  <c:v>-4.1258435479729432</c:v>
                </c:pt>
                <c:pt idx="559">
                  <c:v>-4.1365183009685769</c:v>
                </c:pt>
                <c:pt idx="560">
                  <c:v>-4.1471930673939257</c:v>
                </c:pt>
                <c:pt idx="561">
                  <c:v>-4.1578678472486921</c:v>
                </c:pt>
                <c:pt idx="562">
                  <c:v>-4.1685426405325785</c:v>
                </c:pt>
                <c:pt idx="563">
                  <c:v>-4.1792174472452865</c:v>
                </c:pt>
                <c:pt idx="564">
                  <c:v>-4.1898922673865195</c:v>
                </c:pt>
                <c:pt idx="565">
                  <c:v>-4.2005671009559791</c:v>
                </c:pt>
                <c:pt idx="566">
                  <c:v>-4.2112419479533685</c:v>
                </c:pt>
                <c:pt idx="567">
                  <c:v>-4.2219168083783893</c:v>
                </c:pt>
                <c:pt idx="568">
                  <c:v>-4.2325916822307441</c:v>
                </c:pt>
                <c:pt idx="569">
                  <c:v>-4.2432665695101353</c:v>
                </c:pt>
                <c:pt idx="570">
                  <c:v>-4.2539414702162652</c:v>
                </c:pt>
                <c:pt idx="571">
                  <c:v>-4.2646163843488365</c:v>
                </c:pt>
                <c:pt idx="572">
                  <c:v>-4.2752913119075515</c:v>
                </c:pt>
                <c:pt idx="573">
                  <c:v>-4.2859662528921119</c:v>
                </c:pt>
                <c:pt idx="574">
                  <c:v>-4.2966412073022209</c:v>
                </c:pt>
                <c:pt idx="575">
                  <c:v>-4.307316175137581</c:v>
                </c:pt>
                <c:pt idx="576">
                  <c:v>-4.3179911563978939</c:v>
                </c:pt>
                <c:pt idx="577">
                  <c:v>-4.3286661510828619</c:v>
                </c:pt>
                <c:pt idx="578">
                  <c:v>-4.3393411591921884</c:v>
                </c:pt>
                <c:pt idx="579">
                  <c:v>-4.3500161807255751</c:v>
                </c:pt>
                <c:pt idx="580">
                  <c:v>-4.3606912156827242</c:v>
                </c:pt>
                <c:pt idx="581">
                  <c:v>-4.3713662640633384</c:v>
                </c:pt>
                <c:pt idx="582">
                  <c:v>-4.3820413258671209</c:v>
                </c:pt>
                <c:pt idx="583">
                  <c:v>-4.3927164010937734</c:v>
                </c:pt>
                <c:pt idx="584">
                  <c:v>-4.4033914897429982</c:v>
                </c:pt>
                <c:pt idx="585">
                  <c:v>-4.4140665918144979</c:v>
                </c:pt>
                <c:pt idx="586">
                  <c:v>-4.4247417073079749</c:v>
                </c:pt>
                <c:pt idx="587">
                  <c:v>-4.4354168362231317</c:v>
                </c:pt>
                <c:pt idx="588">
                  <c:v>-4.4460919785596706</c:v>
                </c:pt>
                <c:pt idx="589">
                  <c:v>-4.4567671343172943</c:v>
                </c:pt>
                <c:pt idx="590">
                  <c:v>-4.4674423034957051</c:v>
                </c:pt>
                <c:pt idx="591">
                  <c:v>-4.4781174860946056</c:v>
                </c:pt>
                <c:pt idx="592">
                  <c:v>-4.4887926821136972</c:v>
                </c:pt>
                <c:pt idx="593">
                  <c:v>-4.4994678915526833</c:v>
                </c:pt>
                <c:pt idx="594">
                  <c:v>-4.5101431144112665</c:v>
                </c:pt>
                <c:pt idx="595">
                  <c:v>-4.5208183506891491</c:v>
                </c:pt>
                <c:pt idx="596">
                  <c:v>-4.5314936003860335</c:v>
                </c:pt>
                <c:pt idx="597">
                  <c:v>-4.5421688635016224</c:v>
                </c:pt>
                <c:pt idx="598">
                  <c:v>-4.5528441400356181</c:v>
                </c:pt>
                <c:pt idx="599">
                  <c:v>-4.5635194299877231</c:v>
                </c:pt>
                <c:pt idx="600">
                  <c:v>-4.5741947333576398</c:v>
                </c:pt>
                <c:pt idx="601">
                  <c:v>-4.5848700501450708</c:v>
                </c:pt>
                <c:pt idx="602">
                  <c:v>-4.5955453803497184</c:v>
                </c:pt>
                <c:pt idx="603">
                  <c:v>-4.606220723971286</c:v>
                </c:pt>
                <c:pt idx="604">
                  <c:v>-4.6168960810094752</c:v>
                </c:pt>
                <c:pt idx="605">
                  <c:v>-4.6275714514639885</c:v>
                </c:pt>
                <c:pt idx="606">
                  <c:v>-4.6382468353345283</c:v>
                </c:pt>
                <c:pt idx="607">
                  <c:v>-4.648922232620798</c:v>
                </c:pt>
                <c:pt idx="608">
                  <c:v>-4.659597643322499</c:v>
                </c:pt>
                <c:pt idx="609">
                  <c:v>-4.6702730674393349</c:v>
                </c:pt>
                <c:pt idx="610">
                  <c:v>-4.6809485049710071</c:v>
                </c:pt>
                <c:pt idx="611">
                  <c:v>-4.691623955917219</c:v>
                </c:pt>
                <c:pt idx="612">
                  <c:v>-4.7022994202776731</c:v>
                </c:pt>
                <c:pt idx="613">
                  <c:v>-4.7129748980520718</c:v>
                </c:pt>
                <c:pt idx="614">
                  <c:v>-4.7236503892401176</c:v>
                </c:pt>
                <c:pt idx="615">
                  <c:v>-4.7343258938415129</c:v>
                </c:pt>
                <c:pt idx="616">
                  <c:v>-4.7450014118559602</c:v>
                </c:pt>
                <c:pt idx="617">
                  <c:v>-4.755676943283162</c:v>
                </c:pt>
                <c:pt idx="618">
                  <c:v>-4.7663524881228208</c:v>
                </c:pt>
                <c:pt idx="619">
                  <c:v>-4.7770280463746397</c:v>
                </c:pt>
                <c:pt idx="620">
                  <c:v>-4.7877036180383206</c:v>
                </c:pt>
                <c:pt idx="621">
                  <c:v>-4.7983792031135666</c:v>
                </c:pt>
                <c:pt idx="622">
                  <c:v>-4.8090548016000803</c:v>
                </c:pt>
                <c:pt idx="623">
                  <c:v>-4.819730413497564</c:v>
                </c:pt>
                <c:pt idx="624">
                  <c:v>-4.8304060388057204</c:v>
                </c:pt>
                <c:pt idx="625">
                  <c:v>-4.8410816775242518</c:v>
                </c:pt>
                <c:pt idx="626">
                  <c:v>-4.8517573296528607</c:v>
                </c:pt>
                <c:pt idx="627">
                  <c:v>-4.8624329951912504</c:v>
                </c:pt>
                <c:pt idx="628">
                  <c:v>-4.8731086741391225</c:v>
                </c:pt>
                <c:pt idx="629">
                  <c:v>-4.8837843664961804</c:v>
                </c:pt>
                <c:pt idx="630">
                  <c:v>-4.8944600722621265</c:v>
                </c:pt>
                <c:pt idx="631">
                  <c:v>-4.9051357914366633</c:v>
                </c:pt>
                <c:pt idx="632">
                  <c:v>-4.9158115240194933</c:v>
                </c:pt>
                <c:pt idx="633">
                  <c:v>-4.9264872700103197</c:v>
                </c:pt>
                <c:pt idx="634">
                  <c:v>-4.9371630294088442</c:v>
                </c:pt>
                <c:pt idx="635">
                  <c:v>-4.9478388022147701</c:v>
                </c:pt>
                <c:pt idx="636">
                  <c:v>-4.9585145884277999</c:v>
                </c:pt>
                <c:pt idx="637">
                  <c:v>-4.969190388047636</c:v>
                </c:pt>
                <c:pt idx="638">
                  <c:v>-4.9798662010739809</c:v>
                </c:pt>
                <c:pt idx="639">
                  <c:v>-4.990542027506538</c:v>
                </c:pt>
                <c:pt idx="640">
                  <c:v>-5.0012178673450096</c:v>
                </c:pt>
                <c:pt idx="641">
                  <c:v>-5.0118937205890983</c:v>
                </c:pt>
                <c:pt idx="642">
                  <c:v>-5.0225695872385065</c:v>
                </c:pt>
                <c:pt idx="643">
                  <c:v>-5.0332454672929368</c:v>
                </c:pt>
                <c:pt idx="644">
                  <c:v>-5.0439213607520923</c:v>
                </c:pt>
                <c:pt idx="645">
                  <c:v>-5.0545972676156747</c:v>
                </c:pt>
                <c:pt idx="646">
                  <c:v>-5.0652731878833874</c:v>
                </c:pt>
                <c:pt idx="647">
                  <c:v>-5.0759491215549337</c:v>
                </c:pt>
                <c:pt idx="648">
                  <c:v>-5.0866250686300152</c:v>
                </c:pt>
                <c:pt idx="649">
                  <c:v>-5.0973010291083352</c:v>
                </c:pt>
                <c:pt idx="650">
                  <c:v>-5.1079770029895961</c:v>
                </c:pt>
                <c:pt idx="651">
                  <c:v>-5.1186529902735005</c:v>
                </c:pt>
                <c:pt idx="652">
                  <c:v>-5.1293289909597508</c:v>
                </c:pt>
                <c:pt idx="653">
                  <c:v>-5.1400050050480504</c:v>
                </c:pt>
                <c:pt idx="654">
                  <c:v>-5.1506810325381016</c:v>
                </c:pt>
                <c:pt idx="655">
                  <c:v>-5.161357073429607</c:v>
                </c:pt>
                <c:pt idx="656">
                  <c:v>-5.17203312772227</c:v>
                </c:pt>
                <c:pt idx="657">
                  <c:v>-5.182709195415792</c:v>
                </c:pt>
                <c:pt idx="658">
                  <c:v>-5.1933852765098765</c:v>
                </c:pt>
                <c:pt idx="659">
                  <c:v>-5.2040613710042267</c:v>
                </c:pt>
                <c:pt idx="660">
                  <c:v>-5.2147374788985443</c:v>
                </c:pt>
                <c:pt idx="661">
                  <c:v>-5.2254136001925326</c:v>
                </c:pt>
                <c:pt idx="662">
                  <c:v>-5.2360897348858941</c:v>
                </c:pt>
                <c:pt idx="663">
                  <c:v>-5.2467658829783321</c:v>
                </c:pt>
                <c:pt idx="664">
                  <c:v>-5.2574420444695482</c:v>
                </c:pt>
                <c:pt idx="665">
                  <c:v>-5.2681182193592457</c:v>
                </c:pt>
                <c:pt idx="666">
                  <c:v>-5.278794407647128</c:v>
                </c:pt>
                <c:pt idx="667">
                  <c:v>-5.2894706093328967</c:v>
                </c:pt>
                <c:pt idx="668">
                  <c:v>-5.3001468244162551</c:v>
                </c:pt>
                <c:pt idx="669">
                  <c:v>-5.3108230528969065</c:v>
                </c:pt>
                <c:pt idx="670">
                  <c:v>-5.3214992947745525</c:v>
                </c:pt>
                <c:pt idx="671">
                  <c:v>-5.3321755500488965</c:v>
                </c:pt>
                <c:pt idx="672">
                  <c:v>-5.3428518187196419</c:v>
                </c:pt>
                <c:pt idx="673">
                  <c:v>-5.3535281007864901</c:v>
                </c:pt>
                <c:pt idx="674">
                  <c:v>-5.3642043962491446</c:v>
                </c:pt>
                <c:pt idx="675">
                  <c:v>-5.3748807051073078</c:v>
                </c:pt>
                <c:pt idx="676">
                  <c:v>-5.385557027360683</c:v>
                </c:pt>
                <c:pt idx="677">
                  <c:v>-5.3962333630089727</c:v>
                </c:pt>
                <c:pt idx="678">
                  <c:v>-5.4069097120518794</c:v>
                </c:pt>
                <c:pt idx="679">
                  <c:v>-5.4175860744891065</c:v>
                </c:pt>
                <c:pt idx="680">
                  <c:v>-5.4282624503203563</c:v>
                </c:pt>
                <c:pt idx="681">
                  <c:v>-5.4389388395453322</c:v>
                </c:pt>
                <c:pt idx="682">
                  <c:v>-5.4496152421637358</c:v>
                </c:pt>
                <c:pt idx="683">
                  <c:v>-5.4602916581752714</c:v>
                </c:pt>
                <c:pt idx="684">
                  <c:v>-5.4709680875796405</c:v>
                </c:pt>
                <c:pt idx="685">
                  <c:v>-5.4816445303765464</c:v>
                </c:pt>
                <c:pt idx="686">
                  <c:v>-5.4923209865656926</c:v>
                </c:pt>
                <c:pt idx="687">
                  <c:v>-5.5029974561467805</c:v>
                </c:pt>
                <c:pt idx="688">
                  <c:v>-5.5136739391195144</c:v>
                </c:pt>
                <c:pt idx="689">
                  <c:v>-5.5243504354835959</c:v>
                </c:pt>
                <c:pt idx="690">
                  <c:v>-5.5350269452387284</c:v>
                </c:pt>
                <c:pt idx="691">
                  <c:v>-5.5457034683846143</c:v>
                </c:pt>
                <c:pt idx="692">
                  <c:v>-5.5563800049209568</c:v>
                </c:pt>
                <c:pt idx="693">
                  <c:v>-5.5670565548474586</c:v>
                </c:pt>
                <c:pt idx="694">
                  <c:v>-5.577733118163823</c:v>
                </c:pt>
                <c:pt idx="695">
                  <c:v>-5.5884096948697524</c:v>
                </c:pt>
                <c:pt idx="696">
                  <c:v>-5.5990862849649501</c:v>
                </c:pt>
                <c:pt idx="697">
                  <c:v>-5.6097628884491186</c:v>
                </c:pt>
                <c:pt idx="698">
                  <c:v>-5.6204395053219605</c:v>
                </c:pt>
                <c:pt idx="699">
                  <c:v>-5.6311161355831789</c:v>
                </c:pt>
                <c:pt idx="700">
                  <c:v>-5.6417927792324765</c:v>
                </c:pt>
                <c:pt idx="701">
                  <c:v>-5.6524694362695564</c:v>
                </c:pt>
                <c:pt idx="702">
                  <c:v>-5.6631461066941213</c:v>
                </c:pt>
                <c:pt idx="703">
                  <c:v>-5.6738227905058745</c:v>
                </c:pt>
                <c:pt idx="704">
                  <c:v>-5.6844994877045183</c:v>
                </c:pt>
                <c:pt idx="705">
                  <c:v>-5.6951761982897553</c:v>
                </c:pt>
                <c:pt idx="706">
                  <c:v>-5.7058529222612888</c:v>
                </c:pt>
                <c:pt idx="707">
                  <c:v>-5.7165296596188222</c:v>
                </c:pt>
                <c:pt idx="708">
                  <c:v>-5.7272064103620579</c:v>
                </c:pt>
                <c:pt idx="709">
                  <c:v>-5.7378831744906984</c:v>
                </c:pt>
                <c:pt idx="710">
                  <c:v>-5.748559952004447</c:v>
                </c:pt>
                <c:pt idx="711">
                  <c:v>-5.7592367429030071</c:v>
                </c:pt>
                <c:pt idx="712">
                  <c:v>-5.7699135471860812</c:v>
                </c:pt>
                <c:pt idx="713">
                  <c:v>-5.7805903648533716</c:v>
                </c:pt>
                <c:pt idx="714">
                  <c:v>-5.7912671959045818</c:v>
                </c:pt>
                <c:pt idx="715">
                  <c:v>-5.8019440403394151</c:v>
                </c:pt>
                <c:pt idx="716">
                  <c:v>-5.812620898157574</c:v>
                </c:pt>
                <c:pt idx="717">
                  <c:v>-5.8232977693587618</c:v>
                </c:pt>
                <c:pt idx="718">
                  <c:v>-5.8339746539426809</c:v>
                </c:pt>
                <c:pt idx="719">
                  <c:v>-5.8446515519090338</c:v>
                </c:pt>
                <c:pt idx="720">
                  <c:v>-5.855328463257524</c:v>
                </c:pt>
                <c:pt idx="721">
                  <c:v>-5.8660053879878546</c:v>
                </c:pt>
                <c:pt idx="722">
                  <c:v>-5.8766823260997283</c:v>
                </c:pt>
                <c:pt idx="723">
                  <c:v>-5.8873592775928483</c:v>
                </c:pt>
                <c:pt idx="724">
                  <c:v>-5.898036242466917</c:v>
                </c:pt>
                <c:pt idx="725">
                  <c:v>-5.908713220721638</c:v>
                </c:pt>
                <c:pt idx="726">
                  <c:v>-5.9193902123567144</c:v>
                </c:pt>
                <c:pt idx="727">
                  <c:v>-5.9300672173718487</c:v>
                </c:pt>
                <c:pt idx="728">
                  <c:v>-5.9407442357667435</c:v>
                </c:pt>
                <c:pt idx="729">
                  <c:v>-5.951421267541102</c:v>
                </c:pt>
                <c:pt idx="730">
                  <c:v>-5.9620983126946276</c:v>
                </c:pt>
                <c:pt idx="731">
                  <c:v>-5.9727753712270228</c:v>
                </c:pt>
                <c:pt idx="732">
                  <c:v>-5.983452443137991</c:v>
                </c:pt>
                <c:pt idx="733">
                  <c:v>-5.9941295284272345</c:v>
                </c:pt>
                <c:pt idx="734">
                  <c:v>-6.0048066270944576</c:v>
                </c:pt>
                <c:pt idx="735">
                  <c:v>-6.0154837391393619</c:v>
                </c:pt>
                <c:pt idx="736">
                  <c:v>-6.0261608645616507</c:v>
                </c:pt>
                <c:pt idx="737">
                  <c:v>-6.0368380033610274</c:v>
                </c:pt>
                <c:pt idx="738">
                  <c:v>-6.0475151555371953</c:v>
                </c:pt>
                <c:pt idx="739">
                  <c:v>-6.0581923210898569</c:v>
                </c:pt>
                <c:pt idx="740">
                  <c:v>-6.0688695000187147</c:v>
                </c:pt>
                <c:pt idx="741">
                  <c:v>-6.0795466923234729</c:v>
                </c:pt>
                <c:pt idx="742">
                  <c:v>-6.0902238980038339</c:v>
                </c:pt>
                <c:pt idx="743">
                  <c:v>-6.1009011170595002</c:v>
                </c:pt>
                <c:pt idx="744">
                  <c:v>-6.1115783494901752</c:v>
                </c:pt>
                <c:pt idx="745">
                  <c:v>-6.1222555952955622</c:v>
                </c:pt>
                <c:pt idx="746">
                  <c:v>-6.1329328544753645</c:v>
                </c:pt>
                <c:pt idx="747">
                  <c:v>-6.1436101270292847</c:v>
                </c:pt>
                <c:pt idx="748">
                  <c:v>-6.1542874129570251</c:v>
                </c:pt>
                <c:pt idx="749">
                  <c:v>-6.16496471225829</c:v>
                </c:pt>
                <c:pt idx="750">
                  <c:v>-6.1756420249327819</c:v>
                </c:pt>
                <c:pt idx="751">
                  <c:v>-6.1863193509802041</c:v>
                </c:pt>
                <c:pt idx="752">
                  <c:v>-6.1969966904002591</c:v>
                </c:pt>
                <c:pt idx="753">
                  <c:v>-6.2076740431926503</c:v>
                </c:pt>
                <c:pt idx="754">
                  <c:v>-6.2183514093570809</c:v>
                </c:pt>
                <c:pt idx="755">
                  <c:v>-6.2290287888932534</c:v>
                </c:pt>
                <c:pt idx="756">
                  <c:v>-6.2397061818008712</c:v>
                </c:pt>
                <c:pt idx="757">
                  <c:v>-6.2503835880796377</c:v>
                </c:pt>
                <c:pt idx="758">
                  <c:v>-6.2610610077292561</c:v>
                </c:pt>
                <c:pt idx="759">
                  <c:v>-6.271738440749429</c:v>
                </c:pt>
                <c:pt idx="760">
                  <c:v>-6.2824158871398597</c:v>
                </c:pt>
                <c:pt idx="761">
                  <c:v>-6.2930933469002506</c:v>
                </c:pt>
                <c:pt idx="762">
                  <c:v>-6.303770820030306</c:v>
                </c:pt>
                <c:pt idx="763">
                  <c:v>-6.3144483065297283</c:v>
                </c:pt>
                <c:pt idx="764">
                  <c:v>-6.3251258063982201</c:v>
                </c:pt>
                <c:pt idx="765">
                  <c:v>-6.3358033196354855</c:v>
                </c:pt>
                <c:pt idx="766">
                  <c:v>-6.346480846241227</c:v>
                </c:pt>
                <c:pt idx="767">
                  <c:v>-6.3571583862151479</c:v>
                </c:pt>
                <c:pt idx="768">
                  <c:v>-6.3678359395569508</c:v>
                </c:pt>
                <c:pt idx="769">
                  <c:v>-6.3785135062663398</c:v>
                </c:pt>
                <c:pt idx="770">
                  <c:v>-6.3891910863430175</c:v>
                </c:pt>
                <c:pt idx="771">
                  <c:v>-6.3998686797866871</c:v>
                </c:pt>
                <c:pt idx="772">
                  <c:v>-6.4105462865970511</c:v>
                </c:pt>
                <c:pt idx="773">
                  <c:v>-6.4212239067738137</c:v>
                </c:pt>
                <c:pt idx="774">
                  <c:v>-6.4319015403166775</c:v>
                </c:pt>
                <c:pt idx="775">
                  <c:v>-6.4425791872253457</c:v>
                </c:pt>
                <c:pt idx="776">
                  <c:v>-6.4532568474995209</c:v>
                </c:pt>
                <c:pt idx="777">
                  <c:v>-6.4639345211389072</c:v>
                </c:pt>
                <c:pt idx="778">
                  <c:v>-6.4746122081432071</c:v>
                </c:pt>
                <c:pt idx="779">
                  <c:v>-6.4852899085121241</c:v>
                </c:pt>
                <c:pt idx="780">
                  <c:v>-6.4959676222453613</c:v>
                </c:pt>
                <c:pt idx="781">
                  <c:v>-6.5066453493426213</c:v>
                </c:pt>
                <c:pt idx="782">
                  <c:v>-6.5173230898036083</c:v>
                </c:pt>
                <c:pt idx="783">
                  <c:v>-6.5280008436280248</c:v>
                </c:pt>
                <c:pt idx="784">
                  <c:v>-6.5386786108155741</c:v>
                </c:pt>
                <c:pt idx="785">
                  <c:v>-6.5493563913659587</c:v>
                </c:pt>
                <c:pt idx="786">
                  <c:v>-6.5600341852788828</c:v>
                </c:pt>
                <c:pt idx="787">
                  <c:v>-6.5707119925540489</c:v>
                </c:pt>
                <c:pt idx="788">
                  <c:v>-6.5813898131911603</c:v>
                </c:pt>
                <c:pt idx="789">
                  <c:v>-6.5920676471899204</c:v>
                </c:pt>
                <c:pt idx="790">
                  <c:v>-6.6027454945500326</c:v>
                </c:pt>
                <c:pt idx="791">
                  <c:v>-6.6134233552712001</c:v>
                </c:pt>
                <c:pt idx="792">
                  <c:v>-6.6241012293531254</c:v>
                </c:pt>
                <c:pt idx="793">
                  <c:v>-6.6347791167955128</c:v>
                </c:pt>
                <c:pt idx="794">
                  <c:v>-6.6454570175980647</c:v>
                </c:pt>
                <c:pt idx="795">
                  <c:v>-6.6561349317604845</c:v>
                </c:pt>
                <c:pt idx="796">
                  <c:v>-6.6668128592824756</c:v>
                </c:pt>
                <c:pt idx="797">
                  <c:v>-6.6774908001637412</c:v>
                </c:pt>
                <c:pt idx="798">
                  <c:v>-6.6881687544039838</c:v>
                </c:pt>
                <c:pt idx="799">
                  <c:v>-6.6988467220029078</c:v>
                </c:pt>
                <c:pt idx="800">
                  <c:v>-6.7095247029602154</c:v>
                </c:pt>
                <c:pt idx="801">
                  <c:v>-6.7202026972756101</c:v>
                </c:pt>
                <c:pt idx="802">
                  <c:v>-6.7308807049487953</c:v>
                </c:pt>
                <c:pt idx="803">
                  <c:v>-6.7415587259794743</c:v>
                </c:pt>
                <c:pt idx="804">
                  <c:v>-6.7522367603673503</c:v>
                </c:pt>
                <c:pt idx="805">
                  <c:v>-6.7629148081121269</c:v>
                </c:pt>
                <c:pt idx="806">
                  <c:v>-6.7735928692135063</c:v>
                </c:pt>
                <c:pt idx="807">
                  <c:v>-6.784270943671193</c:v>
                </c:pt>
                <c:pt idx="808">
                  <c:v>-6.7949490314848893</c:v>
                </c:pt>
                <c:pt idx="809">
                  <c:v>-6.8056271326542985</c:v>
                </c:pt>
                <c:pt idx="810">
                  <c:v>-6.816305247179125</c:v>
                </c:pt>
                <c:pt idx="811">
                  <c:v>-6.8269833750590712</c:v>
                </c:pt>
                <c:pt idx="812">
                  <c:v>-6.8376615162938403</c:v>
                </c:pt>
                <c:pt idx="813">
                  <c:v>-6.8483396708831359</c:v>
                </c:pt>
                <c:pt idx="814">
                  <c:v>-6.8590178388266612</c:v>
                </c:pt>
                <c:pt idx="815">
                  <c:v>-6.8696960201241186</c:v>
                </c:pt>
                <c:pt idx="816">
                  <c:v>-6.8803742147752125</c:v>
                </c:pt>
                <c:pt idx="817">
                  <c:v>-6.8910524227796461</c:v>
                </c:pt>
                <c:pt idx="818">
                  <c:v>-6.901730644137122</c:v>
                </c:pt>
                <c:pt idx="819">
                  <c:v>-6.9124088788473443</c:v>
                </c:pt>
                <c:pt idx="820">
                  <c:v>-6.9230871269100165</c:v>
                </c:pt>
                <c:pt idx="821">
                  <c:v>-6.9337653883248409</c:v>
                </c:pt>
                <c:pt idx="822">
                  <c:v>-6.9444436630915209</c:v>
                </c:pt>
                <c:pt idx="823">
                  <c:v>-6.9551219512097608</c:v>
                </c:pt>
                <c:pt idx="824">
                  <c:v>-6.9658002526792631</c:v>
                </c:pt>
                <c:pt idx="825">
                  <c:v>-6.9764785674997318</c:v>
                </c:pt>
                <c:pt idx="826">
                  <c:v>-6.9871568956708696</c:v>
                </c:pt>
                <c:pt idx="827">
                  <c:v>-6.9978352371923798</c:v>
                </c:pt>
                <c:pt idx="828">
                  <c:v>-7.0085135920639665</c:v>
                </c:pt>
                <c:pt idx="829">
                  <c:v>-7.0191919602853323</c:v>
                </c:pt>
                <c:pt idx="830">
                  <c:v>-7.0298703418561805</c:v>
                </c:pt>
                <c:pt idx="831">
                  <c:v>-7.0405487367762145</c:v>
                </c:pt>
                <c:pt idx="832">
                  <c:v>-7.0512271450451385</c:v>
                </c:pt>
                <c:pt idx="833">
                  <c:v>-7.0619055666626549</c:v>
                </c:pt>
                <c:pt idx="834">
                  <c:v>-7.0725840016284671</c:v>
                </c:pt>
                <c:pt idx="835">
                  <c:v>-7.0832624499422785</c:v>
                </c:pt>
                <c:pt idx="836">
                  <c:v>-7.0939409116037933</c:v>
                </c:pt>
                <c:pt idx="837">
                  <c:v>-7.1046193866127139</c:v>
                </c:pt>
                <c:pt idx="838">
                  <c:v>-7.1152978749687437</c:v>
                </c:pt>
                <c:pt idx="839">
                  <c:v>-7.1259763766715869</c:v>
                </c:pt>
                <c:pt idx="840">
                  <c:v>-7.136654891720946</c:v>
                </c:pt>
                <c:pt idx="841">
                  <c:v>-7.1473334201165253</c:v>
                </c:pt>
                <c:pt idx="842">
                  <c:v>-7.1580119618580271</c:v>
                </c:pt>
                <c:pt idx="843">
                  <c:v>-7.1686905169451558</c:v>
                </c:pt>
                <c:pt idx="844">
                  <c:v>-7.1793690853776138</c:v>
                </c:pt>
                <c:pt idx="845">
                  <c:v>-7.1900476671551052</c:v>
                </c:pt>
                <c:pt idx="846">
                  <c:v>-7.2007262622773336</c:v>
                </c:pt>
                <c:pt idx="847">
                  <c:v>-7.2114048707440013</c:v>
                </c:pt>
                <c:pt idx="848">
                  <c:v>-7.2220834925548125</c:v>
                </c:pt>
                <c:pt idx="849">
                  <c:v>-7.2327621277094707</c:v>
                </c:pt>
                <c:pt idx="850">
                  <c:v>-7.2434407762076791</c:v>
                </c:pt>
                <c:pt idx="851">
                  <c:v>-7.2541194380491412</c:v>
                </c:pt>
                <c:pt idx="852">
                  <c:v>-7.2647981132335602</c:v>
                </c:pt>
                <c:pt idx="853">
                  <c:v>-7.2754768017606404</c:v>
                </c:pt>
                <c:pt idx="854">
                  <c:v>-7.2861555036300842</c:v>
                </c:pt>
                <c:pt idx="855">
                  <c:v>-7.296834218841596</c:v>
                </c:pt>
                <c:pt idx="856">
                  <c:v>-7.3075129473948781</c:v>
                </c:pt>
                <c:pt idx="857">
                  <c:v>-7.3181916892896348</c:v>
                </c:pt>
                <c:pt idx="858">
                  <c:v>-7.3288704445255686</c:v>
                </c:pt>
                <c:pt idx="859">
                  <c:v>-7.3395492131023836</c:v>
                </c:pt>
                <c:pt idx="860">
                  <c:v>-7.3502279950197833</c:v>
                </c:pt>
                <c:pt idx="861">
                  <c:v>-7.360906790277471</c:v>
                </c:pt>
                <c:pt idx="862">
                  <c:v>-7.3715855988751509</c:v>
                </c:pt>
                <c:pt idx="863">
                  <c:v>-7.3822644208125254</c:v>
                </c:pt>
                <c:pt idx="864">
                  <c:v>-7.3929432560892989</c:v>
                </c:pt>
                <c:pt idx="865">
                  <c:v>-7.4036221047051738</c:v>
                </c:pt>
                <c:pt idx="866">
                  <c:v>-7.4143009666598543</c:v>
                </c:pt>
                <c:pt idx="867">
                  <c:v>-7.4249798419530437</c:v>
                </c:pt>
                <c:pt idx="868">
                  <c:v>-7.4356587305844455</c:v>
                </c:pt>
                <c:pt idx="869">
                  <c:v>-7.4463376325537629</c:v>
                </c:pt>
                <c:pt idx="870">
                  <c:v>-7.4570165478607002</c:v>
                </c:pt>
                <c:pt idx="871">
                  <c:v>-7.4676954765049599</c:v>
                </c:pt>
                <c:pt idx="872">
                  <c:v>-7.4783744184862462</c:v>
                </c:pt>
                <c:pt idx="873">
                  <c:v>-7.4890533738042624</c:v>
                </c:pt>
                <c:pt idx="874">
                  <c:v>-7.4997323424587119</c:v>
                </c:pt>
                <c:pt idx="875">
                  <c:v>-7.510411324449298</c:v>
                </c:pt>
                <c:pt idx="876">
                  <c:v>-7.5210903197757251</c:v>
                </c:pt>
                <c:pt idx="877">
                  <c:v>-7.5317693284376954</c:v>
                </c:pt>
                <c:pt idx="878">
                  <c:v>-7.5424483504349134</c:v>
                </c:pt>
                <c:pt idx="879">
                  <c:v>-7.5531273857670822</c:v>
                </c:pt>
                <c:pt idx="880">
                  <c:v>-7.5638064344339053</c:v>
                </c:pt>
                <c:pt idx="881">
                  <c:v>-7.574485496435087</c:v>
                </c:pt>
                <c:pt idx="882">
                  <c:v>-7.5851645717703295</c:v>
                </c:pt>
                <c:pt idx="883">
                  <c:v>-7.5958436604393373</c:v>
                </c:pt>
                <c:pt idx="884">
                  <c:v>-7.6065227624418137</c:v>
                </c:pt>
                <c:pt idx="885">
                  <c:v>-7.6172018777774619</c:v>
                </c:pt>
                <c:pt idx="886">
                  <c:v>-7.6278810064459863</c:v>
                </c:pt>
                <c:pt idx="887">
                  <c:v>-7.6385601484470902</c:v>
                </c:pt>
                <c:pt idx="888">
                  <c:v>-7.6492393037804769</c:v>
                </c:pt>
                <c:pt idx="889">
                  <c:v>-7.6599184724458498</c:v>
                </c:pt>
                <c:pt idx="890">
                  <c:v>-7.6705976544429122</c:v>
                </c:pt>
                <c:pt idx="891">
                  <c:v>-7.6812768497713684</c:v>
                </c:pt>
                <c:pt idx="892">
                  <c:v>-7.6919560584309217</c:v>
                </c:pt>
                <c:pt idx="893">
                  <c:v>-7.7026352804212754</c:v>
                </c:pt>
                <c:pt idx="894">
                  <c:v>-7.7133145157421339</c:v>
                </c:pt>
                <c:pt idx="895">
                  <c:v>-7.7239937643931995</c:v>
                </c:pt>
                <c:pt idx="896">
                  <c:v>-7.7346730263741774</c:v>
                </c:pt>
                <c:pt idx="897">
                  <c:v>-7.7453523016847701</c:v>
                </c:pt>
                <c:pt idx="898">
                  <c:v>-7.7560315903246808</c:v>
                </c:pt>
                <c:pt idx="899">
                  <c:v>-7.7667108922936139</c:v>
                </c:pt>
                <c:pt idx="900">
                  <c:v>-7.7773902075912726</c:v>
                </c:pt>
                <c:pt idx="901">
                  <c:v>-7.7880695362173613</c:v>
                </c:pt>
                <c:pt idx="902">
                  <c:v>-7.7987488781715824</c:v>
                </c:pt>
                <c:pt idx="903">
                  <c:v>-7.80942823345364</c:v>
                </c:pt>
                <c:pt idx="904">
                  <c:v>-7.8201076020632385</c:v>
                </c:pt>
                <c:pt idx="905">
                  <c:v>-7.8307869840000803</c:v>
                </c:pt>
                <c:pt idx="906">
                  <c:v>-7.8414663792638697</c:v>
                </c:pt>
                <c:pt idx="907">
                  <c:v>-7.8521457878543108</c:v>
                </c:pt>
                <c:pt idx="908">
                  <c:v>-7.8628252097711062</c:v>
                </c:pt>
                <c:pt idx="909">
                  <c:v>-7.8735046450139601</c:v>
                </c:pt>
                <c:pt idx="910">
                  <c:v>-7.8841840935825758</c:v>
                </c:pt>
                <c:pt idx="911">
                  <c:v>-7.8948635554766575</c:v>
                </c:pt>
                <c:pt idx="912">
                  <c:v>-7.9055430306959087</c:v>
                </c:pt>
                <c:pt idx="913">
                  <c:v>-7.9162225192400326</c:v>
                </c:pt>
                <c:pt idx="914">
                  <c:v>-7.9269020211087327</c:v>
                </c:pt>
                <c:pt idx="915">
                  <c:v>-7.937581536301713</c:v>
                </c:pt>
                <c:pt idx="916">
                  <c:v>-7.9482610648186771</c:v>
                </c:pt>
                <c:pt idx="917">
                  <c:v>-7.9589406066593291</c:v>
                </c:pt>
                <c:pt idx="918">
                  <c:v>-7.9696201618233724</c:v>
                </c:pt>
                <c:pt idx="919">
                  <c:v>-7.9802997303105103</c:v>
                </c:pt>
                <c:pt idx="920">
                  <c:v>-7.9909793121204471</c:v>
                </c:pt>
                <c:pt idx="921">
                  <c:v>-8.001658907252887</c:v>
                </c:pt>
                <c:pt idx="922">
                  <c:v>-8.0123385157075315</c:v>
                </c:pt>
                <c:pt idx="923">
                  <c:v>-8.0230181374840868</c:v>
                </c:pt>
                <c:pt idx="924">
                  <c:v>-8.0336977725822543</c:v>
                </c:pt>
                <c:pt idx="925">
                  <c:v>-8.0443774210017391</c:v>
                </c:pt>
                <c:pt idx="926">
                  <c:v>-8.0550570827422447</c:v>
                </c:pt>
                <c:pt idx="927">
                  <c:v>-8.0657367578034744</c:v>
                </c:pt>
                <c:pt idx="928">
                  <c:v>-8.0764164461851333</c:v>
                </c:pt>
                <c:pt idx="929">
                  <c:v>-8.087096147886923</c:v>
                </c:pt>
                <c:pt idx="930">
                  <c:v>-8.0977758629085486</c:v>
                </c:pt>
                <c:pt idx="931">
                  <c:v>-8.1084555912497134</c:v>
                </c:pt>
                <c:pt idx="932">
                  <c:v>-8.1191353329101208</c:v>
                </c:pt>
                <c:pt idx="933">
                  <c:v>-8.1298150878894759</c:v>
                </c:pt>
                <c:pt idx="934">
                  <c:v>-8.1404948561874804</c:v>
                </c:pt>
                <c:pt idx="935">
                  <c:v>-8.1511746378038392</c:v>
                </c:pt>
                <c:pt idx="936">
                  <c:v>-8.1618544327382558</c:v>
                </c:pt>
                <c:pt idx="937">
                  <c:v>-8.1725342409904354</c:v>
                </c:pt>
                <c:pt idx="938">
                  <c:v>-8.1832140625600793</c:v>
                </c:pt>
                <c:pt idx="939">
                  <c:v>-8.1938938974468929</c:v>
                </c:pt>
                <c:pt idx="940">
                  <c:v>-8.2045737456505794</c:v>
                </c:pt>
                <c:pt idx="941">
                  <c:v>-8.2152536071708422</c:v>
                </c:pt>
                <c:pt idx="942">
                  <c:v>-8.2259334820073864</c:v>
                </c:pt>
                <c:pt idx="943">
                  <c:v>-8.2366133701599136</c:v>
                </c:pt>
                <c:pt idx="944">
                  <c:v>-8.2472932716281289</c:v>
                </c:pt>
                <c:pt idx="945">
                  <c:v>-8.2579731864117356</c:v>
                </c:pt>
                <c:pt idx="946">
                  <c:v>-8.2686531145104389</c:v>
                </c:pt>
                <c:pt idx="947">
                  <c:v>-8.2793330559239404</c:v>
                </c:pt>
                <c:pt idx="948">
                  <c:v>-8.2900130106519452</c:v>
                </c:pt>
                <c:pt idx="949">
                  <c:v>-8.3006929786941566</c:v>
                </c:pt>
                <c:pt idx="950">
                  <c:v>-8.3113729600502797</c:v>
                </c:pt>
                <c:pt idx="951">
                  <c:v>-8.3220529547200162</c:v>
                </c:pt>
                <c:pt idx="952">
                  <c:v>-8.3327329627030711</c:v>
                </c:pt>
                <c:pt idx="953">
                  <c:v>-8.3434129839991478</c:v>
                </c:pt>
                <c:pt idx="954">
                  <c:v>-8.3540930186079496</c:v>
                </c:pt>
                <c:pt idx="955">
                  <c:v>-8.3647730665291817</c:v>
                </c:pt>
                <c:pt idx="956">
                  <c:v>-8.3754531277625475</c:v>
                </c:pt>
                <c:pt idx="957">
                  <c:v>-8.3861332023077502</c:v>
                </c:pt>
                <c:pt idx="958">
                  <c:v>-8.3968132901644932</c:v>
                </c:pt>
                <c:pt idx="959">
                  <c:v>-8.4074933913324816</c:v>
                </c:pt>
                <c:pt idx="960">
                  <c:v>-8.4181735058114189</c:v>
                </c:pt>
                <c:pt idx="961">
                  <c:v>-8.4288536336010083</c:v>
                </c:pt>
                <c:pt idx="962">
                  <c:v>-8.4395337747009549</c:v>
                </c:pt>
                <c:pt idx="963">
                  <c:v>-8.4502139291109604</c:v>
                </c:pt>
                <c:pt idx="964">
                  <c:v>-8.4608940968307298</c:v>
                </c:pt>
                <c:pt idx="965">
                  <c:v>-8.4715742778599683</c:v>
                </c:pt>
                <c:pt idx="966">
                  <c:v>-8.4822544721983775</c:v>
                </c:pt>
                <c:pt idx="967">
                  <c:v>-8.4929346798456624</c:v>
                </c:pt>
                <c:pt idx="968">
                  <c:v>-8.5036149008015265</c:v>
                </c:pt>
                <c:pt idx="969">
                  <c:v>-8.5142951350656748</c:v>
                </c:pt>
                <c:pt idx="970">
                  <c:v>-8.524975382637809</c:v>
                </c:pt>
                <c:pt idx="971">
                  <c:v>-8.5356556435176358</c:v>
                </c:pt>
                <c:pt idx="972">
                  <c:v>-8.546335917704857</c:v>
                </c:pt>
                <c:pt idx="973">
                  <c:v>-8.5570162051991758</c:v>
                </c:pt>
                <c:pt idx="974">
                  <c:v>-8.5676965060002974</c:v>
                </c:pt>
                <c:pt idx="975">
                  <c:v>-8.5783768201079251</c:v>
                </c:pt>
                <c:pt idx="976">
                  <c:v>-8.5890571475217641</c:v>
                </c:pt>
                <c:pt idx="977">
                  <c:v>-8.5997374882415176</c:v>
                </c:pt>
                <c:pt idx="978">
                  <c:v>-8.6104178422668891</c:v>
                </c:pt>
                <c:pt idx="979">
                  <c:v>-8.6210982095975819</c:v>
                </c:pt>
                <c:pt idx="980">
                  <c:v>-8.6317785902333011</c:v>
                </c:pt>
                <c:pt idx="981">
                  <c:v>-8.64245898417375</c:v>
                </c:pt>
                <c:pt idx="982">
                  <c:v>-8.6531393914186321</c:v>
                </c:pt>
                <c:pt idx="983">
                  <c:v>-8.6638198119676524</c:v>
                </c:pt>
                <c:pt idx="984">
                  <c:v>-8.6745002458205143</c:v>
                </c:pt>
                <c:pt idx="985">
                  <c:v>-8.6851806929769211</c:v>
                </c:pt>
                <c:pt idx="986">
                  <c:v>-8.695861153436578</c:v>
                </c:pt>
                <c:pt idx="987">
                  <c:v>-8.7065416271991882</c:v>
                </c:pt>
                <c:pt idx="988">
                  <c:v>-8.7172221142644553</c:v>
                </c:pt>
                <c:pt idx="989">
                  <c:v>-8.7279026146320842</c:v>
                </c:pt>
                <c:pt idx="990">
                  <c:v>-8.7385831283017783</c:v>
                </c:pt>
                <c:pt idx="991">
                  <c:v>-8.749263655273241</c:v>
                </c:pt>
                <c:pt idx="992">
                  <c:v>-8.7599441955461774</c:v>
                </c:pt>
                <c:pt idx="993">
                  <c:v>-8.7706247491202909</c:v>
                </c:pt>
                <c:pt idx="994">
                  <c:v>-8.7813053159952847</c:v>
                </c:pt>
                <c:pt idx="995">
                  <c:v>-8.7919858961708623</c:v>
                </c:pt>
                <c:pt idx="996">
                  <c:v>-8.8026664896467288</c:v>
                </c:pt>
                <c:pt idx="997">
                  <c:v>-8.8133470964225893</c:v>
                </c:pt>
                <c:pt idx="998">
                  <c:v>-8.8240277164981453</c:v>
                </c:pt>
                <c:pt idx="999">
                  <c:v>-8.8347083498731021</c:v>
                </c:pt>
                <c:pt idx="1000">
                  <c:v>-8.8453889965471646</c:v>
                </c:pt>
              </c:numCache>
            </c:numRef>
          </c:yVal>
          <c:smooth val="1"/>
          <c:extLst>
            <c:ext xmlns:c16="http://schemas.microsoft.com/office/drawing/2014/chart" uri="{C3380CC4-5D6E-409C-BE32-E72D297353CC}">
              <c16:uniqueId val="{00000001-432A-49A9-9499-7ED3E32DDB07}"/>
            </c:ext>
          </c:extLst>
        </c:ser>
        <c:ser>
          <c:idx val="2"/>
          <c:order val="2"/>
          <c:tx>
            <c:strRef>
              <c:f>Trajecto!$B$108</c:f>
              <c:strCache>
                <c:ptCount val="1"/>
                <c:pt idx="0">
                  <c:v>Descente balistique</c:v>
                </c:pt>
              </c:strCache>
            </c:strRef>
          </c:tx>
          <c:spPr>
            <a:ln w="12700">
              <a:solidFill>
                <a:srgbClr val="808080"/>
              </a:solidFill>
              <a:prstDash val="sysDash"/>
            </a:ln>
          </c:spPr>
          <c:marker>
            <c:symbol val="none"/>
          </c:marker>
          <c:xVal>
            <c:numRef>
              <c:f>Calculs!$J$4:$J$1004</c:f>
              <c:numCache>
                <c:formatCode>0.00</c:formatCode>
                <c:ptCount val="1001"/>
                <c:pt idx="0">
                  <c:v>133.2454606677656</c:v>
                </c:pt>
                <c:pt idx="1">
                  <c:v>133.63488779027901</c:v>
                </c:pt>
                <c:pt idx="2">
                  <c:v>134.02389265680583</c:v>
                </c:pt>
                <c:pt idx="3">
                  <c:v>134.41247650865378</c:v>
                </c:pt>
                <c:pt idx="4">
                  <c:v>134.80064058205795</c:v>
                </c:pt>
                <c:pt idx="5">
                  <c:v>135.18838610820919</c:v>
                </c:pt>
                <c:pt idx="6">
                  <c:v>135.57571431328245</c:v>
                </c:pt>
                <c:pt idx="7">
                  <c:v>135.96262641846482</c:v>
                </c:pt>
                <c:pt idx="8">
                  <c:v>136.34912363998336</c:v>
                </c:pt>
                <c:pt idx="9">
                  <c:v>136.73520718913286</c:v>
                </c:pt>
                <c:pt idx="10">
                  <c:v>137.12087827230323</c:v>
                </c:pt>
                <c:pt idx="11">
                  <c:v>137.50613808856488</c:v>
                </c:pt>
                <c:pt idx="12">
                  <c:v>137.89098782729437</c:v>
                </c:pt>
                <c:pt idx="13">
                  <c:v>138.27542867072691</c:v>
                </c:pt>
                <c:pt idx="14">
                  <c:v>138.65946179646735</c:v>
                </c:pt>
                <c:pt idx="15">
                  <c:v>139.04308837751483</c:v>
                </c:pt>
                <c:pt idx="16">
                  <c:v>139.4263095822873</c:v>
                </c:pt>
                <c:pt idx="17">
                  <c:v>139.80912657464586</c:v>
                </c:pt>
                <c:pt idx="18">
                  <c:v>140.19154051391891</c:v>
                </c:pt>
                <c:pt idx="19">
                  <c:v>140.57355255492621</c:v>
                </c:pt>
                <c:pt idx="20">
                  <c:v>140.95516384800271</c:v>
                </c:pt>
                <c:pt idx="21">
                  <c:v>141.33637554025162</c:v>
                </c:pt>
                <c:pt idx="22">
                  <c:v>141.71718877677776</c:v>
                </c:pt>
                <c:pt idx="23">
                  <c:v>142.09760469944089</c:v>
                </c:pt>
                <c:pt idx="24">
                  <c:v>142.47762444562909</c:v>
                </c:pt>
                <c:pt idx="25">
                  <c:v>142.85724914828273</c:v>
                </c:pt>
                <c:pt idx="26">
                  <c:v>143.23647993591828</c:v>
                </c:pt>
                <c:pt idx="27">
                  <c:v>143.61531793265198</c:v>
                </c:pt>
                <c:pt idx="28">
                  <c:v>143.99376425822331</c:v>
                </c:pt>
                <c:pt idx="29">
                  <c:v>144.37182002801836</c:v>
                </c:pt>
                <c:pt idx="30">
                  <c:v>144.74948635309306</c:v>
                </c:pt>
                <c:pt idx="31">
                  <c:v>145.1267643401961</c:v>
                </c:pt>
                <c:pt idx="32">
                  <c:v>145.50365509179193</c:v>
                </c:pt>
                <c:pt idx="33">
                  <c:v>145.88015970608339</c:v>
                </c:pt>
                <c:pt idx="34">
                  <c:v>146.25627927703439</c:v>
                </c:pt>
                <c:pt idx="35">
                  <c:v>146.63201489439228</c:v>
                </c:pt>
                <c:pt idx="36">
                  <c:v>147.00736764371015</c:v>
                </c:pt>
                <c:pt idx="37">
                  <c:v>147.38233860636893</c:v>
                </c:pt>
                <c:pt idx="38">
                  <c:v>147.75692885959941</c:v>
                </c:pt>
                <c:pt idx="39">
                  <c:v>148.13113947650407</c:v>
                </c:pt>
                <c:pt idx="40">
                  <c:v>148.50497152607883</c:v>
                </c:pt>
                <c:pt idx="41">
                  <c:v>148.87842607323452</c:v>
                </c:pt>
                <c:pt idx="42">
                  <c:v>149.25150417881835</c:v>
                </c:pt>
                <c:pt idx="43">
                  <c:v>149.6242068996352</c:v>
                </c:pt>
                <c:pt idx="44">
                  <c:v>149.99653528846872</c:v>
                </c:pt>
                <c:pt idx="45">
                  <c:v>150.36849039410234</c:v>
                </c:pt>
                <c:pt idx="46">
                  <c:v>150.74007326134014</c:v>
                </c:pt>
                <c:pt idx="47">
                  <c:v>151.11128493102757</c:v>
                </c:pt>
                <c:pt idx="48">
                  <c:v>151.48212644007202</c:v>
                </c:pt>
                <c:pt idx="49">
                  <c:v>151.85259882146332</c:v>
                </c:pt>
                <c:pt idx="50">
                  <c:v>152.22270310429406</c:v>
                </c:pt>
                <c:pt idx="51">
                  <c:v>152.59244031377975</c:v>
                </c:pt>
                <c:pt idx="52">
                  <c:v>152.96181147127891</c:v>
                </c:pt>
                <c:pt idx="53">
                  <c:v>153.33081759431298</c:v>
                </c:pt>
                <c:pt idx="54">
                  <c:v>153.69945969658613</c:v>
                </c:pt>
                <c:pt idx="55">
                  <c:v>154.06773878800496</c:v>
                </c:pt>
                <c:pt idx="56">
                  <c:v>154.43565587469806</c:v>
                </c:pt>
                <c:pt idx="57">
                  <c:v>154.80321195903534</c:v>
                </c:pt>
                <c:pt idx="58">
                  <c:v>155.17040803964744</c:v>
                </c:pt>
                <c:pt idx="59">
                  <c:v>155.53724511144486</c:v>
                </c:pt>
                <c:pt idx="60">
                  <c:v>155.90372416563702</c:v>
                </c:pt>
                <c:pt idx="61">
                  <c:v>156.26984618975115</c:v>
                </c:pt>
                <c:pt idx="62">
                  <c:v>156.6356121676512</c:v>
                </c:pt>
                <c:pt idx="63">
                  <c:v>157.00102307955643</c:v>
                </c:pt>
                <c:pt idx="64">
                  <c:v>157.36607990206002</c:v>
                </c:pt>
                <c:pt idx="65">
                  <c:v>157.73078360814753</c:v>
                </c:pt>
                <c:pt idx="66">
                  <c:v>158.09513516721523</c:v>
                </c:pt>
                <c:pt idx="67">
                  <c:v>158.45913554508829</c:v>
                </c:pt>
                <c:pt idx="68">
                  <c:v>158.82278570403895</c:v>
                </c:pt>
                <c:pt idx="69">
                  <c:v>159.18608660280447</c:v>
                </c:pt>
                <c:pt idx="70">
                  <c:v>159.54903919660498</c:v>
                </c:pt>
                <c:pt idx="71">
                  <c:v>159.91164443716127</c:v>
                </c:pt>
                <c:pt idx="72">
                  <c:v>160.27390327271249</c:v>
                </c:pt>
                <c:pt idx="73">
                  <c:v>160.6358166480336</c:v>
                </c:pt>
                <c:pt idx="74">
                  <c:v>160.99738550445284</c:v>
                </c:pt>
                <c:pt idx="75">
                  <c:v>161.35861077986908</c:v>
                </c:pt>
                <c:pt idx="76">
                  <c:v>161.71949340876898</c:v>
                </c:pt>
                <c:pt idx="77">
                  <c:v>162.08003432224413</c:v>
                </c:pt>
                <c:pt idx="78">
                  <c:v>162.44023444800803</c:v>
                </c:pt>
                <c:pt idx="79">
                  <c:v>162.80009471041296</c:v>
                </c:pt>
                <c:pt idx="80">
                  <c:v>163.15961603046685</c:v>
                </c:pt>
                <c:pt idx="81">
                  <c:v>163.51879932584984</c:v>
                </c:pt>
                <c:pt idx="82">
                  <c:v>163.87764551093096</c:v>
                </c:pt>
                <c:pt idx="83">
                  <c:v>164.23615549678456</c:v>
                </c:pt>
                <c:pt idx="84">
                  <c:v>164.59433019120664</c:v>
                </c:pt>
                <c:pt idx="85">
                  <c:v>164.95217049873122</c:v>
                </c:pt>
                <c:pt idx="86">
                  <c:v>165.30967732064639</c:v>
                </c:pt>
                <c:pt idx="87">
                  <c:v>165.66685155501051</c:v>
                </c:pt>
                <c:pt idx="88">
                  <c:v>166.02369409666807</c:v>
                </c:pt>
                <c:pt idx="89">
                  <c:v>166.38020583726561</c:v>
                </c:pt>
                <c:pt idx="90">
                  <c:v>166.73638766526747</c:v>
                </c:pt>
                <c:pt idx="91">
                  <c:v>167.09224046597151</c:v>
                </c:pt>
                <c:pt idx="92">
                  <c:v>167.4477651215247</c:v>
                </c:pt>
                <c:pt idx="93">
                  <c:v>167.80296251093847</c:v>
                </c:pt>
                <c:pt idx="94">
                  <c:v>168.1578335101043</c:v>
                </c:pt>
                <c:pt idx="95">
                  <c:v>168.51237899180882</c:v>
                </c:pt>
                <c:pt idx="96">
                  <c:v>168.8665998257492</c:v>
                </c:pt>
                <c:pt idx="97">
                  <c:v>169.22049687854812</c:v>
                </c:pt>
                <c:pt idx="98">
                  <c:v>169.57407101376879</c:v>
                </c:pt>
                <c:pt idx="99">
                  <c:v>169.92732309192999</c:v>
                </c:pt>
                <c:pt idx="100">
                  <c:v>170.28025397052082</c:v>
                </c:pt>
                <c:pt idx="101">
                  <c:v>173.7919629679696</c:v>
                </c:pt>
                <c:pt idx="102">
                  <c:v>177.27210232281712</c:v>
                </c:pt>
                <c:pt idx="103">
                  <c:v>180.72150189982614</c:v>
                </c:pt>
                <c:pt idx="104">
                  <c:v>184.14096310919157</c:v>
                </c:pt>
                <c:pt idx="105">
                  <c:v>187.53126024600513</c:v>
                </c:pt>
                <c:pt idx="106">
                  <c:v>190.89314175178242</c:v>
                </c:pt>
                <c:pt idx="107">
                  <c:v>194.22733140345008</c:v>
                </c:pt>
                <c:pt idx="108">
                  <c:v>197.53452943475585</c:v>
                </c:pt>
                <c:pt idx="109">
                  <c:v>200.81541359467116</c:v>
                </c:pt>
                <c:pt idx="110">
                  <c:v>204.07064014699577</c:v>
                </c:pt>
                <c:pt idx="111">
                  <c:v>207.30084481504798</c:v>
                </c:pt>
                <c:pt idx="112">
                  <c:v>210.50664367502475</c:v>
                </c:pt>
                <c:pt idx="113">
                  <c:v>213.68863400134416</c:v>
                </c:pt>
                <c:pt idx="114">
                  <c:v>216.84739506703283</c:v>
                </c:pt>
                <c:pt idx="115">
                  <c:v>219.98348890199364</c:v>
                </c:pt>
                <c:pt idx="116">
                  <c:v>223.09746101177933</c:v>
                </c:pt>
                <c:pt idx="117">
                  <c:v>226.18984105930673</c:v>
                </c:pt>
                <c:pt idx="118">
                  <c:v>229.26114351176994</c:v>
                </c:pt>
                <c:pt idx="119">
                  <c:v>232.31186825484906</c:v>
                </c:pt>
                <c:pt idx="120">
                  <c:v>235.34250117616284</c:v>
                </c:pt>
                <c:pt idx="121">
                  <c:v>238.35351471977603</c:v>
                </c:pt>
                <c:pt idx="122">
                  <c:v>241.34536841344644</c:v>
                </c:pt>
                <c:pt idx="123">
                  <c:v>244.31850937017992</c:v>
                </c:pt>
                <c:pt idx="124">
                  <c:v>247.27337276555423</c:v>
                </c:pt>
                <c:pt idx="125">
                  <c:v>250.21038229217274</c:v>
                </c:pt>
                <c:pt idx="126">
                  <c:v>253.12995059251756</c:v>
                </c:pt>
                <c:pt idx="127">
                  <c:v>256.03247967138572</c:v>
                </c:pt>
                <c:pt idx="128">
                  <c:v>258.91836128901366</c:v>
                </c:pt>
                <c:pt idx="129">
                  <c:v>261.78797733592091</c:v>
                </c:pt>
                <c:pt idx="130">
                  <c:v>264.64170019043667</c:v>
                </c:pt>
                <c:pt idx="131">
                  <c:v>267.47989305980843</c:v>
                </c:pt>
                <c:pt idx="132">
                  <c:v>270.30291030573358</c:v>
                </c:pt>
                <c:pt idx="133">
                  <c:v>273.11109775509897</c:v>
                </c:pt>
                <c:pt idx="134">
                  <c:v>275.90479299666197</c:v>
                </c:pt>
                <c:pt idx="135">
                  <c:v>278.68432566435894</c:v>
                </c:pt>
                <c:pt idx="136">
                  <c:v>281.45001770788059</c:v>
                </c:pt>
                <c:pt idx="137">
                  <c:v>284.2021836511127</c:v>
                </c:pt>
                <c:pt idx="138">
                  <c:v>286.94113083899947</c:v>
                </c:pt>
                <c:pt idx="139">
                  <c:v>289.66715967334989</c:v>
                </c:pt>
                <c:pt idx="140">
                  <c:v>292.38056383807208</c:v>
                </c:pt>
                <c:pt idx="141">
                  <c:v>295.0816305142863</c:v>
                </c:pt>
                <c:pt idx="142">
                  <c:v>297.77064058573609</c:v>
                </c:pt>
                <c:pt idx="143">
                  <c:v>300.44786883488626</c:v>
                </c:pt>
                <c:pt idx="144">
                  <c:v>303.11358413006786</c:v>
                </c:pt>
                <c:pt idx="145">
                  <c:v>305.76804960400199</c:v>
                </c:pt>
                <c:pt idx="146">
                  <c:v>308.41152282400839</c:v>
                </c:pt>
                <c:pt idx="147">
                  <c:v>311.04425595417842</c:v>
                </c:pt>
                <c:pt idx="148">
                  <c:v>313.66649590976749</c:v>
                </c:pt>
                <c:pt idx="149">
                  <c:v>316.27848450403809</c:v>
                </c:pt>
                <c:pt idx="150">
                  <c:v>318.88045858776013</c:v>
                </c:pt>
                <c:pt idx="151">
                  <c:v>321.47265018155355</c:v>
                </c:pt>
                <c:pt idx="152">
                  <c:v>324.05528660123349</c:v>
                </c:pt>
                <c:pt idx="153">
                  <c:v>326.62859057629782</c:v>
                </c:pt>
                <c:pt idx="154">
                  <c:v>329.19278036167265</c:v>
                </c:pt>
                <c:pt idx="155">
                  <c:v>331.74806984280968</c:v>
                </c:pt>
                <c:pt idx="156">
                  <c:v>334.29466863420748</c:v>
                </c:pt>
                <c:pt idx="157">
                  <c:v>336.83278217140463</c:v>
                </c:pt>
                <c:pt idx="158">
                  <c:v>339.3626117964709</c:v>
                </c:pt>
                <c:pt idx="159">
                  <c:v>341.88435483699936</c:v>
                </c:pt>
                <c:pt idx="160">
                  <c:v>344.39820467857783</c:v>
                </c:pt>
                <c:pt idx="161">
                  <c:v>346.90435083069565</c:v>
                </c:pt>
                <c:pt idx="162">
                  <c:v>349.40297898601591</c:v>
                </c:pt>
                <c:pt idx="163">
                  <c:v>351.89427107291954</c:v>
                </c:pt>
                <c:pt idx="164">
                  <c:v>354.37840530120189</c:v>
                </c:pt>
                <c:pt idx="165">
                  <c:v>356.85555620077827</c:v>
                </c:pt>
                <c:pt idx="166">
                  <c:v>359.32589465322803</c:v>
                </c:pt>
                <c:pt idx="167">
                  <c:v>361.78958791598336</c:v>
                </c:pt>
                <c:pt idx="168">
                  <c:v>364.24679963894334</c:v>
                </c:pt>
                <c:pt idx="169">
                  <c:v>366.69768987327132</c:v>
                </c:pt>
                <c:pt idx="170">
                  <c:v>369.14241507211102</c:v>
                </c:pt>
                <c:pt idx="171">
                  <c:v>371.58112808293902</c:v>
                </c:pt>
                <c:pt idx="172">
                  <c:v>374.01397813125413</c:v>
                </c:pt>
                <c:pt idx="173">
                  <c:v>376.44111079529506</c:v>
                </c:pt>
                <c:pt idx="174">
                  <c:v>378.86266797147238</c:v>
                </c:pt>
                <c:pt idx="175">
                  <c:v>381.27878783020532</c:v>
                </c:pt>
                <c:pt idx="176">
                  <c:v>383.68960476186857</c:v>
                </c:pt>
                <c:pt idx="177">
                  <c:v>386.09524931258227</c:v>
                </c:pt>
                <c:pt idx="178">
                  <c:v>388.49584810962273</c:v>
                </c:pt>
                <c:pt idx="179">
                  <c:v>390.89152377629483</c:v>
                </c:pt>
                <c:pt idx="180">
                  <c:v>393.28239483619603</c:v>
                </c:pt>
                <c:pt idx="181">
                  <c:v>395.66857560691454</c:v>
                </c:pt>
                <c:pt idx="182">
                  <c:v>398.05017608335271</c:v>
                </c:pt>
                <c:pt idx="183">
                  <c:v>400.4273018110456</c:v>
                </c:pt>
                <c:pt idx="184">
                  <c:v>402.80005375006471</c:v>
                </c:pt>
                <c:pt idx="185">
                  <c:v>405.16852813035365</c:v>
                </c:pt>
                <c:pt idx="186">
                  <c:v>407.53281629963976</c:v>
                </c:pt>
                <c:pt idx="187">
                  <c:v>409.89300456539809</c:v>
                </c:pt>
                <c:pt idx="188">
                  <c:v>412.24917403270672</c:v>
                </c:pt>
                <c:pt idx="189">
                  <c:v>414.60140044021381</c:v>
                </c:pt>
                <c:pt idx="190">
                  <c:v>416.94975399682141</c:v>
                </c:pt>
                <c:pt idx="191">
                  <c:v>419.29429922206168</c:v>
                </c:pt>
                <c:pt idx="192">
                  <c:v>421.635094793468</c:v>
                </c:pt>
                <c:pt idx="193">
                  <c:v>423.97219340450545</c:v>
                </c:pt>
                <c:pt idx="194">
                  <c:v>426.30564163678531</c:v>
                </c:pt>
                <c:pt idx="195">
                  <c:v>428.63547985032631</c:v>
                </c:pt>
                <c:pt idx="196">
                  <c:v>430.96174209551026</c:v>
                </c:pt>
                <c:pt idx="197">
                  <c:v>433.28445605010262</c:v>
                </c:pt>
                <c:pt idx="198">
                  <c:v>435.60364298426077</c:v>
                </c:pt>
                <c:pt idx="199">
                  <c:v>437.91931775584828</c:v>
                </c:pt>
                <c:pt idx="200">
                  <c:v>440.23148883763326</c:v>
                </c:pt>
                <c:pt idx="201">
                  <c:v>442.54015837711489</c:v>
                </c:pt>
                <c:pt idx="202">
                  <c:v>444.8453222888387</c:v>
                </c:pt>
                <c:pt idx="203">
                  <c:v>447.14697037818519</c:v>
                </c:pt>
                <c:pt idx="204">
                  <c:v>449.44508649479928</c:v>
                </c:pt>
                <c:pt idx="205">
                  <c:v>451.73964871311625</c:v>
                </c:pt>
                <c:pt idx="206">
                  <c:v>454.03062953687032</c:v>
                </c:pt>
                <c:pt idx="207">
                  <c:v>456.31799612406883</c:v>
                </c:pt>
                <c:pt idx="208">
                  <c:v>458.60171052867997</c:v>
                </c:pt>
                <c:pt idx="209">
                  <c:v>460.88172995521671</c:v>
                </c:pt>
                <c:pt idx="210">
                  <c:v>463.1580070224781</c:v>
                </c:pt>
                <c:pt idx="211">
                  <c:v>465.43049003291401</c:v>
                </c:pt>
                <c:pt idx="212">
                  <c:v>467.69912324437416</c:v>
                </c:pt>
                <c:pt idx="213">
                  <c:v>469.96384714136184</c:v>
                </c:pt>
                <c:pt idx="214">
                  <c:v>472.22459870330624</c:v>
                </c:pt>
                <c:pt idx="215">
                  <c:v>474.48131166777108</c:v>
                </c:pt>
                <c:pt idx="216">
                  <c:v>476.73391678691206</c:v>
                </c:pt>
                <c:pt idx="217">
                  <c:v>478.98234207586557</c:v>
                </c:pt>
                <c:pt idx="218">
                  <c:v>481.22651305208831</c:v>
                </c:pt>
                <c:pt idx="219">
                  <c:v>483.46635296496544</c:v>
                </c:pt>
                <c:pt idx="220">
                  <c:v>485.70178301526028</c:v>
                </c:pt>
                <c:pt idx="221">
                  <c:v>487.93272256419482</c:v>
                </c:pt>
                <c:pt idx="222">
                  <c:v>490.15908933212552</c:v>
                </c:pt>
                <c:pt idx="223">
                  <c:v>492.38079958692111</c:v>
                </c:pt>
                <c:pt idx="224">
                  <c:v>494.59776832225776</c:v>
                </c:pt>
                <c:pt idx="225">
                  <c:v>496.80990942612959</c:v>
                </c:pt>
                <c:pt idx="226">
                  <c:v>499.01713583993228</c:v>
                </c:pt>
                <c:pt idx="227">
                  <c:v>501.21935970851655</c:v>
                </c:pt>
                <c:pt idx="228">
                  <c:v>503.41649252163381</c:v>
                </c:pt>
                <c:pt idx="229">
                  <c:v>505.60844524720812</c:v>
                </c:pt>
                <c:pt idx="230">
                  <c:v>507.79512845686969</c:v>
                </c:pt>
                <c:pt idx="231">
                  <c:v>509.97645244418197</c:v>
                </c:pt>
                <c:pt idx="232">
                  <c:v>512.15232733598145</c:v>
                </c:pt>
                <c:pt idx="233">
                  <c:v>514.3226631972351</c:v>
                </c:pt>
                <c:pt idx="234">
                  <c:v>516.48737012980405</c:v>
                </c:pt>
                <c:pt idx="235">
                  <c:v>518.6463583654795</c:v>
                </c:pt>
                <c:pt idx="236">
                  <c:v>520.79953835364029</c:v>
                </c:pt>
                <c:pt idx="237">
                  <c:v>522.94682084385784</c:v>
                </c:pt>
                <c:pt idx="238">
                  <c:v>525.08811696375426</c:v>
                </c:pt>
                <c:pt idx="239">
                  <c:v>527.22333829240097</c:v>
                </c:pt>
                <c:pt idx="240">
                  <c:v>529.35239692952189</c:v>
                </c:pt>
                <c:pt idx="241">
                  <c:v>531.47520556075131</c:v>
                </c:pt>
                <c:pt idx="242">
                  <c:v>533.59167751917403</c:v>
                </c:pt>
                <c:pt idx="243">
                  <c:v>535.70172684336274</c:v>
                </c:pt>
                <c:pt idx="244">
                  <c:v>537.80526833210888</c:v>
                </c:pt>
                <c:pt idx="245">
                  <c:v>539.90221759603116</c:v>
                </c:pt>
                <c:pt idx="246">
                  <c:v>541.99249110622952</c:v>
                </c:pt>
                <c:pt idx="247">
                  <c:v>544.07600624014287</c:v>
                </c:pt>
                <c:pt idx="248">
                  <c:v>546.15268132475501</c:v>
                </c:pt>
                <c:pt idx="249">
                  <c:v>548.22243567728333</c:v>
                </c:pt>
                <c:pt idx="250">
                  <c:v>550.28518964347529</c:v>
                </c:pt>
                <c:pt idx="251">
                  <c:v>552.34086463362758</c:v>
                </c:pt>
                <c:pt idx="252">
                  <c:v>554.38938315643645</c:v>
                </c:pt>
                <c:pt idx="253">
                  <c:v>556.43066885077781</c:v>
                </c:pt>
                <c:pt idx="254">
                  <c:v>558.46464651551082</c:v>
                </c:pt>
                <c:pt idx="255">
                  <c:v>560.49124213739105</c:v>
                </c:pt>
                <c:pt idx="256">
                  <c:v>562.51038291717384</c:v>
                </c:pt>
                <c:pt idx="257">
                  <c:v>564.52199729398319</c:v>
                </c:pt>
                <c:pt idx="258">
                  <c:v>566.52601496801731</c:v>
                </c:pt>
                <c:pt idx="259">
                  <c:v>568.5223669216565</c:v>
                </c:pt>
                <c:pt idx="260">
                  <c:v>570.51098543903504</c:v>
                </c:pt>
                <c:pt idx="261">
                  <c:v>572.49180412413648</c:v>
                </c:pt>
                <c:pt idx="262">
                  <c:v>574.46475791746695</c:v>
                </c:pt>
                <c:pt idx="263">
                  <c:v>576.42978311135801</c:v>
                </c:pt>
                <c:pt idx="264">
                  <c:v>578.3868173639496</c:v>
                </c:pt>
                <c:pt idx="265">
                  <c:v>580.33579971189806</c:v>
                </c:pt>
                <c:pt idx="266">
                  <c:v>582.27667058185534</c:v>
                </c:pt>
                <c:pt idx="267">
                  <c:v>584.20937180075987</c:v>
                </c:pt>
                <c:pt idx="268">
                  <c:v>586.13384660498139</c:v>
                </c:pt>
                <c:pt idx="269">
                  <c:v>588.05003964835635</c:v>
                </c:pt>
                <c:pt idx="270">
                  <c:v>589.95789700915179</c:v>
                </c:pt>
                <c:pt idx="271">
                  <c:v>591.85736619599345</c:v>
                </c:pt>
                <c:pt idx="272">
                  <c:v>593.74839615279086</c:v>
                </c:pt>
                <c:pt idx="273">
                  <c:v>595.63093726269358</c:v>
                </c:pt>
                <c:pt idx="274">
                  <c:v>597.50494135110944</c:v>
                </c:pt>
                <c:pt idx="275">
                  <c:v>599.3703616878156</c:v>
                </c:pt>
                <c:pt idx="276">
                  <c:v>601.22715298819185</c:v>
                </c:pt>
                <c:pt idx="277">
                  <c:v>603.07527141360504</c:v>
                </c:pt>
                <c:pt idx="278">
                  <c:v>604.91467457097247</c:v>
                </c:pt>
                <c:pt idx="279">
                  <c:v>606.74532151153119</c:v>
                </c:pt>
                <c:pt idx="280">
                  <c:v>608.56717272883941</c:v>
                </c:pt>
                <c:pt idx="281">
                  <c:v>610.38019015603641</c:v>
                </c:pt>
                <c:pt idx="282">
                  <c:v>612.18433716238496</c:v>
                </c:pt>
                <c:pt idx="283">
                  <c:v>613.97957854912113</c:v>
                </c:pt>
                <c:pt idx="284">
                  <c:v>615.76588054463593</c:v>
                </c:pt>
                <c:pt idx="285">
                  <c:v>617.54321079901104</c:v>
                </c:pt>
                <c:pt idx="286">
                  <c:v>619.31153837793249</c:v>
                </c:pt>
                <c:pt idx="287">
                  <c:v>621.07083375600394</c:v>
                </c:pt>
                <c:pt idx="288">
                  <c:v>622.82106880948152</c:v>
                </c:pt>
                <c:pt idx="289">
                  <c:v>624.5622168084526</c:v>
                </c:pt>
                <c:pt idx="290">
                  <c:v>626.29425240847809</c:v>
                </c:pt>
                <c:pt idx="291">
                  <c:v>628.01715164172026</c:v>
                </c:pt>
                <c:pt idx="292">
                  <c:v>629.73089190757514</c:v>
                </c:pt>
                <c:pt idx="293">
                  <c:v>631.43545196283083</c:v>
                </c:pt>
                <c:pt idx="294">
                  <c:v>633.13081191136951</c:v>
                </c:pt>
                <c:pt idx="295">
                  <c:v>634.81695319343396</c:v>
                </c:pt>
                <c:pt idx="296">
                  <c:v>636.49385857447578</c:v>
                </c:pt>
                <c:pt idx="297">
                  <c:v>638.16151213360524</c:v>
                </c:pt>
                <c:pt idx="298">
                  <c:v>639.81989925165988</c:v>
                </c:pt>
                <c:pt idx="299">
                  <c:v>641.46900659890991</c:v>
                </c:pt>
                <c:pt idx="300">
                  <c:v>643.10882212241802</c:v>
                </c:pt>
                <c:pt idx="301">
                  <c:v>644.73933503307012</c:v>
                </c:pt>
                <c:pt idx="302">
                  <c:v>646.36053579229497</c:v>
                </c:pt>
                <c:pt idx="303">
                  <c:v>647.97241609848743</c:v>
                </c:pt>
                <c:pt idx="304">
                  <c:v>649.57496887315313</c:v>
                </c:pt>
                <c:pt idx="305">
                  <c:v>651.16818824678944</c:v>
                </c:pt>
                <c:pt idx="306">
                  <c:v>652.75206954451824</c:v>
                </c:pt>
                <c:pt idx="307">
                  <c:v>654.32660927148606</c:v>
                </c:pt>
                <c:pt idx="308">
                  <c:v>655.89180509804623</c:v>
                </c:pt>
                <c:pt idx="309">
                  <c:v>657.44765584473794</c:v>
                </c:pt>
                <c:pt idx="310">
                  <c:v>658.99416146707529</c:v>
                </c:pt>
                <c:pt idx="311">
                  <c:v>660.53132304016174</c:v>
                </c:pt>
                <c:pt idx="312">
                  <c:v>662.05914274314296</c:v>
                </c:pt>
                <c:pt idx="313">
                  <c:v>663.57762384351099</c:v>
                </c:pt>
                <c:pt idx="314">
                  <c:v>665.08677068127304</c:v>
                </c:pt>
                <c:pt idx="315">
                  <c:v>666.58658865299788</c:v>
                </c:pt>
                <c:pt idx="316">
                  <c:v>668.0770841957517</c:v>
                </c:pt>
                <c:pt idx="317">
                  <c:v>669.55826477093592</c:v>
                </c:pt>
                <c:pt idx="318">
                  <c:v>671.03013884803829</c:v>
                </c:pt>
                <c:pt idx="319">
                  <c:v>672.49271588830936</c:v>
                </c:pt>
                <c:pt idx="320">
                  <c:v>673.94600632837444</c:v>
                </c:pt>
                <c:pt idx="321">
                  <c:v>675.39002156379343</c:v>
                </c:pt>
                <c:pt idx="322">
                  <c:v>676.8247739325775</c:v>
                </c:pt>
                <c:pt idx="323">
                  <c:v>678.25027669867404</c:v>
                </c:pt>
                <c:pt idx="324">
                  <c:v>679.66654403542896</c:v>
                </c:pt>
                <c:pt idx="325">
                  <c:v>681.07359100903705</c:v>
                </c:pt>
                <c:pt idx="326">
                  <c:v>682.47143356198876</c:v>
                </c:pt>
                <c:pt idx="327">
                  <c:v>683.86008849652308</c:v>
                </c:pt>
                <c:pt idx="328">
                  <c:v>685.23957345809504</c:v>
                </c:pt>
                <c:pt idx="329">
                  <c:v>686.60990691886695</c:v>
                </c:pt>
                <c:pt idx="330">
                  <c:v>687.97110816123075</c:v>
                </c:pt>
                <c:pt idx="331">
                  <c:v>689.32319726136973</c:v>
                </c:pt>
                <c:pt idx="332">
                  <c:v>690.66619507286805</c:v>
                </c:pt>
                <c:pt idx="333">
                  <c:v>692.00012321037445</c:v>
                </c:pt>
                <c:pt idx="334">
                  <c:v>693.3250040333279</c:v>
                </c:pt>
                <c:pt idx="335">
                  <c:v>694.64086062975196</c:v>
                </c:pt>
                <c:pt idx="336">
                  <c:v>695.94771680012423</c:v>
                </c:pt>
                <c:pt idx="337">
                  <c:v>697.24559704132776</c:v>
                </c:pt>
                <c:pt idx="338">
                  <c:v>698.5345265306903</c:v>
                </c:pt>
                <c:pt idx="339">
                  <c:v>699.81453111011706</c:v>
                </c:pt>
                <c:pt idx="340">
                  <c:v>701.08563727032254</c:v>
                </c:pt>
                <c:pt idx="341">
                  <c:v>702.34787213516756</c:v>
                </c:pt>
                <c:pt idx="342">
                  <c:v>703.60126344610615</c:v>
                </c:pt>
                <c:pt idx="343">
                  <c:v>704.84583954674633</c:v>
                </c:pt>
                <c:pt idx="344">
                  <c:v>706.08162936753138</c:v>
                </c:pt>
                <c:pt idx="345">
                  <c:v>707.30866241054434</c:v>
                </c:pt>
                <c:pt idx="346">
                  <c:v>708.52696873444097</c:v>
                </c:pt>
                <c:pt idx="347">
                  <c:v>709.73657893951429</c:v>
                </c:pt>
                <c:pt idx="348">
                  <c:v>710.93752415289578</c:v>
                </c:pt>
                <c:pt idx="349">
                  <c:v>712.12983601389578</c:v>
                </c:pt>
                <c:pt idx="350">
                  <c:v>713.31354665948641</c:v>
                </c:pt>
                <c:pt idx="351">
                  <c:v>714.48868870993147</c:v>
                </c:pt>
                <c:pt idx="352">
                  <c:v>715.65529525456475</c:v>
                </c:pt>
                <c:pt idx="353">
                  <c:v>716.81339983772034</c:v>
                </c:pt>
                <c:pt idx="354">
                  <c:v>717.96303644481804</c:v>
                </c:pt>
                <c:pt idx="355">
                  <c:v>719.10423948860489</c:v>
                </c:pt>
                <c:pt idx="356">
                  <c:v>720.23704379555659</c:v>
                </c:pt>
                <c:pt idx="357">
                  <c:v>721.36148459244043</c:v>
                </c:pt>
                <c:pt idx="358">
                  <c:v>722.47759749304055</c:v>
                </c:pt>
                <c:pt idx="359">
                  <c:v>723.58541848504933</c:v>
                </c:pt>
                <c:pt idx="360">
                  <c:v>724.68498391712455</c:v>
                </c:pt>
                <c:pt idx="361">
                  <c:v>725.77633048611517</c:v>
                </c:pt>
                <c:pt idx="362">
                  <c:v>726.8594952244564</c:v>
                </c:pt>
                <c:pt idx="363">
                  <c:v>727.93451548773498</c:v>
                </c:pt>
                <c:pt idx="364">
                  <c:v>729.00142894242629</c:v>
                </c:pt>
                <c:pt idx="365">
                  <c:v>730.060273553804</c:v>
                </c:pt>
                <c:pt idx="366">
                  <c:v>731.11108757402235</c:v>
                </c:pt>
                <c:pt idx="367">
                  <c:v>732.15390953037308</c:v>
                </c:pt>
                <c:pt idx="368">
                  <c:v>733.18877821371552</c:v>
                </c:pt>
                <c:pt idx="369">
                  <c:v>734.21573266708231</c:v>
                </c:pt>
                <c:pt idx="370">
                  <c:v>735.23481217445942</c:v>
                </c:pt>
                <c:pt idx="371">
                  <c:v>736.24605624974117</c:v>
                </c:pt>
                <c:pt idx="372">
                  <c:v>737.24950462586071</c:v>
                </c:pt>
                <c:pt idx="373">
                  <c:v>738.24519724409538</c:v>
                </c:pt>
                <c:pt idx="374">
                  <c:v>739.23317424354639</c:v>
                </c:pt>
                <c:pt idx="375">
                  <c:v>740.21347595079374</c:v>
                </c:pt>
                <c:pt idx="376">
                  <c:v>741.18614286972479</c:v>
                </c:pt>
                <c:pt idx="377">
                  <c:v>742.15121567153699</c:v>
                </c:pt>
                <c:pt idx="378">
                  <c:v>743.10873518491326</c:v>
                </c:pt>
                <c:pt idx="379">
                  <c:v>744.0587423863708</c:v>
                </c:pt>
                <c:pt idx="380">
                  <c:v>745.00127839078061</c:v>
                </c:pt>
                <c:pt idx="381">
                  <c:v>745.93638444205942</c:v>
                </c:pt>
                <c:pt idx="382">
                  <c:v>746.86410190403069</c:v>
                </c:pt>
                <c:pt idx="383">
                  <c:v>746.86410190403069</c:v>
                </c:pt>
                <c:pt idx="384">
                  <c:v>746.86410190403069</c:v>
                </c:pt>
                <c:pt idx="385">
                  <c:v>746.86410190403069</c:v>
                </c:pt>
                <c:pt idx="386">
                  <c:v>746.86410190403069</c:v>
                </c:pt>
                <c:pt idx="387">
                  <c:v>746.86410190403069</c:v>
                </c:pt>
                <c:pt idx="388">
                  <c:v>746.86410190403069</c:v>
                </c:pt>
                <c:pt idx="389">
                  <c:v>746.86410190403069</c:v>
                </c:pt>
                <c:pt idx="390">
                  <c:v>746.86410190403069</c:v>
                </c:pt>
                <c:pt idx="391">
                  <c:v>746.86410190403069</c:v>
                </c:pt>
                <c:pt idx="392">
                  <c:v>746.86410190403069</c:v>
                </c:pt>
                <c:pt idx="393">
                  <c:v>746.86410190403069</c:v>
                </c:pt>
                <c:pt idx="394">
                  <c:v>746.86410190403069</c:v>
                </c:pt>
                <c:pt idx="395">
                  <c:v>746.86410190403069</c:v>
                </c:pt>
                <c:pt idx="396">
                  <c:v>746.86410190403069</c:v>
                </c:pt>
                <c:pt idx="397">
                  <c:v>746.86410190403069</c:v>
                </c:pt>
                <c:pt idx="398">
                  <c:v>746.86410190403069</c:v>
                </c:pt>
                <c:pt idx="399">
                  <c:v>746.86410190403069</c:v>
                </c:pt>
                <c:pt idx="400">
                  <c:v>746.86410190403069</c:v>
                </c:pt>
                <c:pt idx="401">
                  <c:v>746.86410190403069</c:v>
                </c:pt>
                <c:pt idx="402">
                  <c:v>746.86410190403069</c:v>
                </c:pt>
                <c:pt idx="403">
                  <c:v>746.86410190403069</c:v>
                </c:pt>
                <c:pt idx="404">
                  <c:v>746.86410190403069</c:v>
                </c:pt>
                <c:pt idx="405">
                  <c:v>746.86410190403069</c:v>
                </c:pt>
                <c:pt idx="406">
                  <c:v>746.86410190403069</c:v>
                </c:pt>
                <c:pt idx="407">
                  <c:v>746.86410190403069</c:v>
                </c:pt>
                <c:pt idx="408">
                  <c:v>746.86410190403069</c:v>
                </c:pt>
                <c:pt idx="409">
                  <c:v>746.86410190403069</c:v>
                </c:pt>
                <c:pt idx="410">
                  <c:v>746.86410190403069</c:v>
                </c:pt>
                <c:pt idx="411">
                  <c:v>746.86410190403069</c:v>
                </c:pt>
                <c:pt idx="412">
                  <c:v>746.86410190403069</c:v>
                </c:pt>
                <c:pt idx="413">
                  <c:v>746.86410190403069</c:v>
                </c:pt>
                <c:pt idx="414">
                  <c:v>746.86410190403069</c:v>
                </c:pt>
                <c:pt idx="415">
                  <c:v>746.86410190403069</c:v>
                </c:pt>
                <c:pt idx="416">
                  <c:v>746.86410190403069</c:v>
                </c:pt>
                <c:pt idx="417">
                  <c:v>746.86410190403069</c:v>
                </c:pt>
                <c:pt idx="418">
                  <c:v>746.86410190403069</c:v>
                </c:pt>
                <c:pt idx="419">
                  <c:v>746.86410190403069</c:v>
                </c:pt>
                <c:pt idx="420">
                  <c:v>746.86410190403069</c:v>
                </c:pt>
                <c:pt idx="421">
                  <c:v>746.86410190403069</c:v>
                </c:pt>
                <c:pt idx="422">
                  <c:v>746.86410190403069</c:v>
                </c:pt>
                <c:pt idx="423">
                  <c:v>746.86410190403069</c:v>
                </c:pt>
                <c:pt idx="424">
                  <c:v>746.86410190403069</c:v>
                </c:pt>
                <c:pt idx="425">
                  <c:v>746.86410190403069</c:v>
                </c:pt>
                <c:pt idx="426">
                  <c:v>746.86410190403069</c:v>
                </c:pt>
                <c:pt idx="427">
                  <c:v>746.86410190403069</c:v>
                </c:pt>
                <c:pt idx="428">
                  <c:v>746.86410190403069</c:v>
                </c:pt>
                <c:pt idx="429">
                  <c:v>746.86410190403069</c:v>
                </c:pt>
                <c:pt idx="430">
                  <c:v>746.86410190403069</c:v>
                </c:pt>
                <c:pt idx="431">
                  <c:v>746.86410190403069</c:v>
                </c:pt>
                <c:pt idx="432">
                  <c:v>746.86410190403069</c:v>
                </c:pt>
                <c:pt idx="433">
                  <c:v>746.86410190403069</c:v>
                </c:pt>
                <c:pt idx="434">
                  <c:v>746.86410190403069</c:v>
                </c:pt>
                <c:pt idx="435">
                  <c:v>746.86410190403069</c:v>
                </c:pt>
                <c:pt idx="436">
                  <c:v>746.86410190403069</c:v>
                </c:pt>
                <c:pt idx="437">
                  <c:v>746.86410190403069</c:v>
                </c:pt>
                <c:pt idx="438">
                  <c:v>746.86410190403069</c:v>
                </c:pt>
                <c:pt idx="439">
                  <c:v>746.86410190403069</c:v>
                </c:pt>
                <c:pt idx="440">
                  <c:v>746.86410190403069</c:v>
                </c:pt>
                <c:pt idx="441">
                  <c:v>746.86410190403069</c:v>
                </c:pt>
                <c:pt idx="442">
                  <c:v>746.86410190403069</c:v>
                </c:pt>
                <c:pt idx="443">
                  <c:v>746.86410190403069</c:v>
                </c:pt>
                <c:pt idx="444">
                  <c:v>746.86410190403069</c:v>
                </c:pt>
                <c:pt idx="445">
                  <c:v>746.86410190403069</c:v>
                </c:pt>
                <c:pt idx="446">
                  <c:v>746.86410190403069</c:v>
                </c:pt>
                <c:pt idx="447">
                  <c:v>746.86410190403069</c:v>
                </c:pt>
                <c:pt idx="448">
                  <c:v>746.86410190403069</c:v>
                </c:pt>
                <c:pt idx="449">
                  <c:v>746.86410190403069</c:v>
                </c:pt>
                <c:pt idx="450">
                  <c:v>746.86410190403069</c:v>
                </c:pt>
                <c:pt idx="451">
                  <c:v>746.86410190403069</c:v>
                </c:pt>
                <c:pt idx="452">
                  <c:v>746.86410190403069</c:v>
                </c:pt>
                <c:pt idx="453">
                  <c:v>746.86410190403069</c:v>
                </c:pt>
                <c:pt idx="454">
                  <c:v>746.86410190403069</c:v>
                </c:pt>
                <c:pt idx="455">
                  <c:v>746.86410190403069</c:v>
                </c:pt>
                <c:pt idx="456">
                  <c:v>746.86410190403069</c:v>
                </c:pt>
                <c:pt idx="457">
                  <c:v>746.86410190403069</c:v>
                </c:pt>
                <c:pt idx="458">
                  <c:v>746.86410190403069</c:v>
                </c:pt>
                <c:pt idx="459">
                  <c:v>746.86410190403069</c:v>
                </c:pt>
                <c:pt idx="460">
                  <c:v>746.86410190403069</c:v>
                </c:pt>
                <c:pt idx="461">
                  <c:v>746.86410190403069</c:v>
                </c:pt>
                <c:pt idx="462">
                  <c:v>746.86410190403069</c:v>
                </c:pt>
                <c:pt idx="463">
                  <c:v>746.86410190403069</c:v>
                </c:pt>
                <c:pt idx="464">
                  <c:v>746.86410190403069</c:v>
                </c:pt>
                <c:pt idx="465">
                  <c:v>746.86410190403069</c:v>
                </c:pt>
                <c:pt idx="466">
                  <c:v>746.86410190403069</c:v>
                </c:pt>
                <c:pt idx="467">
                  <c:v>746.86410190403069</c:v>
                </c:pt>
                <c:pt idx="468">
                  <c:v>746.86410190403069</c:v>
                </c:pt>
                <c:pt idx="469">
                  <c:v>746.86410190403069</c:v>
                </c:pt>
                <c:pt idx="470">
                  <c:v>746.86410190403069</c:v>
                </c:pt>
                <c:pt idx="471">
                  <c:v>746.86410190403069</c:v>
                </c:pt>
                <c:pt idx="472">
                  <c:v>746.86410190403069</c:v>
                </c:pt>
                <c:pt idx="473">
                  <c:v>746.86410190403069</c:v>
                </c:pt>
                <c:pt idx="474">
                  <c:v>746.86410190403069</c:v>
                </c:pt>
                <c:pt idx="475">
                  <c:v>746.86410190403069</c:v>
                </c:pt>
                <c:pt idx="476">
                  <c:v>746.86410190403069</c:v>
                </c:pt>
                <c:pt idx="477">
                  <c:v>746.86410190403069</c:v>
                </c:pt>
                <c:pt idx="478">
                  <c:v>746.86410190403069</c:v>
                </c:pt>
                <c:pt idx="479">
                  <c:v>746.86410190403069</c:v>
                </c:pt>
                <c:pt idx="480">
                  <c:v>746.86410190403069</c:v>
                </c:pt>
                <c:pt idx="481">
                  <c:v>746.86410190403069</c:v>
                </c:pt>
                <c:pt idx="482">
                  <c:v>746.86410190403069</c:v>
                </c:pt>
                <c:pt idx="483">
                  <c:v>746.86410190403069</c:v>
                </c:pt>
                <c:pt idx="484">
                  <c:v>746.86410190403069</c:v>
                </c:pt>
                <c:pt idx="485">
                  <c:v>746.86410190403069</c:v>
                </c:pt>
                <c:pt idx="486">
                  <c:v>746.86410190403069</c:v>
                </c:pt>
                <c:pt idx="487">
                  <c:v>746.86410190403069</c:v>
                </c:pt>
                <c:pt idx="488">
                  <c:v>746.86410190403069</c:v>
                </c:pt>
                <c:pt idx="489">
                  <c:v>746.86410190403069</c:v>
                </c:pt>
                <c:pt idx="490">
                  <c:v>746.86410190403069</c:v>
                </c:pt>
                <c:pt idx="491">
                  <c:v>746.86410190403069</c:v>
                </c:pt>
                <c:pt idx="492">
                  <c:v>746.86410190403069</c:v>
                </c:pt>
                <c:pt idx="493">
                  <c:v>746.86410190403069</c:v>
                </c:pt>
                <c:pt idx="494">
                  <c:v>746.86410190403069</c:v>
                </c:pt>
                <c:pt idx="495">
                  <c:v>746.86410190403069</c:v>
                </c:pt>
                <c:pt idx="496">
                  <c:v>746.86410190403069</c:v>
                </c:pt>
                <c:pt idx="497">
                  <c:v>746.86410190403069</c:v>
                </c:pt>
                <c:pt idx="498">
                  <c:v>746.86410190403069</c:v>
                </c:pt>
                <c:pt idx="499">
                  <c:v>746.86410190403069</c:v>
                </c:pt>
                <c:pt idx="500">
                  <c:v>746.86410190403069</c:v>
                </c:pt>
                <c:pt idx="501">
                  <c:v>746.86410190403069</c:v>
                </c:pt>
                <c:pt idx="502">
                  <c:v>746.86410190403069</c:v>
                </c:pt>
                <c:pt idx="503">
                  <c:v>746.86410190403069</c:v>
                </c:pt>
                <c:pt idx="504">
                  <c:v>746.86410190403069</c:v>
                </c:pt>
                <c:pt idx="505">
                  <c:v>746.86410190403069</c:v>
                </c:pt>
                <c:pt idx="506">
                  <c:v>746.86410190403069</c:v>
                </c:pt>
                <c:pt idx="507">
                  <c:v>746.86410190403069</c:v>
                </c:pt>
                <c:pt idx="508">
                  <c:v>746.86410190403069</c:v>
                </c:pt>
                <c:pt idx="509">
                  <c:v>746.86410190403069</c:v>
                </c:pt>
                <c:pt idx="510">
                  <c:v>746.86410190403069</c:v>
                </c:pt>
                <c:pt idx="511">
                  <c:v>746.86410190403069</c:v>
                </c:pt>
                <c:pt idx="512">
                  <c:v>746.86410190403069</c:v>
                </c:pt>
                <c:pt idx="513">
                  <c:v>746.86410190403069</c:v>
                </c:pt>
                <c:pt idx="514">
                  <c:v>746.86410190403069</c:v>
                </c:pt>
                <c:pt idx="515">
                  <c:v>746.86410190403069</c:v>
                </c:pt>
                <c:pt idx="516">
                  <c:v>746.86410190403069</c:v>
                </c:pt>
                <c:pt idx="517">
                  <c:v>746.86410190403069</c:v>
                </c:pt>
                <c:pt idx="518">
                  <c:v>746.86410190403069</c:v>
                </c:pt>
                <c:pt idx="519">
                  <c:v>746.86410190403069</c:v>
                </c:pt>
                <c:pt idx="520">
                  <c:v>746.86410190403069</c:v>
                </c:pt>
                <c:pt idx="521">
                  <c:v>746.86410190403069</c:v>
                </c:pt>
                <c:pt idx="522">
                  <c:v>746.86410190403069</c:v>
                </c:pt>
                <c:pt idx="523">
                  <c:v>746.86410190403069</c:v>
                </c:pt>
                <c:pt idx="524">
                  <c:v>746.86410190403069</c:v>
                </c:pt>
                <c:pt idx="525">
                  <c:v>746.86410190403069</c:v>
                </c:pt>
                <c:pt idx="526">
                  <c:v>746.86410190403069</c:v>
                </c:pt>
                <c:pt idx="527">
                  <c:v>746.86410190403069</c:v>
                </c:pt>
                <c:pt idx="528">
                  <c:v>746.86410190403069</c:v>
                </c:pt>
                <c:pt idx="529">
                  <c:v>746.86410190403069</c:v>
                </c:pt>
                <c:pt idx="530">
                  <c:v>746.86410190403069</c:v>
                </c:pt>
                <c:pt idx="531">
                  <c:v>746.86410190403069</c:v>
                </c:pt>
                <c:pt idx="532">
                  <c:v>746.86410190403069</c:v>
                </c:pt>
                <c:pt idx="533">
                  <c:v>746.86410190403069</c:v>
                </c:pt>
                <c:pt idx="534">
                  <c:v>746.86410190403069</c:v>
                </c:pt>
                <c:pt idx="535">
                  <c:v>746.86410190403069</c:v>
                </c:pt>
                <c:pt idx="536">
                  <c:v>746.86410190403069</c:v>
                </c:pt>
                <c:pt idx="537">
                  <c:v>746.86410190403069</c:v>
                </c:pt>
                <c:pt idx="538">
                  <c:v>746.86410190403069</c:v>
                </c:pt>
                <c:pt idx="539">
                  <c:v>746.86410190403069</c:v>
                </c:pt>
                <c:pt idx="540">
                  <c:v>746.86410190403069</c:v>
                </c:pt>
                <c:pt idx="541">
                  <c:v>746.86410190403069</c:v>
                </c:pt>
                <c:pt idx="542">
                  <c:v>746.86410190403069</c:v>
                </c:pt>
                <c:pt idx="543">
                  <c:v>746.86410190403069</c:v>
                </c:pt>
                <c:pt idx="544">
                  <c:v>746.86410190403069</c:v>
                </c:pt>
                <c:pt idx="545">
                  <c:v>746.86410190403069</c:v>
                </c:pt>
                <c:pt idx="546">
                  <c:v>746.86410190403069</c:v>
                </c:pt>
                <c:pt idx="547">
                  <c:v>746.86410190403069</c:v>
                </c:pt>
                <c:pt idx="548">
                  <c:v>746.86410190403069</c:v>
                </c:pt>
                <c:pt idx="549">
                  <c:v>746.86410190403069</c:v>
                </c:pt>
                <c:pt idx="550">
                  <c:v>746.86410190403069</c:v>
                </c:pt>
                <c:pt idx="551">
                  <c:v>746.86410190403069</c:v>
                </c:pt>
                <c:pt idx="552">
                  <c:v>746.86410190403069</c:v>
                </c:pt>
                <c:pt idx="553">
                  <c:v>746.86410190403069</c:v>
                </c:pt>
                <c:pt idx="554">
                  <c:v>746.86410190403069</c:v>
                </c:pt>
                <c:pt idx="555">
                  <c:v>746.86410190403069</c:v>
                </c:pt>
                <c:pt idx="556">
                  <c:v>746.86410190403069</c:v>
                </c:pt>
                <c:pt idx="557">
                  <c:v>746.86410190403069</c:v>
                </c:pt>
                <c:pt idx="558">
                  <c:v>746.86410190403069</c:v>
                </c:pt>
                <c:pt idx="559">
                  <c:v>746.86410190403069</c:v>
                </c:pt>
                <c:pt idx="560">
                  <c:v>746.86410190403069</c:v>
                </c:pt>
                <c:pt idx="561">
                  <c:v>746.86410190403069</c:v>
                </c:pt>
                <c:pt idx="562">
                  <c:v>746.86410190403069</c:v>
                </c:pt>
                <c:pt idx="563">
                  <c:v>746.86410190403069</c:v>
                </c:pt>
                <c:pt idx="564">
                  <c:v>746.86410190403069</c:v>
                </c:pt>
                <c:pt idx="565">
                  <c:v>746.86410190403069</c:v>
                </c:pt>
                <c:pt idx="566">
                  <c:v>746.86410190403069</c:v>
                </c:pt>
                <c:pt idx="567">
                  <c:v>746.86410190403069</c:v>
                </c:pt>
                <c:pt idx="568">
                  <c:v>746.86410190403069</c:v>
                </c:pt>
                <c:pt idx="569">
                  <c:v>746.86410190403069</c:v>
                </c:pt>
                <c:pt idx="570">
                  <c:v>746.86410190403069</c:v>
                </c:pt>
                <c:pt idx="571">
                  <c:v>746.86410190403069</c:v>
                </c:pt>
                <c:pt idx="572">
                  <c:v>746.86410190403069</c:v>
                </c:pt>
                <c:pt idx="573">
                  <c:v>746.86410190403069</c:v>
                </c:pt>
                <c:pt idx="574">
                  <c:v>746.86410190403069</c:v>
                </c:pt>
                <c:pt idx="575">
                  <c:v>746.86410190403069</c:v>
                </c:pt>
                <c:pt idx="576">
                  <c:v>746.86410190403069</c:v>
                </c:pt>
                <c:pt idx="577">
                  <c:v>746.86410190403069</c:v>
                </c:pt>
                <c:pt idx="578">
                  <c:v>746.86410190403069</c:v>
                </c:pt>
                <c:pt idx="579">
                  <c:v>746.86410190403069</c:v>
                </c:pt>
                <c:pt idx="580">
                  <c:v>746.86410190403069</c:v>
                </c:pt>
                <c:pt idx="581">
                  <c:v>746.86410190403069</c:v>
                </c:pt>
                <c:pt idx="582">
                  <c:v>746.86410190403069</c:v>
                </c:pt>
                <c:pt idx="583">
                  <c:v>746.86410190403069</c:v>
                </c:pt>
                <c:pt idx="584">
                  <c:v>746.86410190403069</c:v>
                </c:pt>
                <c:pt idx="585">
                  <c:v>746.86410190403069</c:v>
                </c:pt>
                <c:pt idx="586">
                  <c:v>746.86410190403069</c:v>
                </c:pt>
                <c:pt idx="587">
                  <c:v>746.86410190403069</c:v>
                </c:pt>
                <c:pt idx="588">
                  <c:v>746.86410190403069</c:v>
                </c:pt>
                <c:pt idx="589">
                  <c:v>746.86410190403069</c:v>
                </c:pt>
                <c:pt idx="590">
                  <c:v>746.86410190403069</c:v>
                </c:pt>
                <c:pt idx="591">
                  <c:v>746.86410190403069</c:v>
                </c:pt>
                <c:pt idx="592">
                  <c:v>746.86410190403069</c:v>
                </c:pt>
                <c:pt idx="593">
                  <c:v>746.86410190403069</c:v>
                </c:pt>
                <c:pt idx="594">
                  <c:v>746.86410190403069</c:v>
                </c:pt>
                <c:pt idx="595">
                  <c:v>746.86410190403069</c:v>
                </c:pt>
                <c:pt idx="596">
                  <c:v>746.86410190403069</c:v>
                </c:pt>
                <c:pt idx="597">
                  <c:v>746.86410190403069</c:v>
                </c:pt>
                <c:pt idx="598">
                  <c:v>746.86410190403069</c:v>
                </c:pt>
                <c:pt idx="599">
                  <c:v>746.86410190403069</c:v>
                </c:pt>
                <c:pt idx="600">
                  <c:v>746.86410190403069</c:v>
                </c:pt>
                <c:pt idx="601">
                  <c:v>746.86410190403069</c:v>
                </c:pt>
                <c:pt idx="602">
                  <c:v>746.86410190403069</c:v>
                </c:pt>
                <c:pt idx="603">
                  <c:v>746.86410190403069</c:v>
                </c:pt>
                <c:pt idx="604">
                  <c:v>746.86410190403069</c:v>
                </c:pt>
                <c:pt idx="605">
                  <c:v>746.86410190403069</c:v>
                </c:pt>
                <c:pt idx="606">
                  <c:v>746.86410190403069</c:v>
                </c:pt>
                <c:pt idx="607">
                  <c:v>746.86410190403069</c:v>
                </c:pt>
                <c:pt idx="608">
                  <c:v>746.86410190403069</c:v>
                </c:pt>
                <c:pt idx="609">
                  <c:v>746.86410190403069</c:v>
                </c:pt>
                <c:pt idx="610">
                  <c:v>746.86410190403069</c:v>
                </c:pt>
                <c:pt idx="611">
                  <c:v>746.86410190403069</c:v>
                </c:pt>
                <c:pt idx="612">
                  <c:v>746.86410190403069</c:v>
                </c:pt>
                <c:pt idx="613">
                  <c:v>746.86410190403069</c:v>
                </c:pt>
                <c:pt idx="614">
                  <c:v>746.86410190403069</c:v>
                </c:pt>
                <c:pt idx="615">
                  <c:v>746.86410190403069</c:v>
                </c:pt>
                <c:pt idx="616">
                  <c:v>746.86410190403069</c:v>
                </c:pt>
                <c:pt idx="617">
                  <c:v>746.86410190403069</c:v>
                </c:pt>
                <c:pt idx="618">
                  <c:v>746.86410190403069</c:v>
                </c:pt>
                <c:pt idx="619">
                  <c:v>746.86410190403069</c:v>
                </c:pt>
                <c:pt idx="620">
                  <c:v>746.86410190403069</c:v>
                </c:pt>
                <c:pt idx="621">
                  <c:v>746.86410190403069</c:v>
                </c:pt>
                <c:pt idx="622">
                  <c:v>746.86410190403069</c:v>
                </c:pt>
                <c:pt idx="623">
                  <c:v>746.86410190403069</c:v>
                </c:pt>
                <c:pt idx="624">
                  <c:v>746.86410190403069</c:v>
                </c:pt>
                <c:pt idx="625">
                  <c:v>746.86410190403069</c:v>
                </c:pt>
                <c:pt idx="626">
                  <c:v>746.86410190403069</c:v>
                </c:pt>
                <c:pt idx="627">
                  <c:v>746.86410190403069</c:v>
                </c:pt>
                <c:pt idx="628">
                  <c:v>746.86410190403069</c:v>
                </c:pt>
                <c:pt idx="629">
                  <c:v>746.86410190403069</c:v>
                </c:pt>
                <c:pt idx="630">
                  <c:v>746.86410190403069</c:v>
                </c:pt>
                <c:pt idx="631">
                  <c:v>746.86410190403069</c:v>
                </c:pt>
                <c:pt idx="632">
                  <c:v>746.86410190403069</c:v>
                </c:pt>
                <c:pt idx="633">
                  <c:v>746.86410190403069</c:v>
                </c:pt>
                <c:pt idx="634">
                  <c:v>746.86410190403069</c:v>
                </c:pt>
                <c:pt idx="635">
                  <c:v>746.86410190403069</c:v>
                </c:pt>
                <c:pt idx="636">
                  <c:v>746.86410190403069</c:v>
                </c:pt>
                <c:pt idx="637">
                  <c:v>746.86410190403069</c:v>
                </c:pt>
                <c:pt idx="638">
                  <c:v>746.86410190403069</c:v>
                </c:pt>
                <c:pt idx="639">
                  <c:v>746.86410190403069</c:v>
                </c:pt>
                <c:pt idx="640">
                  <c:v>746.86410190403069</c:v>
                </c:pt>
                <c:pt idx="641">
                  <c:v>746.86410190403069</c:v>
                </c:pt>
                <c:pt idx="642">
                  <c:v>746.86410190403069</c:v>
                </c:pt>
                <c:pt idx="643">
                  <c:v>746.86410190403069</c:v>
                </c:pt>
                <c:pt idx="644">
                  <c:v>746.86410190403069</c:v>
                </c:pt>
                <c:pt idx="645">
                  <c:v>746.86410190403069</c:v>
                </c:pt>
                <c:pt idx="646">
                  <c:v>746.86410190403069</c:v>
                </c:pt>
                <c:pt idx="647">
                  <c:v>746.86410190403069</c:v>
                </c:pt>
                <c:pt idx="648">
                  <c:v>746.86410190403069</c:v>
                </c:pt>
                <c:pt idx="649">
                  <c:v>746.86410190403069</c:v>
                </c:pt>
                <c:pt idx="650">
                  <c:v>746.86410190403069</c:v>
                </c:pt>
                <c:pt idx="651">
                  <c:v>746.86410190403069</c:v>
                </c:pt>
                <c:pt idx="652">
                  <c:v>746.86410190403069</c:v>
                </c:pt>
                <c:pt idx="653">
                  <c:v>746.86410190403069</c:v>
                </c:pt>
                <c:pt idx="654">
                  <c:v>746.86410190403069</c:v>
                </c:pt>
                <c:pt idx="655">
                  <c:v>746.86410190403069</c:v>
                </c:pt>
                <c:pt idx="656">
                  <c:v>746.86410190403069</c:v>
                </c:pt>
                <c:pt idx="657">
                  <c:v>746.86410190403069</c:v>
                </c:pt>
                <c:pt idx="658">
                  <c:v>746.86410190403069</c:v>
                </c:pt>
                <c:pt idx="659">
                  <c:v>746.86410190403069</c:v>
                </c:pt>
                <c:pt idx="660">
                  <c:v>746.86410190403069</c:v>
                </c:pt>
                <c:pt idx="661">
                  <c:v>746.86410190403069</c:v>
                </c:pt>
                <c:pt idx="662">
                  <c:v>746.86410190403069</c:v>
                </c:pt>
                <c:pt idx="663">
                  <c:v>746.86410190403069</c:v>
                </c:pt>
                <c:pt idx="664">
                  <c:v>746.86410190403069</c:v>
                </c:pt>
                <c:pt idx="665">
                  <c:v>746.86410190403069</c:v>
                </c:pt>
                <c:pt idx="666">
                  <c:v>746.86410190403069</c:v>
                </c:pt>
                <c:pt idx="667">
                  <c:v>746.86410190403069</c:v>
                </c:pt>
                <c:pt idx="668">
                  <c:v>746.86410190403069</c:v>
                </c:pt>
                <c:pt idx="669">
                  <c:v>746.86410190403069</c:v>
                </c:pt>
                <c:pt idx="670">
                  <c:v>746.86410190403069</c:v>
                </c:pt>
                <c:pt idx="671">
                  <c:v>746.86410190403069</c:v>
                </c:pt>
                <c:pt idx="672">
                  <c:v>746.86410190403069</c:v>
                </c:pt>
                <c:pt idx="673">
                  <c:v>746.86410190403069</c:v>
                </c:pt>
                <c:pt idx="674">
                  <c:v>746.86410190403069</c:v>
                </c:pt>
                <c:pt idx="675">
                  <c:v>746.86410190403069</c:v>
                </c:pt>
                <c:pt idx="676">
                  <c:v>746.86410190403069</c:v>
                </c:pt>
                <c:pt idx="677">
                  <c:v>746.86410190403069</c:v>
                </c:pt>
                <c:pt idx="678">
                  <c:v>746.86410190403069</c:v>
                </c:pt>
                <c:pt idx="679">
                  <c:v>746.86410190403069</c:v>
                </c:pt>
                <c:pt idx="680">
                  <c:v>746.86410190403069</c:v>
                </c:pt>
                <c:pt idx="681">
                  <c:v>746.86410190403069</c:v>
                </c:pt>
                <c:pt idx="682">
                  <c:v>746.86410190403069</c:v>
                </c:pt>
                <c:pt idx="683">
                  <c:v>746.86410190403069</c:v>
                </c:pt>
                <c:pt idx="684">
                  <c:v>746.86410190403069</c:v>
                </c:pt>
                <c:pt idx="685">
                  <c:v>746.86410190403069</c:v>
                </c:pt>
                <c:pt idx="686">
                  <c:v>746.86410190403069</c:v>
                </c:pt>
                <c:pt idx="687">
                  <c:v>746.86410190403069</c:v>
                </c:pt>
                <c:pt idx="688">
                  <c:v>746.86410190403069</c:v>
                </c:pt>
                <c:pt idx="689">
                  <c:v>746.86410190403069</c:v>
                </c:pt>
                <c:pt idx="690">
                  <c:v>746.86410190403069</c:v>
                </c:pt>
                <c:pt idx="691">
                  <c:v>746.86410190403069</c:v>
                </c:pt>
                <c:pt idx="692">
                  <c:v>746.86410190403069</c:v>
                </c:pt>
                <c:pt idx="693">
                  <c:v>746.86410190403069</c:v>
                </c:pt>
                <c:pt idx="694">
                  <c:v>746.86410190403069</c:v>
                </c:pt>
                <c:pt idx="695">
                  <c:v>746.86410190403069</c:v>
                </c:pt>
                <c:pt idx="696">
                  <c:v>746.86410190403069</c:v>
                </c:pt>
                <c:pt idx="697">
                  <c:v>746.86410190403069</c:v>
                </c:pt>
                <c:pt idx="698">
                  <c:v>746.86410190403069</c:v>
                </c:pt>
                <c:pt idx="699">
                  <c:v>746.86410190403069</c:v>
                </c:pt>
                <c:pt idx="700">
                  <c:v>746.86410190403069</c:v>
                </c:pt>
                <c:pt idx="701">
                  <c:v>746.86410190403069</c:v>
                </c:pt>
                <c:pt idx="702">
                  <c:v>746.86410190403069</c:v>
                </c:pt>
                <c:pt idx="703">
                  <c:v>746.86410190403069</c:v>
                </c:pt>
                <c:pt idx="704">
                  <c:v>746.86410190403069</c:v>
                </c:pt>
                <c:pt idx="705">
                  <c:v>746.86410190403069</c:v>
                </c:pt>
                <c:pt idx="706">
                  <c:v>746.86410190403069</c:v>
                </c:pt>
                <c:pt idx="707">
                  <c:v>746.86410190403069</c:v>
                </c:pt>
                <c:pt idx="708">
                  <c:v>746.86410190403069</c:v>
                </c:pt>
                <c:pt idx="709">
                  <c:v>746.86410190403069</c:v>
                </c:pt>
                <c:pt idx="710">
                  <c:v>746.86410190403069</c:v>
                </c:pt>
                <c:pt idx="711">
                  <c:v>746.86410190403069</c:v>
                </c:pt>
                <c:pt idx="712">
                  <c:v>746.86410190403069</c:v>
                </c:pt>
                <c:pt idx="713">
                  <c:v>746.86410190403069</c:v>
                </c:pt>
                <c:pt idx="714">
                  <c:v>746.86410190403069</c:v>
                </c:pt>
                <c:pt idx="715">
                  <c:v>746.86410190403069</c:v>
                </c:pt>
                <c:pt idx="716">
                  <c:v>746.86410190403069</c:v>
                </c:pt>
                <c:pt idx="717">
                  <c:v>746.86410190403069</c:v>
                </c:pt>
                <c:pt idx="718">
                  <c:v>746.86410190403069</c:v>
                </c:pt>
                <c:pt idx="719">
                  <c:v>746.86410190403069</c:v>
                </c:pt>
                <c:pt idx="720">
                  <c:v>746.86410190403069</c:v>
                </c:pt>
                <c:pt idx="721">
                  <c:v>746.86410190403069</c:v>
                </c:pt>
                <c:pt idx="722">
                  <c:v>746.86410190403069</c:v>
                </c:pt>
                <c:pt idx="723">
                  <c:v>746.86410190403069</c:v>
                </c:pt>
                <c:pt idx="724">
                  <c:v>746.86410190403069</c:v>
                </c:pt>
                <c:pt idx="725">
                  <c:v>746.86410190403069</c:v>
                </c:pt>
                <c:pt idx="726">
                  <c:v>746.86410190403069</c:v>
                </c:pt>
                <c:pt idx="727">
                  <c:v>746.86410190403069</c:v>
                </c:pt>
                <c:pt idx="728">
                  <c:v>746.86410190403069</c:v>
                </c:pt>
                <c:pt idx="729">
                  <c:v>746.86410190403069</c:v>
                </c:pt>
                <c:pt idx="730">
                  <c:v>746.86410190403069</c:v>
                </c:pt>
                <c:pt idx="731">
                  <c:v>746.86410190403069</c:v>
                </c:pt>
                <c:pt idx="732">
                  <c:v>746.86410190403069</c:v>
                </c:pt>
                <c:pt idx="733">
                  <c:v>746.86410190403069</c:v>
                </c:pt>
                <c:pt idx="734">
                  <c:v>746.86410190403069</c:v>
                </c:pt>
                <c:pt idx="735">
                  <c:v>746.86410190403069</c:v>
                </c:pt>
                <c:pt idx="736">
                  <c:v>746.86410190403069</c:v>
                </c:pt>
                <c:pt idx="737">
                  <c:v>746.86410190403069</c:v>
                </c:pt>
                <c:pt idx="738">
                  <c:v>746.86410190403069</c:v>
                </c:pt>
                <c:pt idx="739">
                  <c:v>746.86410190403069</c:v>
                </c:pt>
                <c:pt idx="740">
                  <c:v>746.86410190403069</c:v>
                </c:pt>
                <c:pt idx="741">
                  <c:v>746.86410190403069</c:v>
                </c:pt>
                <c:pt idx="742">
                  <c:v>746.86410190403069</c:v>
                </c:pt>
                <c:pt idx="743">
                  <c:v>746.86410190403069</c:v>
                </c:pt>
                <c:pt idx="744">
                  <c:v>746.86410190403069</c:v>
                </c:pt>
                <c:pt idx="745">
                  <c:v>746.86410190403069</c:v>
                </c:pt>
                <c:pt idx="746">
                  <c:v>746.86410190403069</c:v>
                </c:pt>
                <c:pt idx="747">
                  <c:v>746.86410190403069</c:v>
                </c:pt>
                <c:pt idx="748">
                  <c:v>746.86410190403069</c:v>
                </c:pt>
                <c:pt idx="749">
                  <c:v>746.86410190403069</c:v>
                </c:pt>
                <c:pt idx="750">
                  <c:v>746.86410190403069</c:v>
                </c:pt>
                <c:pt idx="751">
                  <c:v>746.86410190403069</c:v>
                </c:pt>
                <c:pt idx="752">
                  <c:v>746.86410190403069</c:v>
                </c:pt>
                <c:pt idx="753">
                  <c:v>746.86410190403069</c:v>
                </c:pt>
                <c:pt idx="754">
                  <c:v>746.86410190403069</c:v>
                </c:pt>
                <c:pt idx="755">
                  <c:v>746.86410190403069</c:v>
                </c:pt>
                <c:pt idx="756">
                  <c:v>746.86410190403069</c:v>
                </c:pt>
                <c:pt idx="757">
                  <c:v>746.86410190403069</c:v>
                </c:pt>
                <c:pt idx="758">
                  <c:v>746.86410190403069</c:v>
                </c:pt>
                <c:pt idx="759">
                  <c:v>746.86410190403069</c:v>
                </c:pt>
                <c:pt idx="760">
                  <c:v>746.86410190403069</c:v>
                </c:pt>
                <c:pt idx="761">
                  <c:v>746.86410190403069</c:v>
                </c:pt>
                <c:pt idx="762">
                  <c:v>746.86410190403069</c:v>
                </c:pt>
                <c:pt idx="763">
                  <c:v>746.86410190403069</c:v>
                </c:pt>
                <c:pt idx="764">
                  <c:v>746.86410190403069</c:v>
                </c:pt>
                <c:pt idx="765">
                  <c:v>746.86410190403069</c:v>
                </c:pt>
                <c:pt idx="766">
                  <c:v>746.86410190403069</c:v>
                </c:pt>
                <c:pt idx="767">
                  <c:v>746.86410190403069</c:v>
                </c:pt>
                <c:pt idx="768">
                  <c:v>746.86410190403069</c:v>
                </c:pt>
                <c:pt idx="769">
                  <c:v>746.86410190403069</c:v>
                </c:pt>
                <c:pt idx="770">
                  <c:v>746.86410190403069</c:v>
                </c:pt>
                <c:pt idx="771">
                  <c:v>746.86410190403069</c:v>
                </c:pt>
                <c:pt idx="772">
                  <c:v>746.86410190403069</c:v>
                </c:pt>
                <c:pt idx="773">
                  <c:v>746.86410190403069</c:v>
                </c:pt>
                <c:pt idx="774">
                  <c:v>746.86410190403069</c:v>
                </c:pt>
                <c:pt idx="775">
                  <c:v>746.86410190403069</c:v>
                </c:pt>
                <c:pt idx="776">
                  <c:v>746.86410190403069</c:v>
                </c:pt>
                <c:pt idx="777">
                  <c:v>746.86410190403069</c:v>
                </c:pt>
                <c:pt idx="778">
                  <c:v>746.86410190403069</c:v>
                </c:pt>
                <c:pt idx="779">
                  <c:v>746.86410190403069</c:v>
                </c:pt>
                <c:pt idx="780">
                  <c:v>746.86410190403069</c:v>
                </c:pt>
                <c:pt idx="781">
                  <c:v>746.86410190403069</c:v>
                </c:pt>
                <c:pt idx="782">
                  <c:v>746.86410190403069</c:v>
                </c:pt>
                <c:pt idx="783">
                  <c:v>746.86410190403069</c:v>
                </c:pt>
                <c:pt idx="784">
                  <c:v>746.86410190403069</c:v>
                </c:pt>
                <c:pt idx="785">
                  <c:v>746.86410190403069</c:v>
                </c:pt>
                <c:pt idx="786">
                  <c:v>746.86410190403069</c:v>
                </c:pt>
                <c:pt idx="787">
                  <c:v>746.86410190403069</c:v>
                </c:pt>
                <c:pt idx="788">
                  <c:v>746.86410190403069</c:v>
                </c:pt>
                <c:pt idx="789">
                  <c:v>746.86410190403069</c:v>
                </c:pt>
                <c:pt idx="790">
                  <c:v>746.86410190403069</c:v>
                </c:pt>
                <c:pt idx="791">
                  <c:v>746.86410190403069</c:v>
                </c:pt>
                <c:pt idx="792">
                  <c:v>746.86410190403069</c:v>
                </c:pt>
                <c:pt idx="793">
                  <c:v>746.86410190403069</c:v>
                </c:pt>
                <c:pt idx="794">
                  <c:v>746.86410190403069</c:v>
                </c:pt>
                <c:pt idx="795">
                  <c:v>746.86410190403069</c:v>
                </c:pt>
                <c:pt idx="796">
                  <c:v>746.86410190403069</c:v>
                </c:pt>
                <c:pt idx="797">
                  <c:v>746.86410190403069</c:v>
                </c:pt>
                <c:pt idx="798">
                  <c:v>746.86410190403069</c:v>
                </c:pt>
                <c:pt idx="799">
                  <c:v>746.86410190403069</c:v>
                </c:pt>
                <c:pt idx="800">
                  <c:v>746.86410190403069</c:v>
                </c:pt>
                <c:pt idx="801">
                  <c:v>746.86410190403069</c:v>
                </c:pt>
                <c:pt idx="802">
                  <c:v>746.86410190403069</c:v>
                </c:pt>
                <c:pt idx="803">
                  <c:v>746.86410190403069</c:v>
                </c:pt>
                <c:pt idx="804">
                  <c:v>746.86410190403069</c:v>
                </c:pt>
                <c:pt idx="805">
                  <c:v>746.86410190403069</c:v>
                </c:pt>
                <c:pt idx="806">
                  <c:v>746.86410190403069</c:v>
                </c:pt>
                <c:pt idx="807">
                  <c:v>746.86410190403069</c:v>
                </c:pt>
                <c:pt idx="808">
                  <c:v>746.86410190403069</c:v>
                </c:pt>
                <c:pt idx="809">
                  <c:v>746.86410190403069</c:v>
                </c:pt>
                <c:pt idx="810">
                  <c:v>746.86410190403069</c:v>
                </c:pt>
                <c:pt idx="811">
                  <c:v>746.86410190403069</c:v>
                </c:pt>
                <c:pt idx="812">
                  <c:v>746.86410190403069</c:v>
                </c:pt>
                <c:pt idx="813">
                  <c:v>746.86410190403069</c:v>
                </c:pt>
                <c:pt idx="814">
                  <c:v>746.86410190403069</c:v>
                </c:pt>
                <c:pt idx="815">
                  <c:v>746.86410190403069</c:v>
                </c:pt>
                <c:pt idx="816">
                  <c:v>746.86410190403069</c:v>
                </c:pt>
                <c:pt idx="817">
                  <c:v>746.86410190403069</c:v>
                </c:pt>
                <c:pt idx="818">
                  <c:v>746.86410190403069</c:v>
                </c:pt>
                <c:pt idx="819">
                  <c:v>746.86410190403069</c:v>
                </c:pt>
                <c:pt idx="820">
                  <c:v>746.86410190403069</c:v>
                </c:pt>
                <c:pt idx="821">
                  <c:v>746.86410190403069</c:v>
                </c:pt>
                <c:pt idx="822">
                  <c:v>746.86410190403069</c:v>
                </c:pt>
                <c:pt idx="823">
                  <c:v>746.86410190403069</c:v>
                </c:pt>
                <c:pt idx="824">
                  <c:v>746.86410190403069</c:v>
                </c:pt>
                <c:pt idx="825">
                  <c:v>746.86410190403069</c:v>
                </c:pt>
                <c:pt idx="826">
                  <c:v>746.86410190403069</c:v>
                </c:pt>
                <c:pt idx="827">
                  <c:v>746.86410190403069</c:v>
                </c:pt>
                <c:pt idx="828">
                  <c:v>746.86410190403069</c:v>
                </c:pt>
                <c:pt idx="829">
                  <c:v>746.86410190403069</c:v>
                </c:pt>
                <c:pt idx="830">
                  <c:v>746.86410190403069</c:v>
                </c:pt>
                <c:pt idx="831">
                  <c:v>746.86410190403069</c:v>
                </c:pt>
                <c:pt idx="832">
                  <c:v>746.86410190403069</c:v>
                </c:pt>
                <c:pt idx="833">
                  <c:v>746.86410190403069</c:v>
                </c:pt>
                <c:pt idx="834">
                  <c:v>746.86410190403069</c:v>
                </c:pt>
                <c:pt idx="835">
                  <c:v>746.86410190403069</c:v>
                </c:pt>
                <c:pt idx="836">
                  <c:v>746.86410190403069</c:v>
                </c:pt>
                <c:pt idx="837">
                  <c:v>746.86410190403069</c:v>
                </c:pt>
                <c:pt idx="838">
                  <c:v>746.86410190403069</c:v>
                </c:pt>
                <c:pt idx="839">
                  <c:v>746.86410190403069</c:v>
                </c:pt>
                <c:pt idx="840">
                  <c:v>746.86410190403069</c:v>
                </c:pt>
                <c:pt idx="841">
                  <c:v>746.86410190403069</c:v>
                </c:pt>
                <c:pt idx="842">
                  <c:v>746.86410190403069</c:v>
                </c:pt>
                <c:pt idx="843">
                  <c:v>746.86410190403069</c:v>
                </c:pt>
                <c:pt idx="844">
                  <c:v>746.86410190403069</c:v>
                </c:pt>
                <c:pt idx="845">
                  <c:v>746.86410190403069</c:v>
                </c:pt>
                <c:pt idx="846">
                  <c:v>746.86410190403069</c:v>
                </c:pt>
                <c:pt idx="847">
                  <c:v>746.86410190403069</c:v>
                </c:pt>
                <c:pt idx="848">
                  <c:v>746.86410190403069</c:v>
                </c:pt>
                <c:pt idx="849">
                  <c:v>746.86410190403069</c:v>
                </c:pt>
                <c:pt idx="850">
                  <c:v>746.86410190403069</c:v>
                </c:pt>
                <c:pt idx="851">
                  <c:v>746.86410190403069</c:v>
                </c:pt>
                <c:pt idx="852">
                  <c:v>746.86410190403069</c:v>
                </c:pt>
                <c:pt idx="853">
                  <c:v>746.86410190403069</c:v>
                </c:pt>
                <c:pt idx="854">
                  <c:v>746.86410190403069</c:v>
                </c:pt>
                <c:pt idx="855">
                  <c:v>746.86410190403069</c:v>
                </c:pt>
                <c:pt idx="856">
                  <c:v>746.86410190403069</c:v>
                </c:pt>
                <c:pt idx="857">
                  <c:v>746.86410190403069</c:v>
                </c:pt>
                <c:pt idx="858">
                  <c:v>746.86410190403069</c:v>
                </c:pt>
                <c:pt idx="859">
                  <c:v>746.86410190403069</c:v>
                </c:pt>
                <c:pt idx="860">
                  <c:v>746.86410190403069</c:v>
                </c:pt>
                <c:pt idx="861">
                  <c:v>746.86410190403069</c:v>
                </c:pt>
                <c:pt idx="862">
                  <c:v>746.86410190403069</c:v>
                </c:pt>
                <c:pt idx="863">
                  <c:v>746.86410190403069</c:v>
                </c:pt>
                <c:pt idx="864">
                  <c:v>746.86410190403069</c:v>
                </c:pt>
                <c:pt idx="865">
                  <c:v>746.86410190403069</c:v>
                </c:pt>
                <c:pt idx="866">
                  <c:v>746.86410190403069</c:v>
                </c:pt>
                <c:pt idx="867">
                  <c:v>746.86410190403069</c:v>
                </c:pt>
                <c:pt idx="868">
                  <c:v>746.86410190403069</c:v>
                </c:pt>
                <c:pt idx="869">
                  <c:v>746.86410190403069</c:v>
                </c:pt>
                <c:pt idx="870">
                  <c:v>746.86410190403069</c:v>
                </c:pt>
                <c:pt idx="871">
                  <c:v>746.86410190403069</c:v>
                </c:pt>
                <c:pt idx="872">
                  <c:v>746.86410190403069</c:v>
                </c:pt>
                <c:pt idx="873">
                  <c:v>746.86410190403069</c:v>
                </c:pt>
                <c:pt idx="874">
                  <c:v>746.86410190403069</c:v>
                </c:pt>
                <c:pt idx="875">
                  <c:v>746.86410190403069</c:v>
                </c:pt>
                <c:pt idx="876">
                  <c:v>746.86410190403069</c:v>
                </c:pt>
                <c:pt idx="877">
                  <c:v>746.86410190403069</c:v>
                </c:pt>
                <c:pt idx="878">
                  <c:v>746.86410190403069</c:v>
                </c:pt>
                <c:pt idx="879">
                  <c:v>746.86410190403069</c:v>
                </c:pt>
                <c:pt idx="880">
                  <c:v>746.86410190403069</c:v>
                </c:pt>
                <c:pt idx="881">
                  <c:v>746.86410190403069</c:v>
                </c:pt>
                <c:pt idx="882">
                  <c:v>746.86410190403069</c:v>
                </c:pt>
                <c:pt idx="883">
                  <c:v>746.86410190403069</c:v>
                </c:pt>
                <c:pt idx="884">
                  <c:v>746.86410190403069</c:v>
                </c:pt>
                <c:pt idx="885">
                  <c:v>746.86410190403069</c:v>
                </c:pt>
                <c:pt idx="886">
                  <c:v>746.86410190403069</c:v>
                </c:pt>
                <c:pt idx="887">
                  <c:v>746.86410190403069</c:v>
                </c:pt>
                <c:pt idx="888">
                  <c:v>746.86410190403069</c:v>
                </c:pt>
                <c:pt idx="889">
                  <c:v>746.86410190403069</c:v>
                </c:pt>
                <c:pt idx="890">
                  <c:v>746.86410190403069</c:v>
                </c:pt>
                <c:pt idx="891">
                  <c:v>746.86410190403069</c:v>
                </c:pt>
                <c:pt idx="892">
                  <c:v>746.86410190403069</c:v>
                </c:pt>
                <c:pt idx="893">
                  <c:v>746.86410190403069</c:v>
                </c:pt>
                <c:pt idx="894">
                  <c:v>746.86410190403069</c:v>
                </c:pt>
                <c:pt idx="895">
                  <c:v>746.86410190403069</c:v>
                </c:pt>
                <c:pt idx="896">
                  <c:v>746.86410190403069</c:v>
                </c:pt>
                <c:pt idx="897">
                  <c:v>746.86410190403069</c:v>
                </c:pt>
                <c:pt idx="898">
                  <c:v>746.86410190403069</c:v>
                </c:pt>
                <c:pt idx="899">
                  <c:v>746.86410190403069</c:v>
                </c:pt>
                <c:pt idx="900">
                  <c:v>746.86410190403069</c:v>
                </c:pt>
                <c:pt idx="901">
                  <c:v>746.86410190403069</c:v>
                </c:pt>
                <c:pt idx="902">
                  <c:v>746.86410190403069</c:v>
                </c:pt>
                <c:pt idx="903">
                  <c:v>746.86410190403069</c:v>
                </c:pt>
                <c:pt idx="904">
                  <c:v>746.86410190403069</c:v>
                </c:pt>
                <c:pt idx="905">
                  <c:v>746.86410190403069</c:v>
                </c:pt>
                <c:pt idx="906">
                  <c:v>746.86410190403069</c:v>
                </c:pt>
                <c:pt idx="907">
                  <c:v>746.86410190403069</c:v>
                </c:pt>
                <c:pt idx="908">
                  <c:v>746.86410190403069</c:v>
                </c:pt>
                <c:pt idx="909">
                  <c:v>746.86410190403069</c:v>
                </c:pt>
                <c:pt idx="910">
                  <c:v>746.86410190403069</c:v>
                </c:pt>
                <c:pt idx="911">
                  <c:v>746.86410190403069</c:v>
                </c:pt>
                <c:pt idx="912">
                  <c:v>746.86410190403069</c:v>
                </c:pt>
                <c:pt idx="913">
                  <c:v>746.86410190403069</c:v>
                </c:pt>
                <c:pt idx="914">
                  <c:v>746.86410190403069</c:v>
                </c:pt>
                <c:pt idx="915">
                  <c:v>746.86410190403069</c:v>
                </c:pt>
                <c:pt idx="916">
                  <c:v>746.86410190403069</c:v>
                </c:pt>
                <c:pt idx="917">
                  <c:v>746.86410190403069</c:v>
                </c:pt>
                <c:pt idx="918">
                  <c:v>746.86410190403069</c:v>
                </c:pt>
                <c:pt idx="919">
                  <c:v>746.86410190403069</c:v>
                </c:pt>
                <c:pt idx="920">
                  <c:v>746.86410190403069</c:v>
                </c:pt>
                <c:pt idx="921">
                  <c:v>746.86410190403069</c:v>
                </c:pt>
                <c:pt idx="922">
                  <c:v>746.86410190403069</c:v>
                </c:pt>
                <c:pt idx="923">
                  <c:v>746.86410190403069</c:v>
                </c:pt>
                <c:pt idx="924">
                  <c:v>746.86410190403069</c:v>
                </c:pt>
                <c:pt idx="925">
                  <c:v>746.86410190403069</c:v>
                </c:pt>
                <c:pt idx="926">
                  <c:v>746.86410190403069</c:v>
                </c:pt>
                <c:pt idx="927">
                  <c:v>746.86410190403069</c:v>
                </c:pt>
                <c:pt idx="928">
                  <c:v>746.86410190403069</c:v>
                </c:pt>
                <c:pt idx="929">
                  <c:v>746.86410190403069</c:v>
                </c:pt>
                <c:pt idx="930">
                  <c:v>746.86410190403069</c:v>
                </c:pt>
                <c:pt idx="931">
                  <c:v>746.86410190403069</c:v>
                </c:pt>
                <c:pt idx="932">
                  <c:v>746.86410190403069</c:v>
                </c:pt>
                <c:pt idx="933">
                  <c:v>746.86410190403069</c:v>
                </c:pt>
                <c:pt idx="934">
                  <c:v>746.86410190403069</c:v>
                </c:pt>
                <c:pt idx="935">
                  <c:v>746.86410190403069</c:v>
                </c:pt>
                <c:pt idx="936">
                  <c:v>746.86410190403069</c:v>
                </c:pt>
                <c:pt idx="937">
                  <c:v>746.86410190403069</c:v>
                </c:pt>
                <c:pt idx="938">
                  <c:v>746.86410190403069</c:v>
                </c:pt>
                <c:pt idx="939">
                  <c:v>746.86410190403069</c:v>
                </c:pt>
                <c:pt idx="940">
                  <c:v>746.86410190403069</c:v>
                </c:pt>
                <c:pt idx="941">
                  <c:v>746.86410190403069</c:v>
                </c:pt>
                <c:pt idx="942">
                  <c:v>746.86410190403069</c:v>
                </c:pt>
                <c:pt idx="943">
                  <c:v>746.86410190403069</c:v>
                </c:pt>
                <c:pt idx="944">
                  <c:v>746.86410190403069</c:v>
                </c:pt>
                <c:pt idx="945">
                  <c:v>746.86410190403069</c:v>
                </c:pt>
                <c:pt idx="946">
                  <c:v>746.86410190403069</c:v>
                </c:pt>
                <c:pt idx="947">
                  <c:v>746.86410190403069</c:v>
                </c:pt>
                <c:pt idx="948">
                  <c:v>746.86410190403069</c:v>
                </c:pt>
                <c:pt idx="949">
                  <c:v>746.86410190403069</c:v>
                </c:pt>
                <c:pt idx="950">
                  <c:v>746.86410190403069</c:v>
                </c:pt>
                <c:pt idx="951">
                  <c:v>746.86410190403069</c:v>
                </c:pt>
                <c:pt idx="952">
                  <c:v>746.86410190403069</c:v>
                </c:pt>
                <c:pt idx="953">
                  <c:v>746.86410190403069</c:v>
                </c:pt>
                <c:pt idx="954">
                  <c:v>746.86410190403069</c:v>
                </c:pt>
                <c:pt idx="955">
                  <c:v>746.86410190403069</c:v>
                </c:pt>
                <c:pt idx="956">
                  <c:v>746.86410190403069</c:v>
                </c:pt>
                <c:pt idx="957">
                  <c:v>746.86410190403069</c:v>
                </c:pt>
                <c:pt idx="958">
                  <c:v>746.86410190403069</c:v>
                </c:pt>
                <c:pt idx="959">
                  <c:v>746.86410190403069</c:v>
                </c:pt>
                <c:pt idx="960">
                  <c:v>746.86410190403069</c:v>
                </c:pt>
                <c:pt idx="961">
                  <c:v>746.86410190403069</c:v>
                </c:pt>
                <c:pt idx="962">
                  <c:v>746.86410190403069</c:v>
                </c:pt>
                <c:pt idx="963">
                  <c:v>746.86410190403069</c:v>
                </c:pt>
                <c:pt idx="964">
                  <c:v>746.86410190403069</c:v>
                </c:pt>
                <c:pt idx="965">
                  <c:v>746.86410190403069</c:v>
                </c:pt>
                <c:pt idx="966">
                  <c:v>746.86410190403069</c:v>
                </c:pt>
                <c:pt idx="967">
                  <c:v>746.86410190403069</c:v>
                </c:pt>
                <c:pt idx="968">
                  <c:v>746.86410190403069</c:v>
                </c:pt>
                <c:pt idx="969">
                  <c:v>746.86410190403069</c:v>
                </c:pt>
                <c:pt idx="970">
                  <c:v>746.86410190403069</c:v>
                </c:pt>
                <c:pt idx="971">
                  <c:v>746.86410190403069</c:v>
                </c:pt>
                <c:pt idx="972">
                  <c:v>746.86410190403069</c:v>
                </c:pt>
                <c:pt idx="973">
                  <c:v>746.86410190403069</c:v>
                </c:pt>
                <c:pt idx="974">
                  <c:v>746.86410190403069</c:v>
                </c:pt>
                <c:pt idx="975">
                  <c:v>746.86410190403069</c:v>
                </c:pt>
                <c:pt idx="976">
                  <c:v>746.86410190403069</c:v>
                </c:pt>
                <c:pt idx="977">
                  <c:v>746.86410190403069</c:v>
                </c:pt>
                <c:pt idx="978">
                  <c:v>746.86410190403069</c:v>
                </c:pt>
                <c:pt idx="979">
                  <c:v>746.86410190403069</c:v>
                </c:pt>
                <c:pt idx="980">
                  <c:v>746.86410190403069</c:v>
                </c:pt>
                <c:pt idx="981">
                  <c:v>746.86410190403069</c:v>
                </c:pt>
                <c:pt idx="982">
                  <c:v>746.86410190403069</c:v>
                </c:pt>
                <c:pt idx="983">
                  <c:v>746.86410190403069</c:v>
                </c:pt>
                <c:pt idx="984">
                  <c:v>746.86410190403069</c:v>
                </c:pt>
                <c:pt idx="985">
                  <c:v>746.86410190403069</c:v>
                </c:pt>
                <c:pt idx="986">
                  <c:v>746.86410190403069</c:v>
                </c:pt>
                <c:pt idx="987">
                  <c:v>746.86410190403069</c:v>
                </c:pt>
                <c:pt idx="988">
                  <c:v>746.86410190403069</c:v>
                </c:pt>
                <c:pt idx="989">
                  <c:v>746.86410190403069</c:v>
                </c:pt>
                <c:pt idx="990">
                  <c:v>746.86410190403069</c:v>
                </c:pt>
                <c:pt idx="991">
                  <c:v>746.86410190403069</c:v>
                </c:pt>
                <c:pt idx="992">
                  <c:v>746.86410190403069</c:v>
                </c:pt>
                <c:pt idx="993">
                  <c:v>746.86410190403069</c:v>
                </c:pt>
                <c:pt idx="994">
                  <c:v>746.86410190403069</c:v>
                </c:pt>
                <c:pt idx="995">
                  <c:v>746.86410190403069</c:v>
                </c:pt>
                <c:pt idx="996">
                  <c:v>746.86410190403069</c:v>
                </c:pt>
                <c:pt idx="997">
                  <c:v>746.86410190403069</c:v>
                </c:pt>
                <c:pt idx="998">
                  <c:v>746.86410190403069</c:v>
                </c:pt>
                <c:pt idx="999">
                  <c:v>746.86410190403069</c:v>
                </c:pt>
                <c:pt idx="1000">
                  <c:v>746.86410190403069</c:v>
                </c:pt>
              </c:numCache>
            </c:numRef>
          </c:xVal>
          <c:yVal>
            <c:numRef>
              <c:f>Calculs!$K$4:$K$1004</c:f>
              <c:numCache>
                <c:formatCode>0.00</c:formatCode>
                <c:ptCount val="1001"/>
                <c:pt idx="0">
                  <c:v>574.95818926659933</c:v>
                </c:pt>
                <c:pt idx="1">
                  <c:v>576.4607643084081</c:v>
                </c:pt>
                <c:pt idx="2">
                  <c:v>577.96072910699593</c:v>
                </c:pt>
                <c:pt idx="3">
                  <c:v>579.45808951357935</c:v>
                </c:pt>
                <c:pt idx="4">
                  <c:v>580.95285135471443</c:v>
                </c:pt>
                <c:pt idx="5">
                  <c:v>582.44502043243335</c:v>
                </c:pt>
                <c:pt idx="6">
                  <c:v>583.93460252438092</c:v>
                </c:pt>
                <c:pt idx="7">
                  <c:v>585.42160338394922</c:v>
                </c:pt>
                <c:pt idx="8">
                  <c:v>586.90602874041213</c:v>
                </c:pt>
                <c:pt idx="9">
                  <c:v>588.38788429905833</c:v>
                </c:pt>
                <c:pt idx="10">
                  <c:v>589.86717574132354</c:v>
                </c:pt>
                <c:pt idx="11">
                  <c:v>591.34390871555877</c:v>
                </c:pt>
                <c:pt idx="12">
                  <c:v>592.81808882797088</c:v>
                </c:pt>
                <c:pt idx="13">
                  <c:v>594.28972165246091</c:v>
                </c:pt>
                <c:pt idx="14">
                  <c:v>595.75881274028313</c:v>
                </c:pt>
                <c:pt idx="15">
                  <c:v>597.22536762016443</c:v>
                </c:pt>
                <c:pt idx="16">
                  <c:v>598.68939179842289</c:v>
                </c:pt>
                <c:pt idx="17">
                  <c:v>600.15089075908588</c:v>
                </c:pt>
                <c:pt idx="18">
                  <c:v>601.60986996400663</c:v>
                </c:pt>
                <c:pt idx="19">
                  <c:v>603.06633485298096</c:v>
                </c:pt>
                <c:pt idx="20">
                  <c:v>604.52029084386231</c:v>
                </c:pt>
                <c:pt idx="21">
                  <c:v>605.97174333735904</c:v>
                </c:pt>
                <c:pt idx="22">
                  <c:v>607.42069772174682</c:v>
                </c:pt>
                <c:pt idx="23">
                  <c:v>608.86715936813198</c:v>
                </c:pt>
                <c:pt idx="24">
                  <c:v>610.31113362580095</c:v>
                </c:pt>
                <c:pt idx="25">
                  <c:v>611.75262582233609</c:v>
                </c:pt>
                <c:pt idx="26">
                  <c:v>613.19164126373039</c:v>
                </c:pt>
                <c:pt idx="27">
                  <c:v>614.62818523450153</c:v>
                </c:pt>
                <c:pt idx="28">
                  <c:v>616.06226299780565</c:v>
                </c:pt>
                <c:pt idx="29">
                  <c:v>617.49387979554967</c:v>
                </c:pt>
                <c:pt idx="30">
                  <c:v>618.92304084850332</c:v>
                </c:pt>
                <c:pt idx="31">
                  <c:v>620.34975135641002</c:v>
                </c:pt>
                <c:pt idx="32">
                  <c:v>621.77401649809769</c:v>
                </c:pt>
                <c:pt idx="33">
                  <c:v>623.19584143158795</c:v>
                </c:pt>
                <c:pt idx="34">
                  <c:v>624.6152312942055</c:v>
                </c:pt>
                <c:pt idx="35">
                  <c:v>626.03219120268602</c:v>
                </c:pt>
                <c:pt idx="36">
                  <c:v>627.44672625328383</c:v>
                </c:pt>
                <c:pt idx="37">
                  <c:v>628.8588415218785</c:v>
                </c:pt>
                <c:pt idx="38">
                  <c:v>630.26854206408109</c:v>
                </c:pt>
                <c:pt idx="39">
                  <c:v>631.67583291533936</c:v>
                </c:pt>
                <c:pt idx="40">
                  <c:v>633.08071909104274</c:v>
                </c:pt>
                <c:pt idx="41">
                  <c:v>634.48320558662613</c:v>
                </c:pt>
                <c:pt idx="42">
                  <c:v>635.8832973776731</c:v>
                </c:pt>
                <c:pt idx="43">
                  <c:v>637.2809994200187</c:v>
                </c:pt>
                <c:pt idx="44">
                  <c:v>638.6763166498514</c:v>
                </c:pt>
                <c:pt idx="45">
                  <c:v>640.06925398381429</c:v>
                </c:pt>
                <c:pt idx="46">
                  <c:v>641.45981631910593</c:v>
                </c:pt>
                <c:pt idx="47">
                  <c:v>642.84800853358001</c:v>
                </c:pt>
                <c:pt idx="48">
                  <c:v>644.23383548584502</c:v>
                </c:pt>
                <c:pt idx="49">
                  <c:v>645.61730201536272</c:v>
                </c:pt>
                <c:pt idx="50">
                  <c:v>646.998412942546</c:v>
                </c:pt>
                <c:pt idx="51">
                  <c:v>648.37717306885679</c:v>
                </c:pt>
                <c:pt idx="52">
                  <c:v>649.75358717690233</c:v>
                </c:pt>
                <c:pt idx="53">
                  <c:v>651.12766003053162</c:v>
                </c:pt>
                <c:pt idx="54">
                  <c:v>652.49939637493071</c:v>
                </c:pt>
                <c:pt idx="55">
                  <c:v>653.86880093671789</c:v>
                </c:pt>
                <c:pt idx="56">
                  <c:v>655.23587842403765</c:v>
                </c:pt>
                <c:pt idx="57">
                  <c:v>656.60063352665475</c:v>
                </c:pt>
                <c:pt idx="58">
                  <c:v>657.96307091604695</c:v>
                </c:pt>
                <c:pt idx="59">
                  <c:v>659.32319524549769</c:v>
                </c:pt>
                <c:pt idx="60">
                  <c:v>660.68101115018783</c:v>
                </c:pt>
                <c:pt idx="61">
                  <c:v>662.03652324728705</c:v>
                </c:pt>
                <c:pt idx="62">
                  <c:v>663.3897361360448</c:v>
                </c:pt>
                <c:pt idx="63">
                  <c:v>664.74065439787989</c:v>
                </c:pt>
                <c:pt idx="64">
                  <c:v>666.08928259647064</c:v>
                </c:pt>
                <c:pt idx="65">
                  <c:v>667.43562527784343</c:v>
                </c:pt>
                <c:pt idx="66">
                  <c:v>668.7796869704614</c:v>
                </c:pt>
                <c:pt idx="67">
                  <c:v>670.12147218531209</c:v>
                </c:pt>
                <c:pt idx="68">
                  <c:v>671.46098541599486</c:v>
                </c:pt>
                <c:pt idx="69">
                  <c:v>672.79823113880786</c:v>
                </c:pt>
                <c:pt idx="70">
                  <c:v>674.13321381283379</c:v>
                </c:pt>
                <c:pt idx="71">
                  <c:v>675.46593788002588</c:v>
                </c:pt>
                <c:pt idx="72">
                  <c:v>676.796407765293</c:v>
                </c:pt>
                <c:pt idx="73">
                  <c:v>678.12462787658399</c:v>
                </c:pt>
                <c:pt idx="74">
                  <c:v>679.45060260497189</c:v>
                </c:pt>
                <c:pt idx="75">
                  <c:v>680.77433632473753</c:v>
                </c:pt>
                <c:pt idx="76">
                  <c:v>682.09583339345238</c:v>
                </c:pt>
                <c:pt idx="77">
                  <c:v>683.41509815206109</c:v>
                </c:pt>
                <c:pt idx="78">
                  <c:v>684.73213492496325</c:v>
                </c:pt>
                <c:pt idx="79">
                  <c:v>686.04694802009521</c:v>
                </c:pt>
                <c:pt idx="80">
                  <c:v>687.35954172901086</c:v>
                </c:pt>
                <c:pt idx="81">
                  <c:v>688.66992032696169</c:v>
                </c:pt>
                <c:pt idx="82">
                  <c:v>689.97808807297724</c:v>
                </c:pt>
                <c:pt idx="83">
                  <c:v>691.28404920994433</c:v>
                </c:pt>
                <c:pt idx="84">
                  <c:v>692.58780796468591</c:v>
                </c:pt>
                <c:pt idx="85">
                  <c:v>693.88936854803956</c:v>
                </c:pt>
                <c:pt idx="86">
                  <c:v>695.18873515493533</c:v>
                </c:pt>
                <c:pt idx="87">
                  <c:v>696.48591196447353</c:v>
                </c:pt>
                <c:pt idx="88">
                  <c:v>697.78090314000133</c:v>
                </c:pt>
                <c:pt idx="89">
                  <c:v>699.07371282918962</c:v>
                </c:pt>
                <c:pt idx="90">
                  <c:v>700.36434516410873</c:v>
                </c:pt>
                <c:pt idx="91">
                  <c:v>701.65280426130437</c:v>
                </c:pt>
                <c:pt idx="92">
                  <c:v>702.93909422187232</c:v>
                </c:pt>
                <c:pt idx="93">
                  <c:v>704.22321913153348</c:v>
                </c:pt>
                <c:pt idx="94">
                  <c:v>705.50518306070762</c:v>
                </c:pt>
                <c:pt idx="95">
                  <c:v>706.78499006458765</c:v>
                </c:pt>
                <c:pt idx="96">
                  <c:v>708.06264418321234</c:v>
                </c:pt>
                <c:pt idx="97">
                  <c:v>709.3381494415396</c:v>
                </c:pt>
                <c:pt idx="98">
                  <c:v>710.6115098495186</c:v>
                </c:pt>
                <c:pt idx="99">
                  <c:v>711.88272940216177</c:v>
                </c:pt>
                <c:pt idx="100">
                  <c:v>713.15181207961643</c:v>
                </c:pt>
                <c:pt idx="101">
                  <c:v>725.72541786762235</c:v>
                </c:pt>
                <c:pt idx="102">
                  <c:v>738.08788525748264</c:v>
                </c:pt>
                <c:pt idx="103">
                  <c:v>750.2430521902437</c:v>
                </c:pt>
                <c:pt idx="104">
                  <c:v>762.1946170601999</c:v>
                </c:pt>
                <c:pt idx="105">
                  <c:v>773.94614515619912</c:v>
                </c:pt>
                <c:pt idx="106">
                  <c:v>785.50107472710852</c:v>
                </c:pt>
                <c:pt idx="107">
                  <c:v>796.8627226974711</c:v>
                </c:pt>
                <c:pt idx="108">
                  <c:v>808.03429005729367</c:v>
                </c:pt>
                <c:pt idx="109">
                  <c:v>819.01886694800919</c:v>
                </c:pt>
                <c:pt idx="110">
                  <c:v>829.81943746492709</c:v>
                </c:pt>
                <c:pt idx="111">
                  <c:v>840.43888419490906</c:v>
                </c:pt>
                <c:pt idx="112">
                  <c:v>850.87999250657367</c:v>
                </c:pt>
                <c:pt idx="113">
                  <c:v>861.14545460901888</c:v>
                </c:pt>
                <c:pt idx="114">
                  <c:v>871.2378733938541</c:v>
                </c:pt>
                <c:pt idx="115">
                  <c:v>881.15976607423579</c:v>
                </c:pt>
                <c:pt idx="116">
                  <c:v>890.91356763359624</c:v>
                </c:pt>
                <c:pt idx="117">
                  <c:v>900.50163409583297</c:v>
                </c:pt>
                <c:pt idx="118">
                  <c:v>909.92624562788183</c:v>
                </c:pt>
                <c:pt idx="119">
                  <c:v>919.18960948482049</c:v>
                </c:pt>
                <c:pt idx="120">
                  <c:v>928.29386280693427</c:v>
                </c:pt>
                <c:pt idx="121">
                  <c:v>937.24107527751994</c:v>
                </c:pt>
                <c:pt idx="122">
                  <c:v>946.0332516495987</c:v>
                </c:pt>
                <c:pt idx="123">
                  <c:v>954.67233414915154</c:v>
                </c:pt>
                <c:pt idx="124">
                  <c:v>963.16020476197571</c:v>
                </c:pt>
                <c:pt idx="125">
                  <c:v>971.49868741078672</c:v>
                </c:pt>
                <c:pt idx="126">
                  <c:v>979.689550028751</c:v>
                </c:pt>
                <c:pt idx="127">
                  <c:v>987.73450653522946</c:v>
                </c:pt>
                <c:pt idx="128">
                  <c:v>995.63521871913645</c:v>
                </c:pt>
                <c:pt idx="129">
                  <c:v>1003.3932980349711</c:v>
                </c:pt>
                <c:pt idx="130">
                  <c:v>1011.0103073162556</c:v>
                </c:pt>
                <c:pt idx="131">
                  <c:v>1018.4877624108186</c:v>
                </c:pt>
                <c:pt idx="132">
                  <c:v>1025.8271337420806</c:v>
                </c:pt>
                <c:pt idx="133">
                  <c:v>1033.0298478002455</c:v>
                </c:pt>
                <c:pt idx="134">
                  <c:v>1040.0972885670628</c:v>
                </c:pt>
                <c:pt idx="135">
                  <c:v>1047.0307988775985</c:v>
                </c:pt>
                <c:pt idx="136">
                  <c:v>1053.8316817222535</c:v>
                </c:pt>
                <c:pt idx="137">
                  <c:v>1060.5012014920705</c:v>
                </c:pt>
                <c:pt idx="138">
                  <c:v>1067.040585170196</c:v>
                </c:pt>
                <c:pt idx="139">
                  <c:v>1073.451023472192</c:v>
                </c:pt>
                <c:pt idx="140">
                  <c:v>1079.7336719377458</c:v>
                </c:pt>
                <c:pt idx="141">
                  <c:v>1085.8896519761738</c:v>
                </c:pt>
                <c:pt idx="142">
                  <c:v>1091.9200518679845</c:v>
                </c:pt>
                <c:pt idx="143">
                  <c:v>1097.825927724643</c:v>
                </c:pt>
                <c:pt idx="144">
                  <c:v>1103.6083044085585</c:v>
                </c:pt>
                <c:pt idx="145">
                  <c:v>1109.2681764152117</c:v>
                </c:pt>
                <c:pt idx="146">
                  <c:v>1114.8065087192344</c:v>
                </c:pt>
                <c:pt idx="147">
                  <c:v>1120.2242375861679</c:v>
                </c:pt>
                <c:pt idx="148">
                  <c:v>1125.5222713515259</c:v>
                </c:pt>
                <c:pt idx="149">
                  <c:v>1130.7014911687254</c:v>
                </c:pt>
                <c:pt idx="150">
                  <c:v>1135.7627517273568</c:v>
                </c:pt>
                <c:pt idx="151">
                  <c:v>1140.7068819432088</c:v>
                </c:pt>
                <c:pt idx="152">
                  <c:v>1145.5346856213951</c:v>
                </c:pt>
                <c:pt idx="153">
                  <c:v>1150.2469420938705</c:v>
                </c:pt>
                <c:pt idx="154">
                  <c:v>1154.8444068325782</c:v>
                </c:pt>
                <c:pt idx="155">
                  <c:v>1159.3278120394136</c:v>
                </c:pt>
                <c:pt idx="156">
                  <c:v>1163.6978672141579</c:v>
                </c:pt>
                <c:pt idx="157">
                  <c:v>1167.9552597014863</c:v>
                </c:pt>
                <c:pt idx="158">
                  <c:v>1172.100655218135</c:v>
                </c:pt>
                <c:pt idx="159">
                  <c:v>1176.1346983612727</c:v>
                </c:pt>
                <c:pt idx="160">
                  <c:v>1180.0580130991107</c:v>
                </c:pt>
                <c:pt idx="161">
                  <c:v>1183.8712032447586</c:v>
                </c:pt>
                <c:pt idx="162">
                  <c:v>1187.574852914332</c:v>
                </c:pt>
                <c:pt idx="163">
                  <c:v>1191.1695269703032</c:v>
                </c:pt>
                <c:pt idx="164">
                  <c:v>1194.6557714510941</c:v>
                </c:pt>
                <c:pt idx="165">
                  <c:v>1198.0341139879129</c:v>
                </c:pt>
                <c:pt idx="166">
                  <c:v>1201.3050642098508</c:v>
                </c:pt>
                <c:pt idx="167">
                  <c:v>1204.469114138278</c:v>
                </c:pt>
                <c:pt idx="168">
                  <c:v>1207.5267385716029</c:v>
                </c:pt>
                <c:pt idx="169">
                  <c:v>1210.4783954614975</c:v>
                </c:pt>
                <c:pt idx="170">
                  <c:v>1213.3245262817375</c:v>
                </c:pt>
                <c:pt idx="171">
                  <c:v>1216.0655563908572</c:v>
                </c:pt>
                <c:pt idx="172">
                  <c:v>1218.7018953898848</c:v>
                </c:pt>
                <c:pt idx="173">
                  <c:v>1221.2339374764977</c:v>
                </c:pt>
                <c:pt idx="174">
                  <c:v>1223.6620617970166</c:v>
                </c:pt>
                <c:pt idx="175">
                  <c:v>1225.986632797755</c:v>
                </c:pt>
                <c:pt idx="176">
                  <c:v>1228.2080005773382</c:v>
                </c:pt>
                <c:pt idx="177">
                  <c:v>1230.3265012417176</c:v>
                </c:pt>
                <c:pt idx="178">
                  <c:v>1232.3424572637227</c:v>
                </c:pt>
                <c:pt idx="179">
                  <c:v>1234.2561778491124</c:v>
                </c:pt>
                <c:pt idx="180">
                  <c:v>1236.0679593112077</c:v>
                </c:pt>
                <c:pt idx="181">
                  <c:v>1237.7780854563041</c:v>
                </c:pt>
                <c:pt idx="182">
                  <c:v>1239.3868279821681</c:v>
                </c:pt>
                <c:pt idx="183">
                  <c:v>1240.894446892004</c:v>
                </c:pt>
                <c:pt idx="184">
                  <c:v>1242.30119092634</c:v>
                </c:pt>
                <c:pt idx="185">
                  <c:v>1243.607298015294</c:v>
                </c:pt>
                <c:pt idx="186">
                  <c:v>1244.8129957536416</c:v>
                </c:pt>
                <c:pt idx="187">
                  <c:v>1245.9185019010076</c:v>
                </c:pt>
                <c:pt idx="188">
                  <c:v>1246.9240249093009</c:v>
                </c:pt>
                <c:pt idx="189">
                  <c:v>1247.8297644792301</c:v>
                </c:pt>
                <c:pt idx="190">
                  <c:v>1248.6359121473317</c:v>
                </c:pt>
                <c:pt idx="191">
                  <c:v>1249.3426519044181</c:v>
                </c:pt>
                <c:pt idx="192">
                  <c:v>1249.9501608457081</c:v>
                </c:pt>
                <c:pt idx="193">
                  <c:v>1250.4586098521379</c:v>
                </c:pt>
                <c:pt idx="194">
                  <c:v>1250.8681643014875</c:v>
                </c:pt>
                <c:pt idx="195">
                  <c:v>1251.1789848070164</c:v>
                </c:pt>
                <c:pt idx="196">
                  <c:v>1251.3912279803328</c:v>
                </c:pt>
                <c:pt idx="197">
                  <c:v>1251.5050472142614</c:v>
                </c:pt>
                <c:pt idx="198">
                  <c:v>1251.5205934805861</c:v>
                </c:pt>
                <c:pt idx="199">
                  <c:v>1251.4380161367837</c:v>
                </c:pt>
                <c:pt idx="200">
                  <c:v>1251.2574637352866</c:v>
                </c:pt>
                <c:pt idx="201">
                  <c:v>1250.9790848284513</c:v>
                </c:pt>
                <c:pt idx="202">
                  <c:v>1250.6030287623121</c:v>
                </c:pt>
                <c:pt idx="203">
                  <c:v>1250.1294464523469</c:v>
                </c:pt>
                <c:pt idx="204">
                  <c:v>1249.5584911348919</c:v>
                </c:pt>
                <c:pt idx="205">
                  <c:v>1248.8903190884614</c:v>
                </c:pt>
                <c:pt idx="206">
                  <c:v>1248.1250903200237</c:v>
                </c:pt>
                <c:pt idx="207">
                  <c:v>1247.2629692121948</c:v>
                </c:pt>
                <c:pt idx="208">
                  <c:v>1246.304125128288</c:v>
                </c:pt>
                <c:pt idx="209">
                  <c:v>1245.2487329731259</c:v>
                </c:pt>
                <c:pt idx="210">
                  <c:v>1244.0969737084629</c:v>
                </c:pt>
                <c:pt idx="211">
                  <c:v>1242.8490348227042</c:v>
                </c:pt>
                <c:pt idx="212">
                  <c:v>1241.5051107553631</c:v>
                </c:pt>
                <c:pt idx="213">
                  <c:v>1240.0654032773039</c:v>
                </c:pt>
                <c:pt idx="214">
                  <c:v>1238.5301218283196</c:v>
                </c:pt>
                <c:pt idx="215">
                  <c:v>1236.8994838139611</c:v>
                </c:pt>
                <c:pt idx="216">
                  <c:v>1235.1737148637885</c:v>
                </c:pt>
                <c:pt idx="217">
                  <c:v>1233.3530490533772</c:v>
                </c:pt>
                <c:pt idx="218">
                  <c:v>1231.4377290924838</c:v>
                </c:pt>
                <c:pt idx="219">
                  <c:v>1229.4280064817851</c:v>
                </c:pt>
                <c:pt idx="220">
                  <c:v>1227.3241416405558</c:v>
                </c:pt>
                <c:pt idx="221">
                  <c:v>1225.1264040075689</c:v>
                </c:pt>
                <c:pt idx="222">
                  <c:v>1222.8350721173897</c:v>
                </c:pt>
                <c:pt idx="223">
                  <c:v>1220.4504336541058</c:v>
                </c:pt>
                <c:pt idx="224">
                  <c:v>1217.9727854843968</c:v>
                </c:pt>
                <c:pt idx="225">
                  <c:v>1215.4024336717055</c:v>
                </c:pt>
                <c:pt idx="226">
                  <c:v>1212.7396934731328</c:v>
                </c:pt>
                <c:pt idx="227">
                  <c:v>1209.9848893205415</c:v>
                </c:pt>
                <c:pt idx="228">
                  <c:v>1207.1383547872249</c:v>
                </c:pt>
                <c:pt idx="229">
                  <c:v>1204.2004325413748</c:v>
                </c:pt>
                <c:pt idx="230">
                  <c:v>1201.1714742874713</c:v>
                </c:pt>
                <c:pt idx="231">
                  <c:v>1198.0518406966148</c:v>
                </c:pt>
                <c:pt idx="232">
                  <c:v>1194.8419013267237</c:v>
                </c:pt>
                <c:pt idx="233">
                  <c:v>1191.5420345334394</c:v>
                </c:pt>
                <c:pt idx="234">
                  <c:v>1188.1526273725015</c:v>
                </c:pt>
                <c:pt idx="235">
                  <c:v>1184.6740754942884</c:v>
                </c:pt>
                <c:pt idx="236">
                  <c:v>1181.1067830311554</c:v>
                </c:pt>
                <c:pt idx="237">
                  <c:v>1177.4511624781483</c:v>
                </c:pt>
                <c:pt idx="238">
                  <c:v>1173.7076345676226</c:v>
                </c:pt>
                <c:pt idx="239">
                  <c:v>1169.8766281382507</c:v>
                </c:pt>
                <c:pt idx="240">
                  <c:v>1165.9585799988668</c:v>
                </c:pt>
                <c:pt idx="241">
                  <c:v>1161.9539347875575</c:v>
                </c:pt>
                <c:pt idx="242">
                  <c:v>1157.8631448263832</c:v>
                </c:pt>
                <c:pt idx="243">
                  <c:v>1153.6866699720788</c:v>
                </c:pt>
                <c:pt idx="244">
                  <c:v>1149.4249774630684</c:v>
                </c:pt>
                <c:pt idx="245">
                  <c:v>1145.0785417630982</c:v>
                </c:pt>
                <c:pt idx="246">
                  <c:v>1140.6478444017757</c:v>
                </c:pt>
                <c:pt idx="247">
                  <c:v>1136.1333738122892</c:v>
                </c:pt>
                <c:pt idx="248">
                  <c:v>1131.5356251665596</c:v>
                </c:pt>
                <c:pt idx="249">
                  <c:v>1126.8551002080681</c:v>
                </c:pt>
                <c:pt idx="250">
                  <c:v>1122.0923070825875</c:v>
                </c:pt>
                <c:pt idx="251">
                  <c:v>1117.2477601670366</c:v>
                </c:pt>
                <c:pt idx="252">
                  <c:v>1112.3219798966618</c:v>
                </c:pt>
                <c:pt idx="253">
                  <c:v>1107.3154925907465</c:v>
                </c:pt>
                <c:pt idx="254">
                  <c:v>1102.2288302770373</c:v>
                </c:pt>
                <c:pt idx="255">
                  <c:v>1097.0625305150661</c:v>
                </c:pt>
                <c:pt idx="256">
                  <c:v>1091.8171362185449</c:v>
                </c:pt>
                <c:pt idx="257">
                  <c:v>1086.4931954769988</c:v>
                </c:pt>
                <c:pt idx="258">
                  <c:v>1081.0912613767996</c:v>
                </c:pt>
                <c:pt idx="259">
                  <c:v>1075.6118918217528</c:v>
                </c:pt>
                <c:pt idx="260">
                  <c:v>1070.0556493533909</c:v>
                </c:pt>
                <c:pt idx="261">
                  <c:v>1064.4231009711141</c:v>
                </c:pt>
                <c:pt idx="262">
                  <c:v>1058.714817952319</c:v>
                </c:pt>
                <c:pt idx="263">
                  <c:v>1052.9313756726506</c:v>
                </c:pt>
                <c:pt idx="264">
                  <c:v>1047.0733534265064</c:v>
                </c:pt>
                <c:pt idx="265">
                  <c:v>1041.1413342479179</c:v>
                </c:pt>
                <c:pt idx="266">
                  <c:v>1035.135904731932</c:v>
                </c:pt>
                <c:pt idx="267">
                  <c:v>1029.0576548566089</c:v>
                </c:pt>
                <c:pt idx="268">
                  <c:v>1022.9071778057489</c:v>
                </c:pt>
                <c:pt idx="269">
                  <c:v>1016.685069792459</c:v>
                </c:pt>
                <c:pt idx="270">
                  <c:v>1010.3919298836631</c:v>
                </c:pt>
                <c:pt idx="271">
                  <c:v>1004.0283598256586</c:v>
                </c:pt>
                <c:pt idx="272">
                  <c:v>997.59496387081708</c:v>
                </c:pt>
                <c:pt idx="273">
                  <c:v>991.09234860552283</c:v>
                </c:pt>
                <c:pt idx="274">
                  <c:v>984.52112277944161</c:v>
                </c:pt>
                <c:pt idx="275">
                  <c:v>977.88189713620557</c:v>
                </c:pt>
                <c:pt idx="276">
                  <c:v>971.17528424559862</c:v>
                </c:pt>
                <c:pt idx="277">
                  <c:v>964.40189833732336</c:v>
                </c:pt>
                <c:pt idx="278">
                  <c:v>957.56235513642582</c:v>
                </c:pt>
                <c:pt idx="279">
                  <c:v>950.65727170045216</c:v>
                </c:pt>
                <c:pt idx="280">
                  <c:v>943.68726625840804</c:v>
                </c:pt>
                <c:pt idx="281">
                  <c:v>936.65295805158758</c:v>
                </c:pt>
                <c:pt idx="282">
                  <c:v>929.55496717633605</c:v>
                </c:pt>
                <c:pt idx="283">
                  <c:v>922.39391442880708</c:v>
                </c:pt>
                <c:pt idx="284">
                  <c:v>915.17042115177196</c:v>
                </c:pt>
                <c:pt idx="285">
                  <c:v>907.88510908353646</c:v>
                </c:pt>
                <c:pt idx="286">
                  <c:v>900.53860020901504</c:v>
                </c:pt>
                <c:pt idx="287">
                  <c:v>893.13151661301288</c:v>
                </c:pt>
                <c:pt idx="288">
                  <c:v>885.66448033575966</c:v>
                </c:pt>
                <c:pt idx="289">
                  <c:v>878.13811323073867</c:v>
                </c:pt>
                <c:pt idx="290">
                  <c:v>870.55303682485089</c:v>
                </c:pt>
                <c:pt idx="291">
                  <c:v>862.90987218094995</c:v>
                </c:pt>
                <c:pt idx="292">
                  <c:v>855.20923976278334</c:v>
                </c:pt>
                <c:pt idx="293">
                  <c:v>847.45175930237019</c:v>
                </c:pt>
                <c:pt idx="294">
                  <c:v>839.63804966984435</c:v>
                </c:pt>
                <c:pt idx="295">
                  <c:v>831.7687287457893</c:v>
                </c:pt>
                <c:pt idx="296">
                  <c:v>823.84441329608705</c:v>
                </c:pt>
                <c:pt idx="297">
                  <c:v>815.86571884930288</c:v>
                </c:pt>
                <c:pt idx="298">
                  <c:v>807.83325957662373</c:v>
                </c:pt>
                <c:pt idx="299">
                  <c:v>799.74764817436551</c:v>
                </c:pt>
                <c:pt idx="300">
                  <c:v>791.60949574906363</c:v>
                </c:pt>
                <c:pt idx="301">
                  <c:v>783.41941170515702</c:v>
                </c:pt>
                <c:pt idx="302">
                  <c:v>775.17800363527499</c:v>
                </c:pt>
                <c:pt idx="303">
                  <c:v>766.88587721313297</c:v>
                </c:pt>
                <c:pt idx="304">
                  <c:v>758.54363608904168</c:v>
                </c:pt>
                <c:pt idx="305">
                  <c:v>750.15188178803203</c:v>
                </c:pt>
                <c:pt idx="306">
                  <c:v>741.71121361059613</c:v>
                </c:pt>
                <c:pt idx="307">
                  <c:v>733.22222853604183</c:v>
                </c:pt>
                <c:pt idx="308">
                  <c:v>724.68552112845816</c:v>
                </c:pt>
                <c:pt idx="309">
                  <c:v>716.10168344528552</c:v>
                </c:pt>
                <c:pt idx="310">
                  <c:v>707.47130494848273</c:v>
                </c:pt>
                <c:pt idx="311">
                  <c:v>698.79497241828267</c:v>
                </c:pt>
                <c:pt idx="312">
                  <c:v>690.07326986952512</c:v>
                </c:pt>
                <c:pt idx="313">
                  <c:v>681.30677847055483</c:v>
                </c:pt>
                <c:pt idx="314">
                  <c:v>672.49607646466973</c:v>
                </c:pt>
                <c:pt idx="315">
                  <c:v>663.64173909410499</c:v>
                </c:pt>
                <c:pt idx="316">
                  <c:v>654.7443385265351</c:v>
                </c:pt>
                <c:pt idx="317">
                  <c:v>645.80444378407583</c:v>
                </c:pt>
                <c:pt idx="318">
                  <c:v>636.82262067476665</c:v>
                </c:pt>
                <c:pt idx="319">
                  <c:v>627.7994317265119</c:v>
                </c:pt>
                <c:pt idx="320">
                  <c:v>618.73543612345918</c:v>
                </c:pt>
                <c:pt idx="321">
                  <c:v>609.63118964479133</c:v>
                </c:pt>
                <c:pt idx="322">
                  <c:v>600.4872446059079</c:v>
                </c:pt>
                <c:pt idx="323">
                  <c:v>591.30414980196986</c:v>
                </c:pt>
                <c:pt idx="324">
                  <c:v>582.0824504537818</c:v>
                </c:pt>
                <c:pt idx="325">
                  <c:v>572.822688155984</c:v>
                </c:pt>
                <c:pt idx="326">
                  <c:v>563.52540082752614</c:v>
                </c:pt>
                <c:pt idx="327">
                  <c:v>554.19112266439345</c:v>
                </c:pt>
                <c:pt idx="328">
                  <c:v>544.82038409455527</c:v>
                </c:pt>
                <c:pt idx="329">
                  <c:v>535.41371173510618</c:v>
                </c:pt>
                <c:pt idx="330">
                  <c:v>525.97162835156757</c:v>
                </c:pt>
                <c:pt idx="331">
                  <c:v>516.49465281931816</c:v>
                </c:pt>
                <c:pt idx="332">
                  <c:v>506.98330008712117</c:v>
                </c:pt>
                <c:pt idx="333">
                  <c:v>497.43808114271519</c:v>
                </c:pt>
                <c:pt idx="334">
                  <c:v>487.85950298043497</c:v>
                </c:pt>
                <c:pt idx="335">
                  <c:v>478.24806857082871</c:v>
                </c:pt>
                <c:pt idx="336">
                  <c:v>468.60427683223708</c:v>
                </c:pt>
                <c:pt idx="337">
                  <c:v>458.92862260430007</c:v>
                </c:pt>
                <c:pt idx="338">
                  <c:v>449.22159662335622</c:v>
                </c:pt>
                <c:pt idx="339">
                  <c:v>439.48368549969922</c:v>
                </c:pt>
                <c:pt idx="340">
                  <c:v>429.71537169665658</c:v>
                </c:pt>
                <c:pt idx="341">
                  <c:v>419.91713351145478</c:v>
                </c:pt>
                <c:pt idx="342">
                  <c:v>410.08944505783529</c:v>
                </c:pt>
                <c:pt idx="343">
                  <c:v>400.23277625038526</c:v>
                </c:pt>
                <c:pt idx="344">
                  <c:v>390.34759279054737</c:v>
                </c:pt>
                <c:pt idx="345">
                  <c:v>380.4343561542729</c:v>
                </c:pt>
                <c:pt idx="346">
                  <c:v>370.49352358128175</c:v>
                </c:pt>
                <c:pt idx="347">
                  <c:v>360.52554806589353</c:v>
                </c:pt>
                <c:pt idx="348">
                  <c:v>350.5308783493943</c:v>
                </c:pt>
                <c:pt idx="349">
                  <c:v>340.50995891390244</c:v>
                </c:pt>
                <c:pt idx="350">
                  <c:v>330.4632299776984</c:v>
                </c:pt>
                <c:pt idx="351">
                  <c:v>320.39112749198267</c:v>
                </c:pt>
                <c:pt idx="352">
                  <c:v>310.29408313902638</c:v>
                </c:pt>
                <c:pt idx="353">
                  <c:v>300.1725243316796</c:v>
                </c:pt>
                <c:pt idx="354">
                  <c:v>290.02687421420183</c:v>
                </c:pt>
                <c:pt idx="355">
                  <c:v>279.85755166438025</c:v>
                </c:pt>
                <c:pt idx="356">
                  <c:v>269.66497129690117</c:v>
                </c:pt>
                <c:pt idx="357">
                  <c:v>259.44954346793992</c:v>
                </c:pt>
                <c:pt idx="358">
                  <c:v>249.21167428093585</c:v>
                </c:pt>
                <c:pt idx="359">
                  <c:v>238.95176559351791</c:v>
                </c:pt>
                <c:pt idx="360">
                  <c:v>228.67021502554812</c:v>
                </c:pt>
                <c:pt idx="361">
                  <c:v>218.36741596824947</c:v>
                </c:pt>
                <c:pt idx="362">
                  <c:v>208.04375759438562</c:v>
                </c:pt>
                <c:pt idx="363">
                  <c:v>197.69962486946</c:v>
                </c:pt>
                <c:pt idx="364">
                  <c:v>187.3353985639024</c:v>
                </c:pt>
                <c:pt idx="365">
                  <c:v>176.95145526621147</c:v>
                </c:pt>
                <c:pt idx="366">
                  <c:v>166.54816739702179</c:v>
                </c:pt>
                <c:pt idx="367">
                  <c:v>156.12590322406481</c:v>
                </c:pt>
                <c:pt idx="368">
                  <c:v>145.68502687799347</c:v>
                </c:pt>
                <c:pt idx="369">
                  <c:v>135.2258983690401</c:v>
                </c:pt>
                <c:pt idx="370">
                  <c:v>124.74887360447867</c:v>
                </c:pt>
                <c:pt idx="371">
                  <c:v>114.25430440686191</c:v>
                </c:pt>
                <c:pt idx="372">
                  <c:v>103.74253853300476</c:v>
                </c:pt>
                <c:pt idx="373">
                  <c:v>93.213919693686307</c:v>
                </c:pt>
                <c:pt idx="374">
                  <c:v>82.668787574042028</c:v>
                </c:pt>
                <c:pt idx="375">
                  <c:v>72.107477854619532</c:v>
                </c:pt>
                <c:pt idx="376">
                  <c:v>61.530322233070812</c:v>
                </c:pt>
                <c:pt idx="377">
                  <c:v>50.937648446454865</c:v>
                </c:pt>
                <c:pt idx="378">
                  <c:v>40.329780294124731</c:v>
                </c:pt>
                <c:pt idx="379">
                  <c:v>29.7070376611738</c:v>
                </c:pt>
                <c:pt idx="380">
                  <c:v>19.069736542416365</c:v>
                </c:pt>
                <c:pt idx="381">
                  <c:v>8.418189066878238</c:v>
                </c:pt>
                <c:pt idx="382">
                  <c:v>-2.247296477226616</c:v>
                </c:pt>
                <c:pt idx="383">
                  <c:v>-2.2579688619526315</c:v>
                </c:pt>
                <c:pt idx="384">
                  <c:v>-2.2686412601608077</c:v>
                </c:pt>
                <c:pt idx="385">
                  <c:v>-2.2793136718508462</c:v>
                </c:pt>
                <c:pt idx="386">
                  <c:v>-2.289986097022449</c:v>
                </c:pt>
                <c:pt idx="387">
                  <c:v>-2.3006585356753178</c:v>
                </c:pt>
                <c:pt idx="388">
                  <c:v>-2.3113309878091539</c:v>
                </c:pt>
                <c:pt idx="389">
                  <c:v>-2.3220034534236591</c:v>
                </c:pt>
                <c:pt idx="390">
                  <c:v>-2.3326759325185353</c:v>
                </c:pt>
                <c:pt idx="391">
                  <c:v>-2.3433484250934842</c:v>
                </c:pt>
                <c:pt idx="392">
                  <c:v>-2.3540209311482077</c:v>
                </c:pt>
                <c:pt idx="393">
                  <c:v>-2.3646934506824073</c:v>
                </c:pt>
                <c:pt idx="394">
                  <c:v>-2.3753659836957848</c:v>
                </c:pt>
                <c:pt idx="395">
                  <c:v>-2.3860385301880416</c:v>
                </c:pt>
                <c:pt idx="396">
                  <c:v>-2.3967110901588797</c:v>
                </c:pt>
                <c:pt idx="397">
                  <c:v>-2.4073836636080008</c:v>
                </c:pt>
                <c:pt idx="398">
                  <c:v>-2.4180562505351069</c:v>
                </c:pt>
                <c:pt idx="399">
                  <c:v>-2.4287288509398994</c:v>
                </c:pt>
                <c:pt idx="400">
                  <c:v>-2.4394014648220801</c:v>
                </c:pt>
                <c:pt idx="401">
                  <c:v>-2.4500740921813509</c:v>
                </c:pt>
                <c:pt idx="402">
                  <c:v>-2.4607467330174133</c:v>
                </c:pt>
                <c:pt idx="403">
                  <c:v>-2.4714193873299695</c:v>
                </c:pt>
                <c:pt idx="404">
                  <c:v>-2.4820920551187209</c:v>
                </c:pt>
                <c:pt idx="405">
                  <c:v>-2.4927647363833692</c:v>
                </c:pt>
                <c:pt idx="406">
                  <c:v>-2.5034374311236163</c:v>
                </c:pt>
                <c:pt idx="407">
                  <c:v>-2.5141101393391638</c:v>
                </c:pt>
                <c:pt idx="408">
                  <c:v>-2.5247828610297138</c:v>
                </c:pt>
                <c:pt idx="409">
                  <c:v>-2.5354555961949679</c:v>
                </c:pt>
                <c:pt idx="410">
                  <c:v>-2.5461283448346279</c:v>
                </c:pt>
                <c:pt idx="411">
                  <c:v>-2.5568011069483956</c:v>
                </c:pt>
                <c:pt idx="412">
                  <c:v>-2.5674738825359724</c:v>
                </c:pt>
                <c:pt idx="413">
                  <c:v>-2.5781466715970605</c:v>
                </c:pt>
                <c:pt idx="414">
                  <c:v>-2.5888194741313617</c:v>
                </c:pt>
                <c:pt idx="415">
                  <c:v>-2.5994922901385777</c:v>
                </c:pt>
                <c:pt idx="416">
                  <c:v>-2.6101651196184106</c:v>
                </c:pt>
                <c:pt idx="417">
                  <c:v>-2.6208379625705618</c:v>
                </c:pt>
                <c:pt idx="418">
                  <c:v>-2.6315108189947334</c:v>
                </c:pt>
                <c:pt idx="419">
                  <c:v>-2.6421836888906269</c:v>
                </c:pt>
                <c:pt idx="420">
                  <c:v>-2.6528565722579445</c:v>
                </c:pt>
                <c:pt idx="421">
                  <c:v>-2.6635294690963875</c:v>
                </c:pt>
                <c:pt idx="422">
                  <c:v>-2.6742023794056582</c:v>
                </c:pt>
                <c:pt idx="423">
                  <c:v>-2.6848753031854584</c:v>
                </c:pt>
                <c:pt idx="424">
                  <c:v>-2.6955482404354898</c:v>
                </c:pt>
                <c:pt idx="425">
                  <c:v>-2.7062211911554543</c:v>
                </c:pt>
                <c:pt idx="426">
                  <c:v>-2.7168941553450536</c:v>
                </c:pt>
                <c:pt idx="427">
                  <c:v>-2.7275671330039897</c:v>
                </c:pt>
                <c:pt idx="428">
                  <c:v>-2.738240124131964</c:v>
                </c:pt>
                <c:pt idx="429">
                  <c:v>-2.7489131287286792</c:v>
                </c:pt>
                <c:pt idx="430">
                  <c:v>-2.7595861467938367</c:v>
                </c:pt>
                <c:pt idx="431">
                  <c:v>-2.7702591783271382</c:v>
                </c:pt>
                <c:pt idx="432">
                  <c:v>-2.7809322233282856</c:v>
                </c:pt>
                <c:pt idx="433">
                  <c:v>-2.791605281796981</c:v>
                </c:pt>
                <c:pt idx="434">
                  <c:v>-2.8022783537329259</c:v>
                </c:pt>
                <c:pt idx="435">
                  <c:v>-2.8129514391358228</c:v>
                </c:pt>
                <c:pt idx="436">
                  <c:v>-2.8236245380053728</c:v>
                </c:pt>
                <c:pt idx="437">
                  <c:v>-2.8342976503412785</c:v>
                </c:pt>
                <c:pt idx="438">
                  <c:v>-2.8449707761432412</c:v>
                </c:pt>
                <c:pt idx="439">
                  <c:v>-2.8556439154109632</c:v>
                </c:pt>
                <c:pt idx="440">
                  <c:v>-2.8663170681441463</c:v>
                </c:pt>
                <c:pt idx="441">
                  <c:v>-2.8769902343424922</c:v>
                </c:pt>
                <c:pt idx="442">
                  <c:v>-2.8876634140057029</c:v>
                </c:pt>
                <c:pt idx="443">
                  <c:v>-2.8983366071334804</c:v>
                </c:pt>
                <c:pt idx="444">
                  <c:v>-2.9090098137255267</c:v>
                </c:pt>
                <c:pt idx="445">
                  <c:v>-2.9196830337815434</c:v>
                </c:pt>
                <c:pt idx="446">
                  <c:v>-2.9303562673012329</c:v>
                </c:pt>
                <c:pt idx="447">
                  <c:v>-2.9410295142842968</c:v>
                </c:pt>
                <c:pt idx="448">
                  <c:v>-2.9517027747304367</c:v>
                </c:pt>
                <c:pt idx="449">
                  <c:v>-2.9623760486393551</c:v>
                </c:pt>
                <c:pt idx="450">
                  <c:v>-2.9730493360107535</c:v>
                </c:pt>
                <c:pt idx="451">
                  <c:v>-2.9837226368443339</c:v>
                </c:pt>
                <c:pt idx="452">
                  <c:v>-2.9943959511397984</c:v>
                </c:pt>
                <c:pt idx="453">
                  <c:v>-3.0050692788968489</c:v>
                </c:pt>
                <c:pt idx="454">
                  <c:v>-3.0157426201151876</c:v>
                </c:pt>
                <c:pt idx="455">
                  <c:v>-3.0264159747945159</c:v>
                </c:pt>
                <c:pt idx="456">
                  <c:v>-3.0370893429345363</c:v>
                </c:pt>
                <c:pt idx="457">
                  <c:v>-3.0477627245349503</c:v>
                </c:pt>
                <c:pt idx="458">
                  <c:v>-3.0584361195954601</c:v>
                </c:pt>
                <c:pt idx="459">
                  <c:v>-3.0691095281157676</c:v>
                </c:pt>
                <c:pt idx="460">
                  <c:v>-3.0797829500955749</c:v>
                </c:pt>
                <c:pt idx="461">
                  <c:v>-3.0904563855345839</c:v>
                </c:pt>
                <c:pt idx="462">
                  <c:v>-3.1011298344324962</c:v>
                </c:pt>
                <c:pt idx="463">
                  <c:v>-3.1118032967890144</c:v>
                </c:pt>
                <c:pt idx="464">
                  <c:v>-3.1224767726038403</c:v>
                </c:pt>
                <c:pt idx="465">
                  <c:v>-3.1331502618766756</c:v>
                </c:pt>
                <c:pt idx="466">
                  <c:v>-3.1438237646072222</c:v>
                </c:pt>
                <c:pt idx="467">
                  <c:v>-3.1544972807951828</c:v>
                </c:pt>
                <c:pt idx="468">
                  <c:v>-3.1651708104402587</c:v>
                </c:pt>
                <c:pt idx="469">
                  <c:v>-3.1758443535421521</c:v>
                </c:pt>
                <c:pt idx="470">
                  <c:v>-3.1865179101005654</c:v>
                </c:pt>
                <c:pt idx="471">
                  <c:v>-3.1971914801152002</c:v>
                </c:pt>
                <c:pt idx="472">
                  <c:v>-3.2078650635857584</c:v>
                </c:pt>
                <c:pt idx="473">
                  <c:v>-3.2185386605119422</c:v>
                </c:pt>
                <c:pt idx="474">
                  <c:v>-3.2292122708934539</c:v>
                </c:pt>
                <c:pt idx="475">
                  <c:v>-3.2398858947299951</c:v>
                </c:pt>
                <c:pt idx="476">
                  <c:v>-3.2505595320212679</c:v>
                </c:pt>
                <c:pt idx="477">
                  <c:v>-3.2612331827669743</c:v>
                </c:pt>
                <c:pt idx="478">
                  <c:v>-3.2719068469668167</c:v>
                </c:pt>
                <c:pt idx="479">
                  <c:v>-3.2825805246204967</c:v>
                </c:pt>
                <c:pt idx="480">
                  <c:v>-3.2932542157277163</c:v>
                </c:pt>
                <c:pt idx="481">
                  <c:v>-3.3039279202881779</c:v>
                </c:pt>
                <c:pt idx="482">
                  <c:v>-3.3146016383015837</c:v>
                </c:pt>
                <c:pt idx="483">
                  <c:v>-3.3252753697676352</c:v>
                </c:pt>
                <c:pt idx="484">
                  <c:v>-3.3359491146860347</c:v>
                </c:pt>
                <c:pt idx="485">
                  <c:v>-3.3466228730564844</c:v>
                </c:pt>
                <c:pt idx="486">
                  <c:v>-3.3572966448786863</c:v>
                </c:pt>
                <c:pt idx="487">
                  <c:v>-3.3679704301523423</c:v>
                </c:pt>
                <c:pt idx="488">
                  <c:v>-3.3786442288771545</c:v>
                </c:pt>
                <c:pt idx="489">
                  <c:v>-3.389318041052825</c:v>
                </c:pt>
                <c:pt idx="490">
                  <c:v>-3.3999918666790561</c:v>
                </c:pt>
                <c:pt idx="491">
                  <c:v>-3.4106657057555494</c:v>
                </c:pt>
                <c:pt idx="492">
                  <c:v>-3.4213395582820074</c:v>
                </c:pt>
                <c:pt idx="493">
                  <c:v>-3.4320134242581322</c:v>
                </c:pt>
                <c:pt idx="494">
                  <c:v>-3.4426873036836256</c:v>
                </c:pt>
                <c:pt idx="495">
                  <c:v>-3.4533611965581903</c:v>
                </c:pt>
                <c:pt idx="496">
                  <c:v>-3.4640351028815277</c:v>
                </c:pt>
                <c:pt idx="497">
                  <c:v>-3.4747090226533404</c:v>
                </c:pt>
                <c:pt idx="498">
                  <c:v>-3.4853829558733302</c:v>
                </c:pt>
                <c:pt idx="499">
                  <c:v>-3.4960569025411994</c:v>
                </c:pt>
                <c:pt idx="500">
                  <c:v>-3.5067308626566498</c:v>
                </c:pt>
                <c:pt idx="501">
                  <c:v>-3.5174048362193839</c:v>
                </c:pt>
                <c:pt idx="502">
                  <c:v>-3.5280788232291038</c:v>
                </c:pt>
                <c:pt idx="503">
                  <c:v>-3.5387528236855115</c:v>
                </c:pt>
                <c:pt idx="504">
                  <c:v>-3.5494268375883089</c:v>
                </c:pt>
                <c:pt idx="505">
                  <c:v>-3.5601008649371986</c:v>
                </c:pt>
                <c:pt idx="506">
                  <c:v>-3.5707749057318821</c:v>
                </c:pt>
                <c:pt idx="507">
                  <c:v>-3.5814489599720623</c:v>
                </c:pt>
                <c:pt idx="508">
                  <c:v>-3.5921230276574407</c:v>
                </c:pt>
                <c:pt idx="509">
                  <c:v>-3.60279710878772</c:v>
                </c:pt>
                <c:pt idx="510">
                  <c:v>-3.613471203362602</c:v>
                </c:pt>
                <c:pt idx="511">
                  <c:v>-3.6241453113817887</c:v>
                </c:pt>
                <c:pt idx="512">
                  <c:v>-3.6348194328449828</c:v>
                </c:pt>
                <c:pt idx="513">
                  <c:v>-3.645493567751886</c:v>
                </c:pt>
                <c:pt idx="514">
                  <c:v>-3.6561677161022006</c:v>
                </c:pt>
                <c:pt idx="515">
                  <c:v>-3.6668418778956289</c:v>
                </c:pt>
                <c:pt idx="516">
                  <c:v>-3.6775160531318729</c:v>
                </c:pt>
                <c:pt idx="517">
                  <c:v>-3.6881902418106352</c:v>
                </c:pt>
                <c:pt idx="518">
                  <c:v>-3.6988644439316172</c:v>
                </c:pt>
                <c:pt idx="519">
                  <c:v>-3.7095386594945219</c:v>
                </c:pt>
                <c:pt idx="520">
                  <c:v>-3.7202128884990509</c:v>
                </c:pt>
                <c:pt idx="521">
                  <c:v>-3.7308871309449065</c:v>
                </c:pt>
                <c:pt idx="522">
                  <c:v>-3.7415613868317914</c:v>
                </c:pt>
                <c:pt idx="523">
                  <c:v>-3.752235656159407</c:v>
                </c:pt>
                <c:pt idx="524">
                  <c:v>-3.7629099389274563</c:v>
                </c:pt>
                <c:pt idx="525">
                  <c:v>-3.7735842351356408</c:v>
                </c:pt>
                <c:pt idx="526">
                  <c:v>-3.784258544783663</c:v>
                </c:pt>
                <c:pt idx="527">
                  <c:v>-3.7949328678712253</c:v>
                </c:pt>
                <c:pt idx="528">
                  <c:v>-3.8056072043980298</c:v>
                </c:pt>
                <c:pt idx="529">
                  <c:v>-3.8162815543637789</c:v>
                </c:pt>
                <c:pt idx="530">
                  <c:v>-3.8269559177681747</c:v>
                </c:pt>
                <c:pt idx="531">
                  <c:v>-3.8376302946109191</c:v>
                </c:pt>
                <c:pt idx="532">
                  <c:v>-3.8483046848917146</c:v>
                </c:pt>
                <c:pt idx="533">
                  <c:v>-3.8589790886102633</c:v>
                </c:pt>
                <c:pt idx="534">
                  <c:v>-3.8696535057662675</c:v>
                </c:pt>
                <c:pt idx="535">
                  <c:v>-3.8803279363594299</c:v>
                </c:pt>
                <c:pt idx="536">
                  <c:v>-3.8910023803894522</c:v>
                </c:pt>
                <c:pt idx="537">
                  <c:v>-3.9016768378560367</c:v>
                </c:pt>
                <c:pt idx="538">
                  <c:v>-3.9123513087588861</c:v>
                </c:pt>
                <c:pt idx="539">
                  <c:v>-3.9230257930977022</c:v>
                </c:pt>
                <c:pt idx="540">
                  <c:v>-3.9337002908721872</c:v>
                </c:pt>
                <c:pt idx="541">
                  <c:v>-3.9443748020820437</c:v>
                </c:pt>
                <c:pt idx="542">
                  <c:v>-3.9550493267269742</c:v>
                </c:pt>
                <c:pt idx="543">
                  <c:v>-3.9657238648066802</c:v>
                </c:pt>
                <c:pt idx="544">
                  <c:v>-3.9763984163208645</c:v>
                </c:pt>
                <c:pt idx="545">
                  <c:v>-3.9870729812692294</c:v>
                </c:pt>
                <c:pt idx="546">
                  <c:v>-3.9977475596514771</c:v>
                </c:pt>
                <c:pt idx="547">
                  <c:v>-4.0084221514673102</c:v>
                </c:pt>
                <c:pt idx="548">
                  <c:v>-4.0190967567164302</c:v>
                </c:pt>
                <c:pt idx="549">
                  <c:v>-4.02977137539854</c:v>
                </c:pt>
                <c:pt idx="550">
                  <c:v>-4.0404460075133422</c:v>
                </c:pt>
                <c:pt idx="551">
                  <c:v>-4.0511206530605381</c:v>
                </c:pt>
                <c:pt idx="552">
                  <c:v>-4.0617953120398305</c:v>
                </c:pt>
                <c:pt idx="553">
                  <c:v>-4.0724699844509216</c:v>
                </c:pt>
                <c:pt idx="554">
                  <c:v>-4.0831446702935139</c:v>
                </c:pt>
                <c:pt idx="555">
                  <c:v>-4.09381936956731</c:v>
                </c:pt>
                <c:pt idx="556">
                  <c:v>-4.1044940822720122</c:v>
                </c:pt>
                <c:pt idx="557">
                  <c:v>-4.1151688084073221</c:v>
                </c:pt>
                <c:pt idx="558">
                  <c:v>-4.1258435479729432</c:v>
                </c:pt>
                <c:pt idx="559">
                  <c:v>-4.1365183009685769</c:v>
                </c:pt>
                <c:pt idx="560">
                  <c:v>-4.1471930673939257</c:v>
                </c:pt>
                <c:pt idx="561">
                  <c:v>-4.1578678472486921</c:v>
                </c:pt>
                <c:pt idx="562">
                  <c:v>-4.1685426405325785</c:v>
                </c:pt>
                <c:pt idx="563">
                  <c:v>-4.1792174472452865</c:v>
                </c:pt>
                <c:pt idx="564">
                  <c:v>-4.1898922673865195</c:v>
                </c:pt>
                <c:pt idx="565">
                  <c:v>-4.2005671009559791</c:v>
                </c:pt>
                <c:pt idx="566">
                  <c:v>-4.2112419479533685</c:v>
                </c:pt>
                <c:pt idx="567">
                  <c:v>-4.2219168083783893</c:v>
                </c:pt>
                <c:pt idx="568">
                  <c:v>-4.2325916822307441</c:v>
                </c:pt>
                <c:pt idx="569">
                  <c:v>-4.2432665695101353</c:v>
                </c:pt>
                <c:pt idx="570">
                  <c:v>-4.2539414702162652</c:v>
                </c:pt>
                <c:pt idx="571">
                  <c:v>-4.2646163843488365</c:v>
                </c:pt>
                <c:pt idx="572">
                  <c:v>-4.2752913119075515</c:v>
                </c:pt>
                <c:pt idx="573">
                  <c:v>-4.2859662528921119</c:v>
                </c:pt>
                <c:pt idx="574">
                  <c:v>-4.2966412073022209</c:v>
                </c:pt>
                <c:pt idx="575">
                  <c:v>-4.307316175137581</c:v>
                </c:pt>
                <c:pt idx="576">
                  <c:v>-4.3179911563978939</c:v>
                </c:pt>
                <c:pt idx="577">
                  <c:v>-4.3286661510828619</c:v>
                </c:pt>
                <c:pt idx="578">
                  <c:v>-4.3393411591921884</c:v>
                </c:pt>
                <c:pt idx="579">
                  <c:v>-4.3500161807255751</c:v>
                </c:pt>
                <c:pt idx="580">
                  <c:v>-4.3606912156827242</c:v>
                </c:pt>
                <c:pt idx="581">
                  <c:v>-4.3713662640633384</c:v>
                </c:pt>
                <c:pt idx="582">
                  <c:v>-4.3820413258671209</c:v>
                </c:pt>
                <c:pt idx="583">
                  <c:v>-4.3927164010937734</c:v>
                </c:pt>
                <c:pt idx="584">
                  <c:v>-4.4033914897429982</c:v>
                </c:pt>
                <c:pt idx="585">
                  <c:v>-4.4140665918144979</c:v>
                </c:pt>
                <c:pt idx="586">
                  <c:v>-4.4247417073079749</c:v>
                </c:pt>
                <c:pt idx="587">
                  <c:v>-4.4354168362231317</c:v>
                </c:pt>
                <c:pt idx="588">
                  <c:v>-4.4460919785596706</c:v>
                </c:pt>
                <c:pt idx="589">
                  <c:v>-4.4567671343172943</c:v>
                </c:pt>
                <c:pt idx="590">
                  <c:v>-4.4674423034957051</c:v>
                </c:pt>
                <c:pt idx="591">
                  <c:v>-4.4781174860946056</c:v>
                </c:pt>
                <c:pt idx="592">
                  <c:v>-4.4887926821136972</c:v>
                </c:pt>
                <c:pt idx="593">
                  <c:v>-4.4994678915526833</c:v>
                </c:pt>
                <c:pt idx="594">
                  <c:v>-4.5101431144112665</c:v>
                </c:pt>
                <c:pt idx="595">
                  <c:v>-4.5208183506891491</c:v>
                </c:pt>
                <c:pt idx="596">
                  <c:v>-4.5314936003860335</c:v>
                </c:pt>
                <c:pt idx="597">
                  <c:v>-4.5421688635016224</c:v>
                </c:pt>
                <c:pt idx="598">
                  <c:v>-4.5528441400356181</c:v>
                </c:pt>
                <c:pt idx="599">
                  <c:v>-4.5635194299877231</c:v>
                </c:pt>
                <c:pt idx="600">
                  <c:v>-4.5741947333576398</c:v>
                </c:pt>
                <c:pt idx="601">
                  <c:v>-4.5848700501450708</c:v>
                </c:pt>
                <c:pt idx="602">
                  <c:v>-4.5955453803497184</c:v>
                </c:pt>
                <c:pt idx="603">
                  <c:v>-4.606220723971286</c:v>
                </c:pt>
                <c:pt idx="604">
                  <c:v>-4.6168960810094752</c:v>
                </c:pt>
                <c:pt idx="605">
                  <c:v>-4.6275714514639885</c:v>
                </c:pt>
                <c:pt idx="606">
                  <c:v>-4.6382468353345283</c:v>
                </c:pt>
                <c:pt idx="607">
                  <c:v>-4.648922232620798</c:v>
                </c:pt>
                <c:pt idx="608">
                  <c:v>-4.659597643322499</c:v>
                </c:pt>
                <c:pt idx="609">
                  <c:v>-4.6702730674393349</c:v>
                </c:pt>
                <c:pt idx="610">
                  <c:v>-4.6809485049710071</c:v>
                </c:pt>
                <c:pt idx="611">
                  <c:v>-4.691623955917219</c:v>
                </c:pt>
                <c:pt idx="612">
                  <c:v>-4.7022994202776731</c:v>
                </c:pt>
                <c:pt idx="613">
                  <c:v>-4.7129748980520718</c:v>
                </c:pt>
                <c:pt idx="614">
                  <c:v>-4.7236503892401176</c:v>
                </c:pt>
                <c:pt idx="615">
                  <c:v>-4.7343258938415129</c:v>
                </c:pt>
                <c:pt idx="616">
                  <c:v>-4.7450014118559602</c:v>
                </c:pt>
                <c:pt idx="617">
                  <c:v>-4.755676943283162</c:v>
                </c:pt>
                <c:pt idx="618">
                  <c:v>-4.7663524881228208</c:v>
                </c:pt>
                <c:pt idx="619">
                  <c:v>-4.7770280463746397</c:v>
                </c:pt>
                <c:pt idx="620">
                  <c:v>-4.7877036180383206</c:v>
                </c:pt>
                <c:pt idx="621">
                  <c:v>-4.7983792031135666</c:v>
                </c:pt>
                <c:pt idx="622">
                  <c:v>-4.8090548016000803</c:v>
                </c:pt>
                <c:pt idx="623">
                  <c:v>-4.819730413497564</c:v>
                </c:pt>
                <c:pt idx="624">
                  <c:v>-4.8304060388057204</c:v>
                </c:pt>
                <c:pt idx="625">
                  <c:v>-4.8410816775242518</c:v>
                </c:pt>
                <c:pt idx="626">
                  <c:v>-4.8517573296528607</c:v>
                </c:pt>
                <c:pt idx="627">
                  <c:v>-4.8624329951912504</c:v>
                </c:pt>
                <c:pt idx="628">
                  <c:v>-4.8731086741391225</c:v>
                </c:pt>
                <c:pt idx="629">
                  <c:v>-4.8837843664961804</c:v>
                </c:pt>
                <c:pt idx="630">
                  <c:v>-4.8944600722621265</c:v>
                </c:pt>
                <c:pt idx="631">
                  <c:v>-4.9051357914366633</c:v>
                </c:pt>
                <c:pt idx="632">
                  <c:v>-4.9158115240194933</c:v>
                </c:pt>
                <c:pt idx="633">
                  <c:v>-4.9264872700103197</c:v>
                </c:pt>
                <c:pt idx="634">
                  <c:v>-4.9371630294088442</c:v>
                </c:pt>
                <c:pt idx="635">
                  <c:v>-4.9478388022147701</c:v>
                </c:pt>
                <c:pt idx="636">
                  <c:v>-4.9585145884277999</c:v>
                </c:pt>
                <c:pt idx="637">
                  <c:v>-4.969190388047636</c:v>
                </c:pt>
                <c:pt idx="638">
                  <c:v>-4.9798662010739809</c:v>
                </c:pt>
                <c:pt idx="639">
                  <c:v>-4.990542027506538</c:v>
                </c:pt>
                <c:pt idx="640">
                  <c:v>-5.0012178673450096</c:v>
                </c:pt>
                <c:pt idx="641">
                  <c:v>-5.0118937205890983</c:v>
                </c:pt>
                <c:pt idx="642">
                  <c:v>-5.0225695872385065</c:v>
                </c:pt>
                <c:pt idx="643">
                  <c:v>-5.0332454672929368</c:v>
                </c:pt>
                <c:pt idx="644">
                  <c:v>-5.0439213607520923</c:v>
                </c:pt>
                <c:pt idx="645">
                  <c:v>-5.0545972676156747</c:v>
                </c:pt>
                <c:pt idx="646">
                  <c:v>-5.0652731878833874</c:v>
                </c:pt>
                <c:pt idx="647">
                  <c:v>-5.0759491215549337</c:v>
                </c:pt>
                <c:pt idx="648">
                  <c:v>-5.0866250686300152</c:v>
                </c:pt>
                <c:pt idx="649">
                  <c:v>-5.0973010291083352</c:v>
                </c:pt>
                <c:pt idx="650">
                  <c:v>-5.1079770029895961</c:v>
                </c:pt>
                <c:pt idx="651">
                  <c:v>-5.1186529902735005</c:v>
                </c:pt>
                <c:pt idx="652">
                  <c:v>-5.1293289909597508</c:v>
                </c:pt>
                <c:pt idx="653">
                  <c:v>-5.1400050050480504</c:v>
                </c:pt>
                <c:pt idx="654">
                  <c:v>-5.1506810325381016</c:v>
                </c:pt>
                <c:pt idx="655">
                  <c:v>-5.161357073429607</c:v>
                </c:pt>
                <c:pt idx="656">
                  <c:v>-5.17203312772227</c:v>
                </c:pt>
                <c:pt idx="657">
                  <c:v>-5.182709195415792</c:v>
                </c:pt>
                <c:pt idx="658">
                  <c:v>-5.1933852765098765</c:v>
                </c:pt>
                <c:pt idx="659">
                  <c:v>-5.2040613710042267</c:v>
                </c:pt>
                <c:pt idx="660">
                  <c:v>-5.2147374788985443</c:v>
                </c:pt>
                <c:pt idx="661">
                  <c:v>-5.2254136001925326</c:v>
                </c:pt>
                <c:pt idx="662">
                  <c:v>-5.2360897348858941</c:v>
                </c:pt>
                <c:pt idx="663">
                  <c:v>-5.2467658829783321</c:v>
                </c:pt>
                <c:pt idx="664">
                  <c:v>-5.2574420444695482</c:v>
                </c:pt>
                <c:pt idx="665">
                  <c:v>-5.2681182193592457</c:v>
                </c:pt>
                <c:pt idx="666">
                  <c:v>-5.278794407647128</c:v>
                </c:pt>
                <c:pt idx="667">
                  <c:v>-5.2894706093328967</c:v>
                </c:pt>
                <c:pt idx="668">
                  <c:v>-5.3001468244162551</c:v>
                </c:pt>
                <c:pt idx="669">
                  <c:v>-5.3108230528969065</c:v>
                </c:pt>
                <c:pt idx="670">
                  <c:v>-5.3214992947745525</c:v>
                </c:pt>
                <c:pt idx="671">
                  <c:v>-5.3321755500488965</c:v>
                </c:pt>
                <c:pt idx="672">
                  <c:v>-5.3428518187196419</c:v>
                </c:pt>
                <c:pt idx="673">
                  <c:v>-5.3535281007864901</c:v>
                </c:pt>
                <c:pt idx="674">
                  <c:v>-5.3642043962491446</c:v>
                </c:pt>
                <c:pt idx="675">
                  <c:v>-5.3748807051073078</c:v>
                </c:pt>
                <c:pt idx="676">
                  <c:v>-5.385557027360683</c:v>
                </c:pt>
                <c:pt idx="677">
                  <c:v>-5.3962333630089727</c:v>
                </c:pt>
                <c:pt idx="678">
                  <c:v>-5.4069097120518794</c:v>
                </c:pt>
                <c:pt idx="679">
                  <c:v>-5.4175860744891065</c:v>
                </c:pt>
                <c:pt idx="680">
                  <c:v>-5.4282624503203563</c:v>
                </c:pt>
                <c:pt idx="681">
                  <c:v>-5.4389388395453322</c:v>
                </c:pt>
                <c:pt idx="682">
                  <c:v>-5.4496152421637358</c:v>
                </c:pt>
                <c:pt idx="683">
                  <c:v>-5.4602916581752714</c:v>
                </c:pt>
                <c:pt idx="684">
                  <c:v>-5.4709680875796405</c:v>
                </c:pt>
                <c:pt idx="685">
                  <c:v>-5.4816445303765464</c:v>
                </c:pt>
                <c:pt idx="686">
                  <c:v>-5.4923209865656926</c:v>
                </c:pt>
                <c:pt idx="687">
                  <c:v>-5.5029974561467805</c:v>
                </c:pt>
                <c:pt idx="688">
                  <c:v>-5.5136739391195144</c:v>
                </c:pt>
                <c:pt idx="689">
                  <c:v>-5.5243504354835959</c:v>
                </c:pt>
                <c:pt idx="690">
                  <c:v>-5.5350269452387284</c:v>
                </c:pt>
                <c:pt idx="691">
                  <c:v>-5.5457034683846143</c:v>
                </c:pt>
                <c:pt idx="692">
                  <c:v>-5.5563800049209568</c:v>
                </c:pt>
                <c:pt idx="693">
                  <c:v>-5.5670565548474586</c:v>
                </c:pt>
                <c:pt idx="694">
                  <c:v>-5.577733118163823</c:v>
                </c:pt>
                <c:pt idx="695">
                  <c:v>-5.5884096948697524</c:v>
                </c:pt>
                <c:pt idx="696">
                  <c:v>-5.5990862849649501</c:v>
                </c:pt>
                <c:pt idx="697">
                  <c:v>-5.6097628884491186</c:v>
                </c:pt>
                <c:pt idx="698">
                  <c:v>-5.6204395053219605</c:v>
                </c:pt>
                <c:pt idx="699">
                  <c:v>-5.6311161355831789</c:v>
                </c:pt>
                <c:pt idx="700">
                  <c:v>-5.6417927792324765</c:v>
                </c:pt>
                <c:pt idx="701">
                  <c:v>-5.6524694362695564</c:v>
                </c:pt>
                <c:pt idx="702">
                  <c:v>-5.6631461066941213</c:v>
                </c:pt>
                <c:pt idx="703">
                  <c:v>-5.6738227905058745</c:v>
                </c:pt>
                <c:pt idx="704">
                  <c:v>-5.6844994877045183</c:v>
                </c:pt>
                <c:pt idx="705">
                  <c:v>-5.6951761982897553</c:v>
                </c:pt>
                <c:pt idx="706">
                  <c:v>-5.7058529222612888</c:v>
                </c:pt>
                <c:pt idx="707">
                  <c:v>-5.7165296596188222</c:v>
                </c:pt>
                <c:pt idx="708">
                  <c:v>-5.7272064103620579</c:v>
                </c:pt>
                <c:pt idx="709">
                  <c:v>-5.7378831744906984</c:v>
                </c:pt>
                <c:pt idx="710">
                  <c:v>-5.748559952004447</c:v>
                </c:pt>
                <c:pt idx="711">
                  <c:v>-5.7592367429030071</c:v>
                </c:pt>
                <c:pt idx="712">
                  <c:v>-5.7699135471860812</c:v>
                </c:pt>
                <c:pt idx="713">
                  <c:v>-5.7805903648533716</c:v>
                </c:pt>
                <c:pt idx="714">
                  <c:v>-5.7912671959045818</c:v>
                </c:pt>
                <c:pt idx="715">
                  <c:v>-5.8019440403394151</c:v>
                </c:pt>
                <c:pt idx="716">
                  <c:v>-5.812620898157574</c:v>
                </c:pt>
                <c:pt idx="717">
                  <c:v>-5.8232977693587618</c:v>
                </c:pt>
                <c:pt idx="718">
                  <c:v>-5.8339746539426809</c:v>
                </c:pt>
                <c:pt idx="719">
                  <c:v>-5.8446515519090338</c:v>
                </c:pt>
                <c:pt idx="720">
                  <c:v>-5.855328463257524</c:v>
                </c:pt>
                <c:pt idx="721">
                  <c:v>-5.8660053879878546</c:v>
                </c:pt>
                <c:pt idx="722">
                  <c:v>-5.8766823260997283</c:v>
                </c:pt>
                <c:pt idx="723">
                  <c:v>-5.8873592775928483</c:v>
                </c:pt>
                <c:pt idx="724">
                  <c:v>-5.898036242466917</c:v>
                </c:pt>
                <c:pt idx="725">
                  <c:v>-5.908713220721638</c:v>
                </c:pt>
                <c:pt idx="726">
                  <c:v>-5.9193902123567144</c:v>
                </c:pt>
                <c:pt idx="727">
                  <c:v>-5.9300672173718487</c:v>
                </c:pt>
                <c:pt idx="728">
                  <c:v>-5.9407442357667435</c:v>
                </c:pt>
                <c:pt idx="729">
                  <c:v>-5.951421267541102</c:v>
                </c:pt>
                <c:pt idx="730">
                  <c:v>-5.9620983126946276</c:v>
                </c:pt>
                <c:pt idx="731">
                  <c:v>-5.9727753712270228</c:v>
                </c:pt>
                <c:pt idx="732">
                  <c:v>-5.983452443137991</c:v>
                </c:pt>
                <c:pt idx="733">
                  <c:v>-5.9941295284272345</c:v>
                </c:pt>
                <c:pt idx="734">
                  <c:v>-6.0048066270944576</c:v>
                </c:pt>
                <c:pt idx="735">
                  <c:v>-6.0154837391393619</c:v>
                </c:pt>
                <c:pt idx="736">
                  <c:v>-6.0261608645616507</c:v>
                </c:pt>
                <c:pt idx="737">
                  <c:v>-6.0368380033610274</c:v>
                </c:pt>
                <c:pt idx="738">
                  <c:v>-6.0475151555371953</c:v>
                </c:pt>
                <c:pt idx="739">
                  <c:v>-6.0581923210898569</c:v>
                </c:pt>
                <c:pt idx="740">
                  <c:v>-6.0688695000187147</c:v>
                </c:pt>
                <c:pt idx="741">
                  <c:v>-6.0795466923234729</c:v>
                </c:pt>
                <c:pt idx="742">
                  <c:v>-6.0902238980038339</c:v>
                </c:pt>
                <c:pt idx="743">
                  <c:v>-6.1009011170595002</c:v>
                </c:pt>
                <c:pt idx="744">
                  <c:v>-6.1115783494901752</c:v>
                </c:pt>
                <c:pt idx="745">
                  <c:v>-6.1222555952955622</c:v>
                </c:pt>
                <c:pt idx="746">
                  <c:v>-6.1329328544753645</c:v>
                </c:pt>
                <c:pt idx="747">
                  <c:v>-6.1436101270292847</c:v>
                </c:pt>
                <c:pt idx="748">
                  <c:v>-6.1542874129570251</c:v>
                </c:pt>
                <c:pt idx="749">
                  <c:v>-6.16496471225829</c:v>
                </c:pt>
                <c:pt idx="750">
                  <c:v>-6.1756420249327819</c:v>
                </c:pt>
                <c:pt idx="751">
                  <c:v>-6.1863193509802041</c:v>
                </c:pt>
                <c:pt idx="752">
                  <c:v>-6.1969966904002591</c:v>
                </c:pt>
                <c:pt idx="753">
                  <c:v>-6.2076740431926503</c:v>
                </c:pt>
                <c:pt idx="754">
                  <c:v>-6.2183514093570809</c:v>
                </c:pt>
                <c:pt idx="755">
                  <c:v>-6.2290287888932534</c:v>
                </c:pt>
                <c:pt idx="756">
                  <c:v>-6.2397061818008712</c:v>
                </c:pt>
                <c:pt idx="757">
                  <c:v>-6.2503835880796377</c:v>
                </c:pt>
                <c:pt idx="758">
                  <c:v>-6.2610610077292561</c:v>
                </c:pt>
                <c:pt idx="759">
                  <c:v>-6.271738440749429</c:v>
                </c:pt>
                <c:pt idx="760">
                  <c:v>-6.2824158871398597</c:v>
                </c:pt>
                <c:pt idx="761">
                  <c:v>-6.2930933469002506</c:v>
                </c:pt>
                <c:pt idx="762">
                  <c:v>-6.303770820030306</c:v>
                </c:pt>
                <c:pt idx="763">
                  <c:v>-6.3144483065297283</c:v>
                </c:pt>
                <c:pt idx="764">
                  <c:v>-6.3251258063982201</c:v>
                </c:pt>
                <c:pt idx="765">
                  <c:v>-6.3358033196354855</c:v>
                </c:pt>
                <c:pt idx="766">
                  <c:v>-6.346480846241227</c:v>
                </c:pt>
                <c:pt idx="767">
                  <c:v>-6.3571583862151479</c:v>
                </c:pt>
                <c:pt idx="768">
                  <c:v>-6.3678359395569508</c:v>
                </c:pt>
                <c:pt idx="769">
                  <c:v>-6.3785135062663398</c:v>
                </c:pt>
                <c:pt idx="770">
                  <c:v>-6.3891910863430175</c:v>
                </c:pt>
                <c:pt idx="771">
                  <c:v>-6.3998686797866871</c:v>
                </c:pt>
                <c:pt idx="772">
                  <c:v>-6.4105462865970511</c:v>
                </c:pt>
                <c:pt idx="773">
                  <c:v>-6.4212239067738137</c:v>
                </c:pt>
                <c:pt idx="774">
                  <c:v>-6.4319015403166775</c:v>
                </c:pt>
                <c:pt idx="775">
                  <c:v>-6.4425791872253457</c:v>
                </c:pt>
                <c:pt idx="776">
                  <c:v>-6.4532568474995209</c:v>
                </c:pt>
                <c:pt idx="777">
                  <c:v>-6.4639345211389072</c:v>
                </c:pt>
                <c:pt idx="778">
                  <c:v>-6.4746122081432071</c:v>
                </c:pt>
                <c:pt idx="779">
                  <c:v>-6.4852899085121241</c:v>
                </c:pt>
                <c:pt idx="780">
                  <c:v>-6.4959676222453613</c:v>
                </c:pt>
                <c:pt idx="781">
                  <c:v>-6.5066453493426213</c:v>
                </c:pt>
                <c:pt idx="782">
                  <c:v>-6.5173230898036083</c:v>
                </c:pt>
                <c:pt idx="783">
                  <c:v>-6.5280008436280248</c:v>
                </c:pt>
                <c:pt idx="784">
                  <c:v>-6.5386786108155741</c:v>
                </c:pt>
                <c:pt idx="785">
                  <c:v>-6.5493563913659587</c:v>
                </c:pt>
                <c:pt idx="786">
                  <c:v>-6.5600341852788828</c:v>
                </c:pt>
                <c:pt idx="787">
                  <c:v>-6.5707119925540489</c:v>
                </c:pt>
                <c:pt idx="788">
                  <c:v>-6.5813898131911603</c:v>
                </c:pt>
                <c:pt idx="789">
                  <c:v>-6.5920676471899204</c:v>
                </c:pt>
                <c:pt idx="790">
                  <c:v>-6.6027454945500326</c:v>
                </c:pt>
                <c:pt idx="791">
                  <c:v>-6.6134233552712001</c:v>
                </c:pt>
                <c:pt idx="792">
                  <c:v>-6.6241012293531254</c:v>
                </c:pt>
                <c:pt idx="793">
                  <c:v>-6.6347791167955128</c:v>
                </c:pt>
                <c:pt idx="794">
                  <c:v>-6.6454570175980647</c:v>
                </c:pt>
                <c:pt idx="795">
                  <c:v>-6.6561349317604845</c:v>
                </c:pt>
                <c:pt idx="796">
                  <c:v>-6.6668128592824756</c:v>
                </c:pt>
                <c:pt idx="797">
                  <c:v>-6.6774908001637412</c:v>
                </c:pt>
                <c:pt idx="798">
                  <c:v>-6.6881687544039838</c:v>
                </c:pt>
                <c:pt idx="799">
                  <c:v>-6.6988467220029078</c:v>
                </c:pt>
                <c:pt idx="800">
                  <c:v>-6.7095247029602154</c:v>
                </c:pt>
                <c:pt idx="801">
                  <c:v>-6.7202026972756101</c:v>
                </c:pt>
                <c:pt idx="802">
                  <c:v>-6.7308807049487953</c:v>
                </c:pt>
                <c:pt idx="803">
                  <c:v>-6.7415587259794743</c:v>
                </c:pt>
                <c:pt idx="804">
                  <c:v>-6.7522367603673503</c:v>
                </c:pt>
                <c:pt idx="805">
                  <c:v>-6.7629148081121269</c:v>
                </c:pt>
                <c:pt idx="806">
                  <c:v>-6.7735928692135063</c:v>
                </c:pt>
                <c:pt idx="807">
                  <c:v>-6.784270943671193</c:v>
                </c:pt>
                <c:pt idx="808">
                  <c:v>-6.7949490314848893</c:v>
                </c:pt>
                <c:pt idx="809">
                  <c:v>-6.8056271326542985</c:v>
                </c:pt>
                <c:pt idx="810">
                  <c:v>-6.816305247179125</c:v>
                </c:pt>
                <c:pt idx="811">
                  <c:v>-6.8269833750590712</c:v>
                </c:pt>
                <c:pt idx="812">
                  <c:v>-6.8376615162938403</c:v>
                </c:pt>
                <c:pt idx="813">
                  <c:v>-6.8483396708831359</c:v>
                </c:pt>
                <c:pt idx="814">
                  <c:v>-6.8590178388266612</c:v>
                </c:pt>
                <c:pt idx="815">
                  <c:v>-6.8696960201241186</c:v>
                </c:pt>
                <c:pt idx="816">
                  <c:v>-6.8803742147752125</c:v>
                </c:pt>
                <c:pt idx="817">
                  <c:v>-6.8910524227796461</c:v>
                </c:pt>
                <c:pt idx="818">
                  <c:v>-6.901730644137122</c:v>
                </c:pt>
                <c:pt idx="819">
                  <c:v>-6.9124088788473443</c:v>
                </c:pt>
                <c:pt idx="820">
                  <c:v>-6.9230871269100165</c:v>
                </c:pt>
                <c:pt idx="821">
                  <c:v>-6.9337653883248409</c:v>
                </c:pt>
                <c:pt idx="822">
                  <c:v>-6.9444436630915209</c:v>
                </c:pt>
                <c:pt idx="823">
                  <c:v>-6.9551219512097608</c:v>
                </c:pt>
                <c:pt idx="824">
                  <c:v>-6.9658002526792631</c:v>
                </c:pt>
                <c:pt idx="825">
                  <c:v>-6.9764785674997318</c:v>
                </c:pt>
                <c:pt idx="826">
                  <c:v>-6.9871568956708696</c:v>
                </c:pt>
                <c:pt idx="827">
                  <c:v>-6.9978352371923798</c:v>
                </c:pt>
                <c:pt idx="828">
                  <c:v>-7.0085135920639665</c:v>
                </c:pt>
                <c:pt idx="829">
                  <c:v>-7.0191919602853323</c:v>
                </c:pt>
                <c:pt idx="830">
                  <c:v>-7.0298703418561805</c:v>
                </c:pt>
                <c:pt idx="831">
                  <c:v>-7.0405487367762145</c:v>
                </c:pt>
                <c:pt idx="832">
                  <c:v>-7.0512271450451385</c:v>
                </c:pt>
                <c:pt idx="833">
                  <c:v>-7.0619055666626549</c:v>
                </c:pt>
                <c:pt idx="834">
                  <c:v>-7.0725840016284671</c:v>
                </c:pt>
                <c:pt idx="835">
                  <c:v>-7.0832624499422785</c:v>
                </c:pt>
                <c:pt idx="836">
                  <c:v>-7.0939409116037933</c:v>
                </c:pt>
                <c:pt idx="837">
                  <c:v>-7.1046193866127139</c:v>
                </c:pt>
                <c:pt idx="838">
                  <c:v>-7.1152978749687437</c:v>
                </c:pt>
                <c:pt idx="839">
                  <c:v>-7.1259763766715869</c:v>
                </c:pt>
                <c:pt idx="840">
                  <c:v>-7.136654891720946</c:v>
                </c:pt>
                <c:pt idx="841">
                  <c:v>-7.1473334201165253</c:v>
                </c:pt>
                <c:pt idx="842">
                  <c:v>-7.1580119618580271</c:v>
                </c:pt>
                <c:pt idx="843">
                  <c:v>-7.1686905169451558</c:v>
                </c:pt>
                <c:pt idx="844">
                  <c:v>-7.1793690853776138</c:v>
                </c:pt>
                <c:pt idx="845">
                  <c:v>-7.1900476671551052</c:v>
                </c:pt>
                <c:pt idx="846">
                  <c:v>-7.2007262622773336</c:v>
                </c:pt>
                <c:pt idx="847">
                  <c:v>-7.2114048707440013</c:v>
                </c:pt>
                <c:pt idx="848">
                  <c:v>-7.2220834925548125</c:v>
                </c:pt>
                <c:pt idx="849">
                  <c:v>-7.2327621277094707</c:v>
                </c:pt>
                <c:pt idx="850">
                  <c:v>-7.2434407762076791</c:v>
                </c:pt>
                <c:pt idx="851">
                  <c:v>-7.2541194380491412</c:v>
                </c:pt>
                <c:pt idx="852">
                  <c:v>-7.2647981132335602</c:v>
                </c:pt>
                <c:pt idx="853">
                  <c:v>-7.2754768017606404</c:v>
                </c:pt>
                <c:pt idx="854">
                  <c:v>-7.2861555036300842</c:v>
                </c:pt>
                <c:pt idx="855">
                  <c:v>-7.296834218841596</c:v>
                </c:pt>
                <c:pt idx="856">
                  <c:v>-7.3075129473948781</c:v>
                </c:pt>
                <c:pt idx="857">
                  <c:v>-7.3181916892896348</c:v>
                </c:pt>
                <c:pt idx="858">
                  <c:v>-7.3288704445255686</c:v>
                </c:pt>
                <c:pt idx="859">
                  <c:v>-7.3395492131023836</c:v>
                </c:pt>
                <c:pt idx="860">
                  <c:v>-7.3502279950197833</c:v>
                </c:pt>
                <c:pt idx="861">
                  <c:v>-7.360906790277471</c:v>
                </c:pt>
                <c:pt idx="862">
                  <c:v>-7.3715855988751509</c:v>
                </c:pt>
                <c:pt idx="863">
                  <c:v>-7.3822644208125254</c:v>
                </c:pt>
                <c:pt idx="864">
                  <c:v>-7.3929432560892989</c:v>
                </c:pt>
                <c:pt idx="865">
                  <c:v>-7.4036221047051738</c:v>
                </c:pt>
                <c:pt idx="866">
                  <c:v>-7.4143009666598543</c:v>
                </c:pt>
                <c:pt idx="867">
                  <c:v>-7.4249798419530437</c:v>
                </c:pt>
                <c:pt idx="868">
                  <c:v>-7.4356587305844455</c:v>
                </c:pt>
                <c:pt idx="869">
                  <c:v>-7.4463376325537629</c:v>
                </c:pt>
                <c:pt idx="870">
                  <c:v>-7.4570165478607002</c:v>
                </c:pt>
                <c:pt idx="871">
                  <c:v>-7.4676954765049599</c:v>
                </c:pt>
                <c:pt idx="872">
                  <c:v>-7.4783744184862462</c:v>
                </c:pt>
                <c:pt idx="873">
                  <c:v>-7.4890533738042624</c:v>
                </c:pt>
                <c:pt idx="874">
                  <c:v>-7.4997323424587119</c:v>
                </c:pt>
                <c:pt idx="875">
                  <c:v>-7.510411324449298</c:v>
                </c:pt>
                <c:pt idx="876">
                  <c:v>-7.5210903197757251</c:v>
                </c:pt>
                <c:pt idx="877">
                  <c:v>-7.5317693284376954</c:v>
                </c:pt>
                <c:pt idx="878">
                  <c:v>-7.5424483504349134</c:v>
                </c:pt>
                <c:pt idx="879">
                  <c:v>-7.5531273857670822</c:v>
                </c:pt>
                <c:pt idx="880">
                  <c:v>-7.5638064344339053</c:v>
                </c:pt>
                <c:pt idx="881">
                  <c:v>-7.574485496435087</c:v>
                </c:pt>
                <c:pt idx="882">
                  <c:v>-7.5851645717703295</c:v>
                </c:pt>
                <c:pt idx="883">
                  <c:v>-7.5958436604393373</c:v>
                </c:pt>
                <c:pt idx="884">
                  <c:v>-7.6065227624418137</c:v>
                </c:pt>
                <c:pt idx="885">
                  <c:v>-7.6172018777774619</c:v>
                </c:pt>
                <c:pt idx="886">
                  <c:v>-7.6278810064459863</c:v>
                </c:pt>
                <c:pt idx="887">
                  <c:v>-7.6385601484470902</c:v>
                </c:pt>
                <c:pt idx="888">
                  <c:v>-7.6492393037804769</c:v>
                </c:pt>
                <c:pt idx="889">
                  <c:v>-7.6599184724458498</c:v>
                </c:pt>
                <c:pt idx="890">
                  <c:v>-7.6705976544429122</c:v>
                </c:pt>
                <c:pt idx="891">
                  <c:v>-7.6812768497713684</c:v>
                </c:pt>
                <c:pt idx="892">
                  <c:v>-7.6919560584309217</c:v>
                </c:pt>
                <c:pt idx="893">
                  <c:v>-7.7026352804212754</c:v>
                </c:pt>
                <c:pt idx="894">
                  <c:v>-7.7133145157421339</c:v>
                </c:pt>
                <c:pt idx="895">
                  <c:v>-7.7239937643931995</c:v>
                </c:pt>
                <c:pt idx="896">
                  <c:v>-7.7346730263741774</c:v>
                </c:pt>
                <c:pt idx="897">
                  <c:v>-7.7453523016847701</c:v>
                </c:pt>
                <c:pt idx="898">
                  <c:v>-7.7560315903246808</c:v>
                </c:pt>
                <c:pt idx="899">
                  <c:v>-7.7667108922936139</c:v>
                </c:pt>
                <c:pt idx="900">
                  <c:v>-7.7773902075912726</c:v>
                </c:pt>
                <c:pt idx="901">
                  <c:v>-7.7880695362173613</c:v>
                </c:pt>
                <c:pt idx="902">
                  <c:v>-7.7987488781715824</c:v>
                </c:pt>
                <c:pt idx="903">
                  <c:v>-7.80942823345364</c:v>
                </c:pt>
                <c:pt idx="904">
                  <c:v>-7.8201076020632385</c:v>
                </c:pt>
                <c:pt idx="905">
                  <c:v>-7.8307869840000803</c:v>
                </c:pt>
                <c:pt idx="906">
                  <c:v>-7.8414663792638697</c:v>
                </c:pt>
                <c:pt idx="907">
                  <c:v>-7.8521457878543108</c:v>
                </c:pt>
                <c:pt idx="908">
                  <c:v>-7.8628252097711062</c:v>
                </c:pt>
                <c:pt idx="909">
                  <c:v>-7.8735046450139601</c:v>
                </c:pt>
                <c:pt idx="910">
                  <c:v>-7.8841840935825758</c:v>
                </c:pt>
                <c:pt idx="911">
                  <c:v>-7.8948635554766575</c:v>
                </c:pt>
                <c:pt idx="912">
                  <c:v>-7.9055430306959087</c:v>
                </c:pt>
                <c:pt idx="913">
                  <c:v>-7.9162225192400326</c:v>
                </c:pt>
                <c:pt idx="914">
                  <c:v>-7.9269020211087327</c:v>
                </c:pt>
                <c:pt idx="915">
                  <c:v>-7.937581536301713</c:v>
                </c:pt>
                <c:pt idx="916">
                  <c:v>-7.9482610648186771</c:v>
                </c:pt>
                <c:pt idx="917">
                  <c:v>-7.9589406066593291</c:v>
                </c:pt>
                <c:pt idx="918">
                  <c:v>-7.9696201618233724</c:v>
                </c:pt>
                <c:pt idx="919">
                  <c:v>-7.9802997303105103</c:v>
                </c:pt>
                <c:pt idx="920">
                  <c:v>-7.9909793121204471</c:v>
                </c:pt>
                <c:pt idx="921">
                  <c:v>-8.001658907252887</c:v>
                </c:pt>
                <c:pt idx="922">
                  <c:v>-8.0123385157075315</c:v>
                </c:pt>
                <c:pt idx="923">
                  <c:v>-8.0230181374840868</c:v>
                </c:pt>
                <c:pt idx="924">
                  <c:v>-8.0336977725822543</c:v>
                </c:pt>
                <c:pt idx="925">
                  <c:v>-8.0443774210017391</c:v>
                </c:pt>
                <c:pt idx="926">
                  <c:v>-8.0550570827422447</c:v>
                </c:pt>
                <c:pt idx="927">
                  <c:v>-8.0657367578034744</c:v>
                </c:pt>
                <c:pt idx="928">
                  <c:v>-8.0764164461851333</c:v>
                </c:pt>
                <c:pt idx="929">
                  <c:v>-8.087096147886923</c:v>
                </c:pt>
                <c:pt idx="930">
                  <c:v>-8.0977758629085486</c:v>
                </c:pt>
                <c:pt idx="931">
                  <c:v>-8.1084555912497134</c:v>
                </c:pt>
                <c:pt idx="932">
                  <c:v>-8.1191353329101208</c:v>
                </c:pt>
                <c:pt idx="933">
                  <c:v>-8.1298150878894759</c:v>
                </c:pt>
                <c:pt idx="934">
                  <c:v>-8.1404948561874804</c:v>
                </c:pt>
                <c:pt idx="935">
                  <c:v>-8.1511746378038392</c:v>
                </c:pt>
                <c:pt idx="936">
                  <c:v>-8.1618544327382558</c:v>
                </c:pt>
                <c:pt idx="937">
                  <c:v>-8.1725342409904354</c:v>
                </c:pt>
                <c:pt idx="938">
                  <c:v>-8.1832140625600793</c:v>
                </c:pt>
                <c:pt idx="939">
                  <c:v>-8.1938938974468929</c:v>
                </c:pt>
                <c:pt idx="940">
                  <c:v>-8.2045737456505794</c:v>
                </c:pt>
                <c:pt idx="941">
                  <c:v>-8.2152536071708422</c:v>
                </c:pt>
                <c:pt idx="942">
                  <c:v>-8.2259334820073864</c:v>
                </c:pt>
                <c:pt idx="943">
                  <c:v>-8.2366133701599136</c:v>
                </c:pt>
                <c:pt idx="944">
                  <c:v>-8.2472932716281289</c:v>
                </c:pt>
                <c:pt idx="945">
                  <c:v>-8.2579731864117356</c:v>
                </c:pt>
                <c:pt idx="946">
                  <c:v>-8.2686531145104389</c:v>
                </c:pt>
                <c:pt idx="947">
                  <c:v>-8.2793330559239404</c:v>
                </c:pt>
                <c:pt idx="948">
                  <c:v>-8.2900130106519452</c:v>
                </c:pt>
                <c:pt idx="949">
                  <c:v>-8.3006929786941566</c:v>
                </c:pt>
                <c:pt idx="950">
                  <c:v>-8.3113729600502797</c:v>
                </c:pt>
                <c:pt idx="951">
                  <c:v>-8.3220529547200162</c:v>
                </c:pt>
                <c:pt idx="952">
                  <c:v>-8.3327329627030711</c:v>
                </c:pt>
                <c:pt idx="953">
                  <c:v>-8.3434129839991478</c:v>
                </c:pt>
                <c:pt idx="954">
                  <c:v>-8.3540930186079496</c:v>
                </c:pt>
                <c:pt idx="955">
                  <c:v>-8.3647730665291817</c:v>
                </c:pt>
                <c:pt idx="956">
                  <c:v>-8.3754531277625475</c:v>
                </c:pt>
                <c:pt idx="957">
                  <c:v>-8.3861332023077502</c:v>
                </c:pt>
                <c:pt idx="958">
                  <c:v>-8.3968132901644932</c:v>
                </c:pt>
                <c:pt idx="959">
                  <c:v>-8.4074933913324816</c:v>
                </c:pt>
                <c:pt idx="960">
                  <c:v>-8.4181735058114189</c:v>
                </c:pt>
                <c:pt idx="961">
                  <c:v>-8.4288536336010083</c:v>
                </c:pt>
                <c:pt idx="962">
                  <c:v>-8.4395337747009549</c:v>
                </c:pt>
                <c:pt idx="963">
                  <c:v>-8.4502139291109604</c:v>
                </c:pt>
                <c:pt idx="964">
                  <c:v>-8.4608940968307298</c:v>
                </c:pt>
                <c:pt idx="965">
                  <c:v>-8.4715742778599683</c:v>
                </c:pt>
                <c:pt idx="966">
                  <c:v>-8.4822544721983775</c:v>
                </c:pt>
                <c:pt idx="967">
                  <c:v>-8.4929346798456624</c:v>
                </c:pt>
                <c:pt idx="968">
                  <c:v>-8.5036149008015265</c:v>
                </c:pt>
                <c:pt idx="969">
                  <c:v>-8.5142951350656748</c:v>
                </c:pt>
                <c:pt idx="970">
                  <c:v>-8.524975382637809</c:v>
                </c:pt>
                <c:pt idx="971">
                  <c:v>-8.5356556435176358</c:v>
                </c:pt>
                <c:pt idx="972">
                  <c:v>-8.546335917704857</c:v>
                </c:pt>
                <c:pt idx="973">
                  <c:v>-8.5570162051991758</c:v>
                </c:pt>
                <c:pt idx="974">
                  <c:v>-8.5676965060002974</c:v>
                </c:pt>
                <c:pt idx="975">
                  <c:v>-8.5783768201079251</c:v>
                </c:pt>
                <c:pt idx="976">
                  <c:v>-8.5890571475217641</c:v>
                </c:pt>
                <c:pt idx="977">
                  <c:v>-8.5997374882415176</c:v>
                </c:pt>
                <c:pt idx="978">
                  <c:v>-8.6104178422668891</c:v>
                </c:pt>
                <c:pt idx="979">
                  <c:v>-8.6210982095975819</c:v>
                </c:pt>
                <c:pt idx="980">
                  <c:v>-8.6317785902333011</c:v>
                </c:pt>
                <c:pt idx="981">
                  <c:v>-8.64245898417375</c:v>
                </c:pt>
                <c:pt idx="982">
                  <c:v>-8.6531393914186321</c:v>
                </c:pt>
                <c:pt idx="983">
                  <c:v>-8.6638198119676524</c:v>
                </c:pt>
                <c:pt idx="984">
                  <c:v>-8.6745002458205143</c:v>
                </c:pt>
                <c:pt idx="985">
                  <c:v>-8.6851806929769211</c:v>
                </c:pt>
                <c:pt idx="986">
                  <c:v>-8.695861153436578</c:v>
                </c:pt>
                <c:pt idx="987">
                  <c:v>-8.7065416271991882</c:v>
                </c:pt>
                <c:pt idx="988">
                  <c:v>-8.7172221142644553</c:v>
                </c:pt>
                <c:pt idx="989">
                  <c:v>-8.7279026146320842</c:v>
                </c:pt>
                <c:pt idx="990">
                  <c:v>-8.7385831283017783</c:v>
                </c:pt>
                <c:pt idx="991">
                  <c:v>-8.749263655273241</c:v>
                </c:pt>
                <c:pt idx="992">
                  <c:v>-8.7599441955461774</c:v>
                </c:pt>
                <c:pt idx="993">
                  <c:v>-8.7706247491202909</c:v>
                </c:pt>
                <c:pt idx="994">
                  <c:v>-8.7813053159952847</c:v>
                </c:pt>
                <c:pt idx="995">
                  <c:v>-8.7919858961708623</c:v>
                </c:pt>
                <c:pt idx="996">
                  <c:v>-8.8026664896467288</c:v>
                </c:pt>
                <c:pt idx="997">
                  <c:v>-8.8133470964225893</c:v>
                </c:pt>
                <c:pt idx="998">
                  <c:v>-8.8240277164981453</c:v>
                </c:pt>
                <c:pt idx="999">
                  <c:v>-8.8347083498731021</c:v>
                </c:pt>
                <c:pt idx="1000">
                  <c:v>-8.8453889965471646</c:v>
                </c:pt>
              </c:numCache>
            </c:numRef>
          </c:yVal>
          <c:smooth val="1"/>
          <c:extLst>
            <c:ext xmlns:c16="http://schemas.microsoft.com/office/drawing/2014/chart" uri="{C3380CC4-5D6E-409C-BE32-E72D297353CC}">
              <c16:uniqueId val="{00000002-432A-49A9-9499-7ED3E32DDB07}"/>
            </c:ext>
          </c:extLst>
        </c:ser>
        <c:ser>
          <c:idx val="4"/>
          <c:order val="3"/>
          <c:tx>
            <c:strRef>
              <c:f>Trajecto!$B$110</c:f>
              <c:strCache>
                <c:ptCount val="1"/>
              </c:strCache>
            </c:strRef>
          </c:tx>
          <c:spPr>
            <a:ln w="25400">
              <a:solidFill>
                <a:srgbClr val="FF6600"/>
              </a:solidFill>
              <a:prstDash val="solid"/>
            </a:ln>
          </c:spPr>
          <c:marker>
            <c:symbol val="none"/>
          </c:marker>
          <c:dLbls>
            <c:dLbl>
              <c:idx val="1"/>
              <c:spPr>
                <a:noFill/>
                <a:ln w="25400">
                  <a:noFill/>
                </a:ln>
              </c:spPr>
              <c:txPr>
                <a:bodyPr/>
                <a:lstStyle/>
                <a:p>
                  <a:pPr>
                    <a:defRPr sz="700" b="1" i="0" u="none" strike="noStrike" baseline="0">
                      <a:solidFill>
                        <a:srgbClr val="FF66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3-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Trajecto!$B$141:$B$147</c:f>
              <c:numCache>
                <c:formatCode>0</c:formatCode>
                <c:ptCount val="7"/>
                <c:pt idx="0">
                  <c:v>0</c:v>
                </c:pt>
                <c:pt idx="1">
                  <c:v>0</c:v>
                </c:pt>
                <c:pt idx="2">
                  <c:v>0</c:v>
                </c:pt>
                <c:pt idx="3">
                  <c:v>0</c:v>
                </c:pt>
                <c:pt idx="4">
                  <c:v>0</c:v>
                </c:pt>
                <c:pt idx="5">
                  <c:v>0</c:v>
                </c:pt>
                <c:pt idx="6">
                  <c:v>0</c:v>
                </c:pt>
              </c:numCache>
            </c:numRef>
          </c:xVal>
          <c:yVal>
            <c:numRef>
              <c:f>Trajecto!$C$141:$C$147</c:f>
              <c:numCache>
                <c:formatCode>0</c:formatCode>
                <c:ptCount val="7"/>
                <c:pt idx="0">
                  <c:v>0</c:v>
                </c:pt>
                <c:pt idx="1">
                  <c:v>0</c:v>
                </c:pt>
                <c:pt idx="2">
                  <c:v>0</c:v>
                </c:pt>
                <c:pt idx="3">
                  <c:v>0</c:v>
                </c:pt>
                <c:pt idx="4">
                  <c:v>0</c:v>
                </c:pt>
                <c:pt idx="5">
                  <c:v>0</c:v>
                </c:pt>
                <c:pt idx="6">
                  <c:v>0</c:v>
                </c:pt>
              </c:numCache>
            </c:numRef>
          </c:yVal>
          <c:smooth val="0"/>
          <c:extLst>
            <c:ext xmlns:c16="http://schemas.microsoft.com/office/drawing/2014/chart" uri="{C3380CC4-5D6E-409C-BE32-E72D297353CC}">
              <c16:uniqueId val="{00000004-432A-49A9-9499-7ED3E32DDB07}"/>
            </c:ext>
          </c:extLst>
        </c:ser>
        <c:ser>
          <c:idx val="5"/>
          <c:order val="4"/>
          <c:tx>
            <c:strRef>
              <c:f>Trajecto!$B$107</c:f>
              <c:strCache>
                <c:ptCount val="1"/>
                <c:pt idx="0">
                  <c:v>Phase ascendante</c:v>
                </c:pt>
              </c:strCache>
            </c:strRef>
          </c:tx>
          <c:spPr>
            <a:ln w="25400">
              <a:solidFill>
                <a:srgbClr val="000080"/>
              </a:solidFill>
              <a:prstDash val="solid"/>
            </a:ln>
          </c:spPr>
          <c:marker>
            <c:symbol val="none"/>
          </c:marker>
          <c:xVal>
            <c:numRef>
              <c:f>Calculs!$J$4:$J$1004</c:f>
              <c:numCache>
                <c:formatCode>0.00</c:formatCode>
                <c:ptCount val="1001"/>
                <c:pt idx="0">
                  <c:v>133.2454606677656</c:v>
                </c:pt>
                <c:pt idx="1">
                  <c:v>133.63488779027901</c:v>
                </c:pt>
                <c:pt idx="2">
                  <c:v>134.02389265680583</c:v>
                </c:pt>
                <c:pt idx="3">
                  <c:v>134.41247650865378</c:v>
                </c:pt>
                <c:pt idx="4">
                  <c:v>134.80064058205795</c:v>
                </c:pt>
                <c:pt idx="5">
                  <c:v>135.18838610820919</c:v>
                </c:pt>
                <c:pt idx="6">
                  <c:v>135.57571431328245</c:v>
                </c:pt>
                <c:pt idx="7">
                  <c:v>135.96262641846482</c:v>
                </c:pt>
                <c:pt idx="8">
                  <c:v>136.34912363998336</c:v>
                </c:pt>
                <c:pt idx="9">
                  <c:v>136.73520718913286</c:v>
                </c:pt>
                <c:pt idx="10">
                  <c:v>137.12087827230323</c:v>
                </c:pt>
                <c:pt idx="11">
                  <c:v>137.50613808856488</c:v>
                </c:pt>
                <c:pt idx="12">
                  <c:v>137.89098782729437</c:v>
                </c:pt>
                <c:pt idx="13">
                  <c:v>138.27542867072691</c:v>
                </c:pt>
                <c:pt idx="14">
                  <c:v>138.65946179646735</c:v>
                </c:pt>
                <c:pt idx="15">
                  <c:v>139.04308837751483</c:v>
                </c:pt>
                <c:pt idx="16">
                  <c:v>139.4263095822873</c:v>
                </c:pt>
                <c:pt idx="17">
                  <c:v>139.80912657464586</c:v>
                </c:pt>
                <c:pt idx="18">
                  <c:v>140.19154051391891</c:v>
                </c:pt>
                <c:pt idx="19">
                  <c:v>140.57355255492621</c:v>
                </c:pt>
                <c:pt idx="20">
                  <c:v>140.95516384800271</c:v>
                </c:pt>
                <c:pt idx="21">
                  <c:v>141.33637554025162</c:v>
                </c:pt>
                <c:pt idx="22">
                  <c:v>141.71718877677776</c:v>
                </c:pt>
                <c:pt idx="23">
                  <c:v>142.09760469944089</c:v>
                </c:pt>
                <c:pt idx="24">
                  <c:v>142.47762444562909</c:v>
                </c:pt>
                <c:pt idx="25">
                  <c:v>142.85724914828273</c:v>
                </c:pt>
                <c:pt idx="26">
                  <c:v>143.23647993591828</c:v>
                </c:pt>
                <c:pt idx="27">
                  <c:v>143.61531793265198</c:v>
                </c:pt>
                <c:pt idx="28">
                  <c:v>143.99376425822331</c:v>
                </c:pt>
                <c:pt idx="29">
                  <c:v>144.37182002801836</c:v>
                </c:pt>
                <c:pt idx="30">
                  <c:v>144.74948635309306</c:v>
                </c:pt>
                <c:pt idx="31">
                  <c:v>145.1267643401961</c:v>
                </c:pt>
                <c:pt idx="32">
                  <c:v>145.50365509179193</c:v>
                </c:pt>
                <c:pt idx="33">
                  <c:v>145.88015970608339</c:v>
                </c:pt>
                <c:pt idx="34">
                  <c:v>146.25627927703439</c:v>
                </c:pt>
                <c:pt idx="35">
                  <c:v>146.63201489439228</c:v>
                </c:pt>
                <c:pt idx="36">
                  <c:v>147.00736764371015</c:v>
                </c:pt>
                <c:pt idx="37">
                  <c:v>147.38233860636893</c:v>
                </c:pt>
                <c:pt idx="38">
                  <c:v>147.75692885959941</c:v>
                </c:pt>
                <c:pt idx="39">
                  <c:v>148.13113947650407</c:v>
                </c:pt>
                <c:pt idx="40">
                  <c:v>148.50497152607883</c:v>
                </c:pt>
                <c:pt idx="41">
                  <c:v>148.87842607323452</c:v>
                </c:pt>
                <c:pt idx="42">
                  <c:v>149.25150417881835</c:v>
                </c:pt>
                <c:pt idx="43">
                  <c:v>149.6242068996352</c:v>
                </c:pt>
                <c:pt idx="44">
                  <c:v>149.99653528846872</c:v>
                </c:pt>
                <c:pt idx="45">
                  <c:v>150.36849039410234</c:v>
                </c:pt>
                <c:pt idx="46">
                  <c:v>150.74007326134014</c:v>
                </c:pt>
                <c:pt idx="47">
                  <c:v>151.11128493102757</c:v>
                </c:pt>
                <c:pt idx="48">
                  <c:v>151.48212644007202</c:v>
                </c:pt>
                <c:pt idx="49">
                  <c:v>151.85259882146332</c:v>
                </c:pt>
                <c:pt idx="50">
                  <c:v>152.22270310429406</c:v>
                </c:pt>
                <c:pt idx="51">
                  <c:v>152.59244031377975</c:v>
                </c:pt>
                <c:pt idx="52">
                  <c:v>152.96181147127891</c:v>
                </c:pt>
                <c:pt idx="53">
                  <c:v>153.33081759431298</c:v>
                </c:pt>
                <c:pt idx="54">
                  <c:v>153.69945969658613</c:v>
                </c:pt>
                <c:pt idx="55">
                  <c:v>154.06773878800496</c:v>
                </c:pt>
                <c:pt idx="56">
                  <c:v>154.43565587469806</c:v>
                </c:pt>
                <c:pt idx="57">
                  <c:v>154.80321195903534</c:v>
                </c:pt>
                <c:pt idx="58">
                  <c:v>155.17040803964744</c:v>
                </c:pt>
                <c:pt idx="59">
                  <c:v>155.53724511144486</c:v>
                </c:pt>
                <c:pt idx="60">
                  <c:v>155.90372416563702</c:v>
                </c:pt>
                <c:pt idx="61">
                  <c:v>156.26984618975115</c:v>
                </c:pt>
                <c:pt idx="62">
                  <c:v>156.6356121676512</c:v>
                </c:pt>
                <c:pt idx="63">
                  <c:v>157.00102307955643</c:v>
                </c:pt>
                <c:pt idx="64">
                  <c:v>157.36607990206002</c:v>
                </c:pt>
                <c:pt idx="65">
                  <c:v>157.73078360814753</c:v>
                </c:pt>
                <c:pt idx="66">
                  <c:v>158.09513516721523</c:v>
                </c:pt>
                <c:pt idx="67">
                  <c:v>158.45913554508829</c:v>
                </c:pt>
                <c:pt idx="68">
                  <c:v>158.82278570403895</c:v>
                </c:pt>
                <c:pt idx="69">
                  <c:v>159.18608660280447</c:v>
                </c:pt>
                <c:pt idx="70">
                  <c:v>159.54903919660498</c:v>
                </c:pt>
                <c:pt idx="71">
                  <c:v>159.91164443716127</c:v>
                </c:pt>
                <c:pt idx="72">
                  <c:v>160.27390327271249</c:v>
                </c:pt>
                <c:pt idx="73">
                  <c:v>160.6358166480336</c:v>
                </c:pt>
                <c:pt idx="74">
                  <c:v>160.99738550445284</c:v>
                </c:pt>
                <c:pt idx="75">
                  <c:v>161.35861077986908</c:v>
                </c:pt>
                <c:pt idx="76">
                  <c:v>161.71949340876898</c:v>
                </c:pt>
                <c:pt idx="77">
                  <c:v>162.08003432224413</c:v>
                </c:pt>
                <c:pt idx="78">
                  <c:v>162.44023444800803</c:v>
                </c:pt>
                <c:pt idx="79">
                  <c:v>162.80009471041296</c:v>
                </c:pt>
                <c:pt idx="80">
                  <c:v>163.15961603046685</c:v>
                </c:pt>
                <c:pt idx="81">
                  <c:v>163.51879932584984</c:v>
                </c:pt>
                <c:pt idx="82">
                  <c:v>163.87764551093096</c:v>
                </c:pt>
                <c:pt idx="83">
                  <c:v>164.23615549678456</c:v>
                </c:pt>
                <c:pt idx="84">
                  <c:v>164.59433019120664</c:v>
                </c:pt>
                <c:pt idx="85">
                  <c:v>164.95217049873122</c:v>
                </c:pt>
                <c:pt idx="86">
                  <c:v>165.30967732064639</c:v>
                </c:pt>
                <c:pt idx="87">
                  <c:v>165.66685155501051</c:v>
                </c:pt>
                <c:pt idx="88">
                  <c:v>166.02369409666807</c:v>
                </c:pt>
                <c:pt idx="89">
                  <c:v>166.38020583726561</c:v>
                </c:pt>
                <c:pt idx="90">
                  <c:v>166.73638766526747</c:v>
                </c:pt>
                <c:pt idx="91">
                  <c:v>167.09224046597151</c:v>
                </c:pt>
                <c:pt idx="92">
                  <c:v>167.4477651215247</c:v>
                </c:pt>
                <c:pt idx="93">
                  <c:v>167.80296251093847</c:v>
                </c:pt>
                <c:pt idx="94">
                  <c:v>168.1578335101043</c:v>
                </c:pt>
                <c:pt idx="95">
                  <c:v>168.51237899180882</c:v>
                </c:pt>
                <c:pt idx="96">
                  <c:v>168.8665998257492</c:v>
                </c:pt>
                <c:pt idx="97">
                  <c:v>169.22049687854812</c:v>
                </c:pt>
                <c:pt idx="98">
                  <c:v>169.57407101376879</c:v>
                </c:pt>
                <c:pt idx="99">
                  <c:v>169.92732309192999</c:v>
                </c:pt>
                <c:pt idx="100">
                  <c:v>170.28025397052082</c:v>
                </c:pt>
                <c:pt idx="101">
                  <c:v>173.7919629679696</c:v>
                </c:pt>
                <c:pt idx="102">
                  <c:v>177.27210232281712</c:v>
                </c:pt>
                <c:pt idx="103">
                  <c:v>180.72150189982614</c:v>
                </c:pt>
                <c:pt idx="104">
                  <c:v>184.14096310919157</c:v>
                </c:pt>
                <c:pt idx="105">
                  <c:v>187.53126024600513</c:v>
                </c:pt>
                <c:pt idx="106">
                  <c:v>190.89314175178242</c:v>
                </c:pt>
                <c:pt idx="107">
                  <c:v>194.22733140345008</c:v>
                </c:pt>
                <c:pt idx="108">
                  <c:v>197.53452943475585</c:v>
                </c:pt>
                <c:pt idx="109">
                  <c:v>200.81541359467116</c:v>
                </c:pt>
                <c:pt idx="110">
                  <c:v>204.07064014699577</c:v>
                </c:pt>
                <c:pt idx="111">
                  <c:v>207.30084481504798</c:v>
                </c:pt>
                <c:pt idx="112">
                  <c:v>210.50664367502475</c:v>
                </c:pt>
                <c:pt idx="113">
                  <c:v>213.68863400134416</c:v>
                </c:pt>
                <c:pt idx="114">
                  <c:v>216.84739506703283</c:v>
                </c:pt>
                <c:pt idx="115">
                  <c:v>219.98348890199364</c:v>
                </c:pt>
                <c:pt idx="116">
                  <c:v>223.09746101177933</c:v>
                </c:pt>
                <c:pt idx="117">
                  <c:v>226.18984105930673</c:v>
                </c:pt>
                <c:pt idx="118">
                  <c:v>229.26114351176994</c:v>
                </c:pt>
                <c:pt idx="119">
                  <c:v>232.31186825484906</c:v>
                </c:pt>
                <c:pt idx="120">
                  <c:v>235.34250117616284</c:v>
                </c:pt>
                <c:pt idx="121">
                  <c:v>238.35351471977603</c:v>
                </c:pt>
                <c:pt idx="122">
                  <c:v>241.34536841344644</c:v>
                </c:pt>
                <c:pt idx="123">
                  <c:v>244.31850937017992</c:v>
                </c:pt>
                <c:pt idx="124">
                  <c:v>247.27337276555423</c:v>
                </c:pt>
                <c:pt idx="125">
                  <c:v>250.21038229217274</c:v>
                </c:pt>
                <c:pt idx="126">
                  <c:v>253.12995059251756</c:v>
                </c:pt>
                <c:pt idx="127">
                  <c:v>256.03247967138572</c:v>
                </c:pt>
                <c:pt idx="128">
                  <c:v>258.91836128901366</c:v>
                </c:pt>
                <c:pt idx="129">
                  <c:v>261.78797733592091</c:v>
                </c:pt>
                <c:pt idx="130">
                  <c:v>264.64170019043667</c:v>
                </c:pt>
                <c:pt idx="131">
                  <c:v>267.47989305980843</c:v>
                </c:pt>
                <c:pt idx="132">
                  <c:v>270.30291030573358</c:v>
                </c:pt>
                <c:pt idx="133">
                  <c:v>273.11109775509897</c:v>
                </c:pt>
                <c:pt idx="134">
                  <c:v>275.90479299666197</c:v>
                </c:pt>
                <c:pt idx="135">
                  <c:v>278.68432566435894</c:v>
                </c:pt>
                <c:pt idx="136">
                  <c:v>281.45001770788059</c:v>
                </c:pt>
                <c:pt idx="137">
                  <c:v>284.2021836511127</c:v>
                </c:pt>
                <c:pt idx="138">
                  <c:v>286.94113083899947</c:v>
                </c:pt>
                <c:pt idx="139">
                  <c:v>289.66715967334989</c:v>
                </c:pt>
                <c:pt idx="140">
                  <c:v>292.38056383807208</c:v>
                </c:pt>
                <c:pt idx="141">
                  <c:v>295.0816305142863</c:v>
                </c:pt>
                <c:pt idx="142">
                  <c:v>297.77064058573609</c:v>
                </c:pt>
                <c:pt idx="143">
                  <c:v>300.44786883488626</c:v>
                </c:pt>
                <c:pt idx="144">
                  <c:v>303.11358413006786</c:v>
                </c:pt>
                <c:pt idx="145">
                  <c:v>305.76804960400199</c:v>
                </c:pt>
                <c:pt idx="146">
                  <c:v>308.41152282400839</c:v>
                </c:pt>
                <c:pt idx="147">
                  <c:v>311.04425595417842</c:v>
                </c:pt>
                <c:pt idx="148">
                  <c:v>313.66649590976749</c:v>
                </c:pt>
                <c:pt idx="149">
                  <c:v>316.27848450403809</c:v>
                </c:pt>
                <c:pt idx="150">
                  <c:v>318.88045858776013</c:v>
                </c:pt>
                <c:pt idx="151">
                  <c:v>321.47265018155355</c:v>
                </c:pt>
                <c:pt idx="152">
                  <c:v>324.05528660123349</c:v>
                </c:pt>
                <c:pt idx="153">
                  <c:v>326.62859057629782</c:v>
                </c:pt>
                <c:pt idx="154">
                  <c:v>329.19278036167265</c:v>
                </c:pt>
                <c:pt idx="155">
                  <c:v>331.74806984280968</c:v>
                </c:pt>
                <c:pt idx="156">
                  <c:v>334.29466863420748</c:v>
                </c:pt>
                <c:pt idx="157">
                  <c:v>336.83278217140463</c:v>
                </c:pt>
                <c:pt idx="158">
                  <c:v>339.3626117964709</c:v>
                </c:pt>
                <c:pt idx="159">
                  <c:v>341.88435483699936</c:v>
                </c:pt>
                <c:pt idx="160">
                  <c:v>344.39820467857783</c:v>
                </c:pt>
                <c:pt idx="161">
                  <c:v>346.90435083069565</c:v>
                </c:pt>
                <c:pt idx="162">
                  <c:v>349.40297898601591</c:v>
                </c:pt>
                <c:pt idx="163">
                  <c:v>351.89427107291954</c:v>
                </c:pt>
                <c:pt idx="164">
                  <c:v>354.37840530120189</c:v>
                </c:pt>
                <c:pt idx="165">
                  <c:v>356.85555620077827</c:v>
                </c:pt>
                <c:pt idx="166">
                  <c:v>359.32589465322803</c:v>
                </c:pt>
                <c:pt idx="167">
                  <c:v>361.78958791598336</c:v>
                </c:pt>
                <c:pt idx="168">
                  <c:v>364.24679963894334</c:v>
                </c:pt>
                <c:pt idx="169">
                  <c:v>366.69768987327132</c:v>
                </c:pt>
                <c:pt idx="170">
                  <c:v>369.14241507211102</c:v>
                </c:pt>
                <c:pt idx="171">
                  <c:v>371.58112808293902</c:v>
                </c:pt>
                <c:pt idx="172">
                  <c:v>374.01397813125413</c:v>
                </c:pt>
                <c:pt idx="173">
                  <c:v>376.44111079529506</c:v>
                </c:pt>
                <c:pt idx="174">
                  <c:v>378.86266797147238</c:v>
                </c:pt>
                <c:pt idx="175">
                  <c:v>381.27878783020532</c:v>
                </c:pt>
                <c:pt idx="176">
                  <c:v>383.68960476186857</c:v>
                </c:pt>
                <c:pt idx="177">
                  <c:v>386.09524931258227</c:v>
                </c:pt>
                <c:pt idx="178">
                  <c:v>388.49584810962273</c:v>
                </c:pt>
                <c:pt idx="179">
                  <c:v>390.89152377629483</c:v>
                </c:pt>
                <c:pt idx="180">
                  <c:v>393.28239483619603</c:v>
                </c:pt>
                <c:pt idx="181">
                  <c:v>395.66857560691454</c:v>
                </c:pt>
                <c:pt idx="182">
                  <c:v>398.05017608335271</c:v>
                </c:pt>
                <c:pt idx="183">
                  <c:v>400.4273018110456</c:v>
                </c:pt>
                <c:pt idx="184">
                  <c:v>402.80005375006471</c:v>
                </c:pt>
                <c:pt idx="185">
                  <c:v>405.16852813035365</c:v>
                </c:pt>
                <c:pt idx="186">
                  <c:v>407.53281629963976</c:v>
                </c:pt>
                <c:pt idx="187">
                  <c:v>409.89300456539809</c:v>
                </c:pt>
                <c:pt idx="188">
                  <c:v>412.24917403270672</c:v>
                </c:pt>
                <c:pt idx="189">
                  <c:v>414.60140044021381</c:v>
                </c:pt>
                <c:pt idx="190">
                  <c:v>416.94975399682141</c:v>
                </c:pt>
                <c:pt idx="191">
                  <c:v>419.29429922206168</c:v>
                </c:pt>
                <c:pt idx="192">
                  <c:v>421.635094793468</c:v>
                </c:pt>
                <c:pt idx="193">
                  <c:v>423.97219340450545</c:v>
                </c:pt>
                <c:pt idx="194">
                  <c:v>426.30564163678531</c:v>
                </c:pt>
                <c:pt idx="195">
                  <c:v>428.63547985032631</c:v>
                </c:pt>
                <c:pt idx="196">
                  <c:v>430.96174209551026</c:v>
                </c:pt>
                <c:pt idx="197">
                  <c:v>433.28445605010262</c:v>
                </c:pt>
                <c:pt idx="198">
                  <c:v>435.60364298426077</c:v>
                </c:pt>
                <c:pt idx="199">
                  <c:v>437.91931775584828</c:v>
                </c:pt>
                <c:pt idx="200">
                  <c:v>440.23148883763326</c:v>
                </c:pt>
                <c:pt idx="201">
                  <c:v>442.54015837711489</c:v>
                </c:pt>
                <c:pt idx="202">
                  <c:v>444.8453222888387</c:v>
                </c:pt>
                <c:pt idx="203">
                  <c:v>447.14697037818519</c:v>
                </c:pt>
                <c:pt idx="204">
                  <c:v>449.44508649479928</c:v>
                </c:pt>
                <c:pt idx="205">
                  <c:v>451.73964871311625</c:v>
                </c:pt>
                <c:pt idx="206">
                  <c:v>454.03062953687032</c:v>
                </c:pt>
                <c:pt idx="207">
                  <c:v>456.31799612406883</c:v>
                </c:pt>
                <c:pt idx="208">
                  <c:v>458.60171052867997</c:v>
                </c:pt>
                <c:pt idx="209">
                  <c:v>460.88172995521671</c:v>
                </c:pt>
                <c:pt idx="210">
                  <c:v>463.1580070224781</c:v>
                </c:pt>
                <c:pt idx="211">
                  <c:v>465.43049003291401</c:v>
                </c:pt>
                <c:pt idx="212">
                  <c:v>467.69912324437416</c:v>
                </c:pt>
                <c:pt idx="213">
                  <c:v>469.96384714136184</c:v>
                </c:pt>
                <c:pt idx="214">
                  <c:v>472.22459870330624</c:v>
                </c:pt>
                <c:pt idx="215">
                  <c:v>474.48131166777108</c:v>
                </c:pt>
                <c:pt idx="216">
                  <c:v>476.73391678691206</c:v>
                </c:pt>
                <c:pt idx="217">
                  <c:v>478.98234207586557</c:v>
                </c:pt>
                <c:pt idx="218">
                  <c:v>481.22651305208831</c:v>
                </c:pt>
                <c:pt idx="219">
                  <c:v>483.46635296496544</c:v>
                </c:pt>
                <c:pt idx="220">
                  <c:v>485.70178301526028</c:v>
                </c:pt>
                <c:pt idx="221">
                  <c:v>487.93272256419482</c:v>
                </c:pt>
                <c:pt idx="222">
                  <c:v>490.15908933212552</c:v>
                </c:pt>
                <c:pt idx="223">
                  <c:v>492.38079958692111</c:v>
                </c:pt>
                <c:pt idx="224">
                  <c:v>494.59776832225776</c:v>
                </c:pt>
                <c:pt idx="225">
                  <c:v>496.80990942612959</c:v>
                </c:pt>
                <c:pt idx="226">
                  <c:v>499.01713583993228</c:v>
                </c:pt>
                <c:pt idx="227">
                  <c:v>501.21935970851655</c:v>
                </c:pt>
                <c:pt idx="228">
                  <c:v>503.41649252163381</c:v>
                </c:pt>
                <c:pt idx="229">
                  <c:v>505.60844524720812</c:v>
                </c:pt>
                <c:pt idx="230">
                  <c:v>507.79512845686969</c:v>
                </c:pt>
                <c:pt idx="231">
                  <c:v>509.97645244418197</c:v>
                </c:pt>
                <c:pt idx="232">
                  <c:v>512.15232733598145</c:v>
                </c:pt>
                <c:pt idx="233">
                  <c:v>514.3226631972351</c:v>
                </c:pt>
                <c:pt idx="234">
                  <c:v>516.48737012980405</c:v>
                </c:pt>
                <c:pt idx="235">
                  <c:v>518.6463583654795</c:v>
                </c:pt>
                <c:pt idx="236">
                  <c:v>520.79953835364029</c:v>
                </c:pt>
                <c:pt idx="237">
                  <c:v>522.94682084385784</c:v>
                </c:pt>
                <c:pt idx="238">
                  <c:v>525.08811696375426</c:v>
                </c:pt>
                <c:pt idx="239">
                  <c:v>527.22333829240097</c:v>
                </c:pt>
                <c:pt idx="240">
                  <c:v>529.35239692952189</c:v>
                </c:pt>
                <c:pt idx="241">
                  <c:v>531.47520556075131</c:v>
                </c:pt>
                <c:pt idx="242">
                  <c:v>533.59167751917403</c:v>
                </c:pt>
                <c:pt idx="243">
                  <c:v>535.70172684336274</c:v>
                </c:pt>
                <c:pt idx="244">
                  <c:v>537.80526833210888</c:v>
                </c:pt>
                <c:pt idx="245">
                  <c:v>539.90221759603116</c:v>
                </c:pt>
                <c:pt idx="246">
                  <c:v>541.99249110622952</c:v>
                </c:pt>
                <c:pt idx="247">
                  <c:v>544.07600624014287</c:v>
                </c:pt>
                <c:pt idx="248">
                  <c:v>546.15268132475501</c:v>
                </c:pt>
                <c:pt idx="249">
                  <c:v>548.22243567728333</c:v>
                </c:pt>
                <c:pt idx="250">
                  <c:v>550.28518964347529</c:v>
                </c:pt>
                <c:pt idx="251">
                  <c:v>552.34086463362758</c:v>
                </c:pt>
                <c:pt idx="252">
                  <c:v>554.38938315643645</c:v>
                </c:pt>
                <c:pt idx="253">
                  <c:v>556.43066885077781</c:v>
                </c:pt>
                <c:pt idx="254">
                  <c:v>558.46464651551082</c:v>
                </c:pt>
                <c:pt idx="255">
                  <c:v>560.49124213739105</c:v>
                </c:pt>
                <c:pt idx="256">
                  <c:v>562.51038291717384</c:v>
                </c:pt>
                <c:pt idx="257">
                  <c:v>564.52199729398319</c:v>
                </c:pt>
                <c:pt idx="258">
                  <c:v>566.52601496801731</c:v>
                </c:pt>
                <c:pt idx="259">
                  <c:v>568.5223669216565</c:v>
                </c:pt>
                <c:pt idx="260">
                  <c:v>570.51098543903504</c:v>
                </c:pt>
                <c:pt idx="261">
                  <c:v>572.49180412413648</c:v>
                </c:pt>
                <c:pt idx="262">
                  <c:v>574.46475791746695</c:v>
                </c:pt>
                <c:pt idx="263">
                  <c:v>576.42978311135801</c:v>
                </c:pt>
                <c:pt idx="264">
                  <c:v>578.3868173639496</c:v>
                </c:pt>
                <c:pt idx="265">
                  <c:v>580.33579971189806</c:v>
                </c:pt>
                <c:pt idx="266">
                  <c:v>582.27667058185534</c:v>
                </c:pt>
                <c:pt idx="267">
                  <c:v>584.20937180075987</c:v>
                </c:pt>
                <c:pt idx="268">
                  <c:v>586.13384660498139</c:v>
                </c:pt>
                <c:pt idx="269">
                  <c:v>588.05003964835635</c:v>
                </c:pt>
                <c:pt idx="270">
                  <c:v>589.95789700915179</c:v>
                </c:pt>
                <c:pt idx="271">
                  <c:v>591.85736619599345</c:v>
                </c:pt>
                <c:pt idx="272">
                  <c:v>593.74839615279086</c:v>
                </c:pt>
                <c:pt idx="273">
                  <c:v>595.63093726269358</c:v>
                </c:pt>
                <c:pt idx="274">
                  <c:v>597.50494135110944</c:v>
                </c:pt>
                <c:pt idx="275">
                  <c:v>599.3703616878156</c:v>
                </c:pt>
                <c:pt idx="276">
                  <c:v>601.22715298819185</c:v>
                </c:pt>
                <c:pt idx="277">
                  <c:v>603.07527141360504</c:v>
                </c:pt>
                <c:pt idx="278">
                  <c:v>604.91467457097247</c:v>
                </c:pt>
                <c:pt idx="279">
                  <c:v>606.74532151153119</c:v>
                </c:pt>
                <c:pt idx="280">
                  <c:v>608.56717272883941</c:v>
                </c:pt>
                <c:pt idx="281">
                  <c:v>610.38019015603641</c:v>
                </c:pt>
                <c:pt idx="282">
                  <c:v>612.18433716238496</c:v>
                </c:pt>
                <c:pt idx="283">
                  <c:v>613.97957854912113</c:v>
                </c:pt>
                <c:pt idx="284">
                  <c:v>615.76588054463593</c:v>
                </c:pt>
                <c:pt idx="285">
                  <c:v>617.54321079901104</c:v>
                </c:pt>
                <c:pt idx="286">
                  <c:v>619.31153837793249</c:v>
                </c:pt>
                <c:pt idx="287">
                  <c:v>621.07083375600394</c:v>
                </c:pt>
                <c:pt idx="288">
                  <c:v>622.82106880948152</c:v>
                </c:pt>
                <c:pt idx="289">
                  <c:v>624.5622168084526</c:v>
                </c:pt>
                <c:pt idx="290">
                  <c:v>626.29425240847809</c:v>
                </c:pt>
                <c:pt idx="291">
                  <c:v>628.01715164172026</c:v>
                </c:pt>
                <c:pt idx="292">
                  <c:v>629.73089190757514</c:v>
                </c:pt>
                <c:pt idx="293">
                  <c:v>631.43545196283083</c:v>
                </c:pt>
                <c:pt idx="294">
                  <c:v>633.13081191136951</c:v>
                </c:pt>
                <c:pt idx="295">
                  <c:v>634.81695319343396</c:v>
                </c:pt>
                <c:pt idx="296">
                  <c:v>636.49385857447578</c:v>
                </c:pt>
                <c:pt idx="297">
                  <c:v>638.16151213360524</c:v>
                </c:pt>
                <c:pt idx="298">
                  <c:v>639.81989925165988</c:v>
                </c:pt>
                <c:pt idx="299">
                  <c:v>641.46900659890991</c:v>
                </c:pt>
                <c:pt idx="300">
                  <c:v>643.10882212241802</c:v>
                </c:pt>
                <c:pt idx="301">
                  <c:v>644.73933503307012</c:v>
                </c:pt>
                <c:pt idx="302">
                  <c:v>646.36053579229497</c:v>
                </c:pt>
                <c:pt idx="303">
                  <c:v>647.97241609848743</c:v>
                </c:pt>
                <c:pt idx="304">
                  <c:v>649.57496887315313</c:v>
                </c:pt>
                <c:pt idx="305">
                  <c:v>651.16818824678944</c:v>
                </c:pt>
                <c:pt idx="306">
                  <c:v>652.75206954451824</c:v>
                </c:pt>
                <c:pt idx="307">
                  <c:v>654.32660927148606</c:v>
                </c:pt>
                <c:pt idx="308">
                  <c:v>655.89180509804623</c:v>
                </c:pt>
                <c:pt idx="309">
                  <c:v>657.44765584473794</c:v>
                </c:pt>
                <c:pt idx="310">
                  <c:v>658.99416146707529</c:v>
                </c:pt>
                <c:pt idx="311">
                  <c:v>660.53132304016174</c:v>
                </c:pt>
                <c:pt idx="312">
                  <c:v>662.05914274314296</c:v>
                </c:pt>
                <c:pt idx="313">
                  <c:v>663.57762384351099</c:v>
                </c:pt>
                <c:pt idx="314">
                  <c:v>665.08677068127304</c:v>
                </c:pt>
                <c:pt idx="315">
                  <c:v>666.58658865299788</c:v>
                </c:pt>
                <c:pt idx="316">
                  <c:v>668.0770841957517</c:v>
                </c:pt>
                <c:pt idx="317">
                  <c:v>669.55826477093592</c:v>
                </c:pt>
                <c:pt idx="318">
                  <c:v>671.03013884803829</c:v>
                </c:pt>
                <c:pt idx="319">
                  <c:v>672.49271588830936</c:v>
                </c:pt>
                <c:pt idx="320">
                  <c:v>673.94600632837444</c:v>
                </c:pt>
                <c:pt idx="321">
                  <c:v>675.39002156379343</c:v>
                </c:pt>
                <c:pt idx="322">
                  <c:v>676.8247739325775</c:v>
                </c:pt>
                <c:pt idx="323">
                  <c:v>678.25027669867404</c:v>
                </c:pt>
                <c:pt idx="324">
                  <c:v>679.66654403542896</c:v>
                </c:pt>
                <c:pt idx="325">
                  <c:v>681.07359100903705</c:v>
                </c:pt>
                <c:pt idx="326">
                  <c:v>682.47143356198876</c:v>
                </c:pt>
                <c:pt idx="327">
                  <c:v>683.86008849652308</c:v>
                </c:pt>
                <c:pt idx="328">
                  <c:v>685.23957345809504</c:v>
                </c:pt>
                <c:pt idx="329">
                  <c:v>686.60990691886695</c:v>
                </c:pt>
                <c:pt idx="330">
                  <c:v>687.97110816123075</c:v>
                </c:pt>
                <c:pt idx="331">
                  <c:v>689.32319726136973</c:v>
                </c:pt>
                <c:pt idx="332">
                  <c:v>690.66619507286805</c:v>
                </c:pt>
                <c:pt idx="333">
                  <c:v>692.00012321037445</c:v>
                </c:pt>
                <c:pt idx="334">
                  <c:v>693.3250040333279</c:v>
                </c:pt>
                <c:pt idx="335">
                  <c:v>694.64086062975196</c:v>
                </c:pt>
                <c:pt idx="336">
                  <c:v>695.94771680012423</c:v>
                </c:pt>
                <c:pt idx="337">
                  <c:v>697.24559704132776</c:v>
                </c:pt>
                <c:pt idx="338">
                  <c:v>698.5345265306903</c:v>
                </c:pt>
                <c:pt idx="339">
                  <c:v>699.81453111011706</c:v>
                </c:pt>
                <c:pt idx="340">
                  <c:v>701.08563727032254</c:v>
                </c:pt>
                <c:pt idx="341">
                  <c:v>702.34787213516756</c:v>
                </c:pt>
                <c:pt idx="342">
                  <c:v>703.60126344610615</c:v>
                </c:pt>
                <c:pt idx="343">
                  <c:v>704.84583954674633</c:v>
                </c:pt>
                <c:pt idx="344">
                  <c:v>706.08162936753138</c:v>
                </c:pt>
                <c:pt idx="345">
                  <c:v>707.30866241054434</c:v>
                </c:pt>
                <c:pt idx="346">
                  <c:v>708.52696873444097</c:v>
                </c:pt>
                <c:pt idx="347">
                  <c:v>709.73657893951429</c:v>
                </c:pt>
                <c:pt idx="348">
                  <c:v>710.93752415289578</c:v>
                </c:pt>
                <c:pt idx="349">
                  <c:v>712.12983601389578</c:v>
                </c:pt>
                <c:pt idx="350">
                  <c:v>713.31354665948641</c:v>
                </c:pt>
                <c:pt idx="351">
                  <c:v>714.48868870993147</c:v>
                </c:pt>
                <c:pt idx="352">
                  <c:v>715.65529525456475</c:v>
                </c:pt>
                <c:pt idx="353">
                  <c:v>716.81339983772034</c:v>
                </c:pt>
                <c:pt idx="354">
                  <c:v>717.96303644481804</c:v>
                </c:pt>
                <c:pt idx="355">
                  <c:v>719.10423948860489</c:v>
                </c:pt>
                <c:pt idx="356">
                  <c:v>720.23704379555659</c:v>
                </c:pt>
                <c:pt idx="357">
                  <c:v>721.36148459244043</c:v>
                </c:pt>
                <c:pt idx="358">
                  <c:v>722.47759749304055</c:v>
                </c:pt>
                <c:pt idx="359">
                  <c:v>723.58541848504933</c:v>
                </c:pt>
                <c:pt idx="360">
                  <c:v>724.68498391712455</c:v>
                </c:pt>
                <c:pt idx="361">
                  <c:v>725.77633048611517</c:v>
                </c:pt>
                <c:pt idx="362">
                  <c:v>726.8594952244564</c:v>
                </c:pt>
                <c:pt idx="363">
                  <c:v>727.93451548773498</c:v>
                </c:pt>
                <c:pt idx="364">
                  <c:v>729.00142894242629</c:v>
                </c:pt>
                <c:pt idx="365">
                  <c:v>730.060273553804</c:v>
                </c:pt>
                <c:pt idx="366">
                  <c:v>731.11108757402235</c:v>
                </c:pt>
                <c:pt idx="367">
                  <c:v>732.15390953037308</c:v>
                </c:pt>
                <c:pt idx="368">
                  <c:v>733.18877821371552</c:v>
                </c:pt>
                <c:pt idx="369">
                  <c:v>734.21573266708231</c:v>
                </c:pt>
                <c:pt idx="370">
                  <c:v>735.23481217445942</c:v>
                </c:pt>
                <c:pt idx="371">
                  <c:v>736.24605624974117</c:v>
                </c:pt>
                <c:pt idx="372">
                  <c:v>737.24950462586071</c:v>
                </c:pt>
                <c:pt idx="373">
                  <c:v>738.24519724409538</c:v>
                </c:pt>
                <c:pt idx="374">
                  <c:v>739.23317424354639</c:v>
                </c:pt>
                <c:pt idx="375">
                  <c:v>740.21347595079374</c:v>
                </c:pt>
                <c:pt idx="376">
                  <c:v>741.18614286972479</c:v>
                </c:pt>
                <c:pt idx="377">
                  <c:v>742.15121567153699</c:v>
                </c:pt>
                <c:pt idx="378">
                  <c:v>743.10873518491326</c:v>
                </c:pt>
                <c:pt idx="379">
                  <c:v>744.0587423863708</c:v>
                </c:pt>
                <c:pt idx="380">
                  <c:v>745.00127839078061</c:v>
                </c:pt>
                <c:pt idx="381">
                  <c:v>745.93638444205942</c:v>
                </c:pt>
                <c:pt idx="382">
                  <c:v>746.86410190403069</c:v>
                </c:pt>
                <c:pt idx="383">
                  <c:v>746.86410190403069</c:v>
                </c:pt>
                <c:pt idx="384">
                  <c:v>746.86410190403069</c:v>
                </c:pt>
                <c:pt idx="385">
                  <c:v>746.86410190403069</c:v>
                </c:pt>
                <c:pt idx="386">
                  <c:v>746.86410190403069</c:v>
                </c:pt>
                <c:pt idx="387">
                  <c:v>746.86410190403069</c:v>
                </c:pt>
                <c:pt idx="388">
                  <c:v>746.86410190403069</c:v>
                </c:pt>
                <c:pt idx="389">
                  <c:v>746.86410190403069</c:v>
                </c:pt>
                <c:pt idx="390">
                  <c:v>746.86410190403069</c:v>
                </c:pt>
                <c:pt idx="391">
                  <c:v>746.86410190403069</c:v>
                </c:pt>
                <c:pt idx="392">
                  <c:v>746.86410190403069</c:v>
                </c:pt>
                <c:pt idx="393">
                  <c:v>746.86410190403069</c:v>
                </c:pt>
                <c:pt idx="394">
                  <c:v>746.86410190403069</c:v>
                </c:pt>
                <c:pt idx="395">
                  <c:v>746.86410190403069</c:v>
                </c:pt>
                <c:pt idx="396">
                  <c:v>746.86410190403069</c:v>
                </c:pt>
                <c:pt idx="397">
                  <c:v>746.86410190403069</c:v>
                </c:pt>
                <c:pt idx="398">
                  <c:v>746.86410190403069</c:v>
                </c:pt>
                <c:pt idx="399">
                  <c:v>746.86410190403069</c:v>
                </c:pt>
                <c:pt idx="400">
                  <c:v>746.86410190403069</c:v>
                </c:pt>
                <c:pt idx="401">
                  <c:v>746.86410190403069</c:v>
                </c:pt>
                <c:pt idx="402">
                  <c:v>746.86410190403069</c:v>
                </c:pt>
                <c:pt idx="403">
                  <c:v>746.86410190403069</c:v>
                </c:pt>
                <c:pt idx="404">
                  <c:v>746.86410190403069</c:v>
                </c:pt>
                <c:pt idx="405">
                  <c:v>746.86410190403069</c:v>
                </c:pt>
                <c:pt idx="406">
                  <c:v>746.86410190403069</c:v>
                </c:pt>
                <c:pt idx="407">
                  <c:v>746.86410190403069</c:v>
                </c:pt>
                <c:pt idx="408">
                  <c:v>746.86410190403069</c:v>
                </c:pt>
                <c:pt idx="409">
                  <c:v>746.86410190403069</c:v>
                </c:pt>
                <c:pt idx="410">
                  <c:v>746.86410190403069</c:v>
                </c:pt>
                <c:pt idx="411">
                  <c:v>746.86410190403069</c:v>
                </c:pt>
                <c:pt idx="412">
                  <c:v>746.86410190403069</c:v>
                </c:pt>
                <c:pt idx="413">
                  <c:v>746.86410190403069</c:v>
                </c:pt>
                <c:pt idx="414">
                  <c:v>746.86410190403069</c:v>
                </c:pt>
                <c:pt idx="415">
                  <c:v>746.86410190403069</c:v>
                </c:pt>
                <c:pt idx="416">
                  <c:v>746.86410190403069</c:v>
                </c:pt>
                <c:pt idx="417">
                  <c:v>746.86410190403069</c:v>
                </c:pt>
                <c:pt idx="418">
                  <c:v>746.86410190403069</c:v>
                </c:pt>
                <c:pt idx="419">
                  <c:v>746.86410190403069</c:v>
                </c:pt>
                <c:pt idx="420">
                  <c:v>746.86410190403069</c:v>
                </c:pt>
                <c:pt idx="421">
                  <c:v>746.86410190403069</c:v>
                </c:pt>
                <c:pt idx="422">
                  <c:v>746.86410190403069</c:v>
                </c:pt>
                <c:pt idx="423">
                  <c:v>746.86410190403069</c:v>
                </c:pt>
                <c:pt idx="424">
                  <c:v>746.86410190403069</c:v>
                </c:pt>
                <c:pt idx="425">
                  <c:v>746.86410190403069</c:v>
                </c:pt>
                <c:pt idx="426">
                  <c:v>746.86410190403069</c:v>
                </c:pt>
                <c:pt idx="427">
                  <c:v>746.86410190403069</c:v>
                </c:pt>
                <c:pt idx="428">
                  <c:v>746.86410190403069</c:v>
                </c:pt>
                <c:pt idx="429">
                  <c:v>746.86410190403069</c:v>
                </c:pt>
                <c:pt idx="430">
                  <c:v>746.86410190403069</c:v>
                </c:pt>
                <c:pt idx="431">
                  <c:v>746.86410190403069</c:v>
                </c:pt>
                <c:pt idx="432">
                  <c:v>746.86410190403069</c:v>
                </c:pt>
                <c:pt idx="433">
                  <c:v>746.86410190403069</c:v>
                </c:pt>
                <c:pt idx="434">
                  <c:v>746.86410190403069</c:v>
                </c:pt>
                <c:pt idx="435">
                  <c:v>746.86410190403069</c:v>
                </c:pt>
                <c:pt idx="436">
                  <c:v>746.86410190403069</c:v>
                </c:pt>
                <c:pt idx="437">
                  <c:v>746.86410190403069</c:v>
                </c:pt>
                <c:pt idx="438">
                  <c:v>746.86410190403069</c:v>
                </c:pt>
                <c:pt idx="439">
                  <c:v>746.86410190403069</c:v>
                </c:pt>
                <c:pt idx="440">
                  <c:v>746.86410190403069</c:v>
                </c:pt>
                <c:pt idx="441">
                  <c:v>746.86410190403069</c:v>
                </c:pt>
                <c:pt idx="442">
                  <c:v>746.86410190403069</c:v>
                </c:pt>
                <c:pt idx="443">
                  <c:v>746.86410190403069</c:v>
                </c:pt>
                <c:pt idx="444">
                  <c:v>746.86410190403069</c:v>
                </c:pt>
                <c:pt idx="445">
                  <c:v>746.86410190403069</c:v>
                </c:pt>
                <c:pt idx="446">
                  <c:v>746.86410190403069</c:v>
                </c:pt>
                <c:pt idx="447">
                  <c:v>746.86410190403069</c:v>
                </c:pt>
                <c:pt idx="448">
                  <c:v>746.86410190403069</c:v>
                </c:pt>
                <c:pt idx="449">
                  <c:v>746.86410190403069</c:v>
                </c:pt>
                <c:pt idx="450">
                  <c:v>746.86410190403069</c:v>
                </c:pt>
                <c:pt idx="451">
                  <c:v>746.86410190403069</c:v>
                </c:pt>
                <c:pt idx="452">
                  <c:v>746.86410190403069</c:v>
                </c:pt>
                <c:pt idx="453">
                  <c:v>746.86410190403069</c:v>
                </c:pt>
                <c:pt idx="454">
                  <c:v>746.86410190403069</c:v>
                </c:pt>
                <c:pt idx="455">
                  <c:v>746.86410190403069</c:v>
                </c:pt>
                <c:pt idx="456">
                  <c:v>746.86410190403069</c:v>
                </c:pt>
                <c:pt idx="457">
                  <c:v>746.86410190403069</c:v>
                </c:pt>
                <c:pt idx="458">
                  <c:v>746.86410190403069</c:v>
                </c:pt>
                <c:pt idx="459">
                  <c:v>746.86410190403069</c:v>
                </c:pt>
                <c:pt idx="460">
                  <c:v>746.86410190403069</c:v>
                </c:pt>
                <c:pt idx="461">
                  <c:v>746.86410190403069</c:v>
                </c:pt>
                <c:pt idx="462">
                  <c:v>746.86410190403069</c:v>
                </c:pt>
                <c:pt idx="463">
                  <c:v>746.86410190403069</c:v>
                </c:pt>
                <c:pt idx="464">
                  <c:v>746.86410190403069</c:v>
                </c:pt>
                <c:pt idx="465">
                  <c:v>746.86410190403069</c:v>
                </c:pt>
                <c:pt idx="466">
                  <c:v>746.86410190403069</c:v>
                </c:pt>
                <c:pt idx="467">
                  <c:v>746.86410190403069</c:v>
                </c:pt>
                <c:pt idx="468">
                  <c:v>746.86410190403069</c:v>
                </c:pt>
                <c:pt idx="469">
                  <c:v>746.86410190403069</c:v>
                </c:pt>
                <c:pt idx="470">
                  <c:v>746.86410190403069</c:v>
                </c:pt>
                <c:pt idx="471">
                  <c:v>746.86410190403069</c:v>
                </c:pt>
                <c:pt idx="472">
                  <c:v>746.86410190403069</c:v>
                </c:pt>
                <c:pt idx="473">
                  <c:v>746.86410190403069</c:v>
                </c:pt>
                <c:pt idx="474">
                  <c:v>746.86410190403069</c:v>
                </c:pt>
                <c:pt idx="475">
                  <c:v>746.86410190403069</c:v>
                </c:pt>
                <c:pt idx="476">
                  <c:v>746.86410190403069</c:v>
                </c:pt>
                <c:pt idx="477">
                  <c:v>746.86410190403069</c:v>
                </c:pt>
                <c:pt idx="478">
                  <c:v>746.86410190403069</c:v>
                </c:pt>
                <c:pt idx="479">
                  <c:v>746.86410190403069</c:v>
                </c:pt>
                <c:pt idx="480">
                  <c:v>746.86410190403069</c:v>
                </c:pt>
                <c:pt idx="481">
                  <c:v>746.86410190403069</c:v>
                </c:pt>
                <c:pt idx="482">
                  <c:v>746.86410190403069</c:v>
                </c:pt>
                <c:pt idx="483">
                  <c:v>746.86410190403069</c:v>
                </c:pt>
                <c:pt idx="484">
                  <c:v>746.86410190403069</c:v>
                </c:pt>
                <c:pt idx="485">
                  <c:v>746.86410190403069</c:v>
                </c:pt>
                <c:pt idx="486">
                  <c:v>746.86410190403069</c:v>
                </c:pt>
                <c:pt idx="487">
                  <c:v>746.86410190403069</c:v>
                </c:pt>
                <c:pt idx="488">
                  <c:v>746.86410190403069</c:v>
                </c:pt>
                <c:pt idx="489">
                  <c:v>746.86410190403069</c:v>
                </c:pt>
                <c:pt idx="490">
                  <c:v>746.86410190403069</c:v>
                </c:pt>
                <c:pt idx="491">
                  <c:v>746.86410190403069</c:v>
                </c:pt>
                <c:pt idx="492">
                  <c:v>746.86410190403069</c:v>
                </c:pt>
                <c:pt idx="493">
                  <c:v>746.86410190403069</c:v>
                </c:pt>
                <c:pt idx="494">
                  <c:v>746.86410190403069</c:v>
                </c:pt>
                <c:pt idx="495">
                  <c:v>746.86410190403069</c:v>
                </c:pt>
                <c:pt idx="496">
                  <c:v>746.86410190403069</c:v>
                </c:pt>
                <c:pt idx="497">
                  <c:v>746.86410190403069</c:v>
                </c:pt>
                <c:pt idx="498">
                  <c:v>746.86410190403069</c:v>
                </c:pt>
                <c:pt idx="499">
                  <c:v>746.86410190403069</c:v>
                </c:pt>
                <c:pt idx="500">
                  <c:v>746.86410190403069</c:v>
                </c:pt>
                <c:pt idx="501">
                  <c:v>746.86410190403069</c:v>
                </c:pt>
                <c:pt idx="502">
                  <c:v>746.86410190403069</c:v>
                </c:pt>
                <c:pt idx="503">
                  <c:v>746.86410190403069</c:v>
                </c:pt>
                <c:pt idx="504">
                  <c:v>746.86410190403069</c:v>
                </c:pt>
                <c:pt idx="505">
                  <c:v>746.86410190403069</c:v>
                </c:pt>
                <c:pt idx="506">
                  <c:v>746.86410190403069</c:v>
                </c:pt>
                <c:pt idx="507">
                  <c:v>746.86410190403069</c:v>
                </c:pt>
                <c:pt idx="508">
                  <c:v>746.86410190403069</c:v>
                </c:pt>
                <c:pt idx="509">
                  <c:v>746.86410190403069</c:v>
                </c:pt>
                <c:pt idx="510">
                  <c:v>746.86410190403069</c:v>
                </c:pt>
                <c:pt idx="511">
                  <c:v>746.86410190403069</c:v>
                </c:pt>
                <c:pt idx="512">
                  <c:v>746.86410190403069</c:v>
                </c:pt>
                <c:pt idx="513">
                  <c:v>746.86410190403069</c:v>
                </c:pt>
                <c:pt idx="514">
                  <c:v>746.86410190403069</c:v>
                </c:pt>
                <c:pt idx="515">
                  <c:v>746.86410190403069</c:v>
                </c:pt>
                <c:pt idx="516">
                  <c:v>746.86410190403069</c:v>
                </c:pt>
                <c:pt idx="517">
                  <c:v>746.86410190403069</c:v>
                </c:pt>
                <c:pt idx="518">
                  <c:v>746.86410190403069</c:v>
                </c:pt>
                <c:pt idx="519">
                  <c:v>746.86410190403069</c:v>
                </c:pt>
                <c:pt idx="520">
                  <c:v>746.86410190403069</c:v>
                </c:pt>
                <c:pt idx="521">
                  <c:v>746.86410190403069</c:v>
                </c:pt>
                <c:pt idx="522">
                  <c:v>746.86410190403069</c:v>
                </c:pt>
                <c:pt idx="523">
                  <c:v>746.86410190403069</c:v>
                </c:pt>
                <c:pt idx="524">
                  <c:v>746.86410190403069</c:v>
                </c:pt>
                <c:pt idx="525">
                  <c:v>746.86410190403069</c:v>
                </c:pt>
                <c:pt idx="526">
                  <c:v>746.86410190403069</c:v>
                </c:pt>
                <c:pt idx="527">
                  <c:v>746.86410190403069</c:v>
                </c:pt>
                <c:pt idx="528">
                  <c:v>746.86410190403069</c:v>
                </c:pt>
                <c:pt idx="529">
                  <c:v>746.86410190403069</c:v>
                </c:pt>
                <c:pt idx="530">
                  <c:v>746.86410190403069</c:v>
                </c:pt>
                <c:pt idx="531">
                  <c:v>746.86410190403069</c:v>
                </c:pt>
                <c:pt idx="532">
                  <c:v>746.86410190403069</c:v>
                </c:pt>
                <c:pt idx="533">
                  <c:v>746.86410190403069</c:v>
                </c:pt>
                <c:pt idx="534">
                  <c:v>746.86410190403069</c:v>
                </c:pt>
                <c:pt idx="535">
                  <c:v>746.86410190403069</c:v>
                </c:pt>
                <c:pt idx="536">
                  <c:v>746.86410190403069</c:v>
                </c:pt>
                <c:pt idx="537">
                  <c:v>746.86410190403069</c:v>
                </c:pt>
                <c:pt idx="538">
                  <c:v>746.86410190403069</c:v>
                </c:pt>
                <c:pt idx="539">
                  <c:v>746.86410190403069</c:v>
                </c:pt>
                <c:pt idx="540">
                  <c:v>746.86410190403069</c:v>
                </c:pt>
                <c:pt idx="541">
                  <c:v>746.86410190403069</c:v>
                </c:pt>
                <c:pt idx="542">
                  <c:v>746.86410190403069</c:v>
                </c:pt>
                <c:pt idx="543">
                  <c:v>746.86410190403069</c:v>
                </c:pt>
                <c:pt idx="544">
                  <c:v>746.86410190403069</c:v>
                </c:pt>
                <c:pt idx="545">
                  <c:v>746.86410190403069</c:v>
                </c:pt>
                <c:pt idx="546">
                  <c:v>746.86410190403069</c:v>
                </c:pt>
                <c:pt idx="547">
                  <c:v>746.86410190403069</c:v>
                </c:pt>
                <c:pt idx="548">
                  <c:v>746.86410190403069</c:v>
                </c:pt>
                <c:pt idx="549">
                  <c:v>746.86410190403069</c:v>
                </c:pt>
                <c:pt idx="550">
                  <c:v>746.86410190403069</c:v>
                </c:pt>
                <c:pt idx="551">
                  <c:v>746.86410190403069</c:v>
                </c:pt>
                <c:pt idx="552">
                  <c:v>746.86410190403069</c:v>
                </c:pt>
                <c:pt idx="553">
                  <c:v>746.86410190403069</c:v>
                </c:pt>
                <c:pt idx="554">
                  <c:v>746.86410190403069</c:v>
                </c:pt>
                <c:pt idx="555">
                  <c:v>746.86410190403069</c:v>
                </c:pt>
                <c:pt idx="556">
                  <c:v>746.86410190403069</c:v>
                </c:pt>
                <c:pt idx="557">
                  <c:v>746.86410190403069</c:v>
                </c:pt>
                <c:pt idx="558">
                  <c:v>746.86410190403069</c:v>
                </c:pt>
                <c:pt idx="559">
                  <c:v>746.86410190403069</c:v>
                </c:pt>
                <c:pt idx="560">
                  <c:v>746.86410190403069</c:v>
                </c:pt>
                <c:pt idx="561">
                  <c:v>746.86410190403069</c:v>
                </c:pt>
                <c:pt idx="562">
                  <c:v>746.86410190403069</c:v>
                </c:pt>
                <c:pt idx="563">
                  <c:v>746.86410190403069</c:v>
                </c:pt>
                <c:pt idx="564">
                  <c:v>746.86410190403069</c:v>
                </c:pt>
                <c:pt idx="565">
                  <c:v>746.86410190403069</c:v>
                </c:pt>
                <c:pt idx="566">
                  <c:v>746.86410190403069</c:v>
                </c:pt>
                <c:pt idx="567">
                  <c:v>746.86410190403069</c:v>
                </c:pt>
                <c:pt idx="568">
                  <c:v>746.86410190403069</c:v>
                </c:pt>
                <c:pt idx="569">
                  <c:v>746.86410190403069</c:v>
                </c:pt>
                <c:pt idx="570">
                  <c:v>746.86410190403069</c:v>
                </c:pt>
                <c:pt idx="571">
                  <c:v>746.86410190403069</c:v>
                </c:pt>
                <c:pt idx="572">
                  <c:v>746.86410190403069</c:v>
                </c:pt>
                <c:pt idx="573">
                  <c:v>746.86410190403069</c:v>
                </c:pt>
                <c:pt idx="574">
                  <c:v>746.86410190403069</c:v>
                </c:pt>
                <c:pt idx="575">
                  <c:v>746.86410190403069</c:v>
                </c:pt>
                <c:pt idx="576">
                  <c:v>746.86410190403069</c:v>
                </c:pt>
                <c:pt idx="577">
                  <c:v>746.86410190403069</c:v>
                </c:pt>
                <c:pt idx="578">
                  <c:v>746.86410190403069</c:v>
                </c:pt>
                <c:pt idx="579">
                  <c:v>746.86410190403069</c:v>
                </c:pt>
                <c:pt idx="580">
                  <c:v>746.86410190403069</c:v>
                </c:pt>
                <c:pt idx="581">
                  <c:v>746.86410190403069</c:v>
                </c:pt>
                <c:pt idx="582">
                  <c:v>746.86410190403069</c:v>
                </c:pt>
                <c:pt idx="583">
                  <c:v>746.86410190403069</c:v>
                </c:pt>
                <c:pt idx="584">
                  <c:v>746.86410190403069</c:v>
                </c:pt>
                <c:pt idx="585">
                  <c:v>746.86410190403069</c:v>
                </c:pt>
                <c:pt idx="586">
                  <c:v>746.86410190403069</c:v>
                </c:pt>
                <c:pt idx="587">
                  <c:v>746.86410190403069</c:v>
                </c:pt>
                <c:pt idx="588">
                  <c:v>746.86410190403069</c:v>
                </c:pt>
                <c:pt idx="589">
                  <c:v>746.86410190403069</c:v>
                </c:pt>
                <c:pt idx="590">
                  <c:v>746.86410190403069</c:v>
                </c:pt>
                <c:pt idx="591">
                  <c:v>746.86410190403069</c:v>
                </c:pt>
                <c:pt idx="592">
                  <c:v>746.86410190403069</c:v>
                </c:pt>
                <c:pt idx="593">
                  <c:v>746.86410190403069</c:v>
                </c:pt>
                <c:pt idx="594">
                  <c:v>746.86410190403069</c:v>
                </c:pt>
                <c:pt idx="595">
                  <c:v>746.86410190403069</c:v>
                </c:pt>
                <c:pt idx="596">
                  <c:v>746.86410190403069</c:v>
                </c:pt>
                <c:pt idx="597">
                  <c:v>746.86410190403069</c:v>
                </c:pt>
                <c:pt idx="598">
                  <c:v>746.86410190403069</c:v>
                </c:pt>
                <c:pt idx="599">
                  <c:v>746.86410190403069</c:v>
                </c:pt>
                <c:pt idx="600">
                  <c:v>746.86410190403069</c:v>
                </c:pt>
                <c:pt idx="601">
                  <c:v>746.86410190403069</c:v>
                </c:pt>
                <c:pt idx="602">
                  <c:v>746.86410190403069</c:v>
                </c:pt>
                <c:pt idx="603">
                  <c:v>746.86410190403069</c:v>
                </c:pt>
                <c:pt idx="604">
                  <c:v>746.86410190403069</c:v>
                </c:pt>
                <c:pt idx="605">
                  <c:v>746.86410190403069</c:v>
                </c:pt>
                <c:pt idx="606">
                  <c:v>746.86410190403069</c:v>
                </c:pt>
                <c:pt idx="607">
                  <c:v>746.86410190403069</c:v>
                </c:pt>
                <c:pt idx="608">
                  <c:v>746.86410190403069</c:v>
                </c:pt>
                <c:pt idx="609">
                  <c:v>746.86410190403069</c:v>
                </c:pt>
                <c:pt idx="610">
                  <c:v>746.86410190403069</c:v>
                </c:pt>
                <c:pt idx="611">
                  <c:v>746.86410190403069</c:v>
                </c:pt>
                <c:pt idx="612">
                  <c:v>746.86410190403069</c:v>
                </c:pt>
                <c:pt idx="613">
                  <c:v>746.86410190403069</c:v>
                </c:pt>
                <c:pt idx="614">
                  <c:v>746.86410190403069</c:v>
                </c:pt>
                <c:pt idx="615">
                  <c:v>746.86410190403069</c:v>
                </c:pt>
                <c:pt idx="616">
                  <c:v>746.86410190403069</c:v>
                </c:pt>
                <c:pt idx="617">
                  <c:v>746.86410190403069</c:v>
                </c:pt>
                <c:pt idx="618">
                  <c:v>746.86410190403069</c:v>
                </c:pt>
                <c:pt idx="619">
                  <c:v>746.86410190403069</c:v>
                </c:pt>
                <c:pt idx="620">
                  <c:v>746.86410190403069</c:v>
                </c:pt>
                <c:pt idx="621">
                  <c:v>746.86410190403069</c:v>
                </c:pt>
                <c:pt idx="622">
                  <c:v>746.86410190403069</c:v>
                </c:pt>
                <c:pt idx="623">
                  <c:v>746.86410190403069</c:v>
                </c:pt>
                <c:pt idx="624">
                  <c:v>746.86410190403069</c:v>
                </c:pt>
                <c:pt idx="625">
                  <c:v>746.86410190403069</c:v>
                </c:pt>
                <c:pt idx="626">
                  <c:v>746.86410190403069</c:v>
                </c:pt>
                <c:pt idx="627">
                  <c:v>746.86410190403069</c:v>
                </c:pt>
                <c:pt idx="628">
                  <c:v>746.86410190403069</c:v>
                </c:pt>
                <c:pt idx="629">
                  <c:v>746.86410190403069</c:v>
                </c:pt>
                <c:pt idx="630">
                  <c:v>746.86410190403069</c:v>
                </c:pt>
                <c:pt idx="631">
                  <c:v>746.86410190403069</c:v>
                </c:pt>
                <c:pt idx="632">
                  <c:v>746.86410190403069</c:v>
                </c:pt>
                <c:pt idx="633">
                  <c:v>746.86410190403069</c:v>
                </c:pt>
                <c:pt idx="634">
                  <c:v>746.86410190403069</c:v>
                </c:pt>
                <c:pt idx="635">
                  <c:v>746.86410190403069</c:v>
                </c:pt>
                <c:pt idx="636">
                  <c:v>746.86410190403069</c:v>
                </c:pt>
                <c:pt idx="637">
                  <c:v>746.86410190403069</c:v>
                </c:pt>
                <c:pt idx="638">
                  <c:v>746.86410190403069</c:v>
                </c:pt>
                <c:pt idx="639">
                  <c:v>746.86410190403069</c:v>
                </c:pt>
                <c:pt idx="640">
                  <c:v>746.86410190403069</c:v>
                </c:pt>
                <c:pt idx="641">
                  <c:v>746.86410190403069</c:v>
                </c:pt>
                <c:pt idx="642">
                  <c:v>746.86410190403069</c:v>
                </c:pt>
                <c:pt idx="643">
                  <c:v>746.86410190403069</c:v>
                </c:pt>
                <c:pt idx="644">
                  <c:v>746.86410190403069</c:v>
                </c:pt>
                <c:pt idx="645">
                  <c:v>746.86410190403069</c:v>
                </c:pt>
                <c:pt idx="646">
                  <c:v>746.86410190403069</c:v>
                </c:pt>
                <c:pt idx="647">
                  <c:v>746.86410190403069</c:v>
                </c:pt>
                <c:pt idx="648">
                  <c:v>746.86410190403069</c:v>
                </c:pt>
                <c:pt idx="649">
                  <c:v>746.86410190403069</c:v>
                </c:pt>
                <c:pt idx="650">
                  <c:v>746.86410190403069</c:v>
                </c:pt>
                <c:pt idx="651">
                  <c:v>746.86410190403069</c:v>
                </c:pt>
                <c:pt idx="652">
                  <c:v>746.86410190403069</c:v>
                </c:pt>
                <c:pt idx="653">
                  <c:v>746.86410190403069</c:v>
                </c:pt>
                <c:pt idx="654">
                  <c:v>746.86410190403069</c:v>
                </c:pt>
                <c:pt idx="655">
                  <c:v>746.86410190403069</c:v>
                </c:pt>
                <c:pt idx="656">
                  <c:v>746.86410190403069</c:v>
                </c:pt>
                <c:pt idx="657">
                  <c:v>746.86410190403069</c:v>
                </c:pt>
                <c:pt idx="658">
                  <c:v>746.86410190403069</c:v>
                </c:pt>
                <c:pt idx="659">
                  <c:v>746.86410190403069</c:v>
                </c:pt>
                <c:pt idx="660">
                  <c:v>746.86410190403069</c:v>
                </c:pt>
                <c:pt idx="661">
                  <c:v>746.86410190403069</c:v>
                </c:pt>
                <c:pt idx="662">
                  <c:v>746.86410190403069</c:v>
                </c:pt>
                <c:pt idx="663">
                  <c:v>746.86410190403069</c:v>
                </c:pt>
                <c:pt idx="664">
                  <c:v>746.86410190403069</c:v>
                </c:pt>
                <c:pt idx="665">
                  <c:v>746.86410190403069</c:v>
                </c:pt>
                <c:pt idx="666">
                  <c:v>746.86410190403069</c:v>
                </c:pt>
                <c:pt idx="667">
                  <c:v>746.86410190403069</c:v>
                </c:pt>
                <c:pt idx="668">
                  <c:v>746.86410190403069</c:v>
                </c:pt>
                <c:pt idx="669">
                  <c:v>746.86410190403069</c:v>
                </c:pt>
                <c:pt idx="670">
                  <c:v>746.86410190403069</c:v>
                </c:pt>
                <c:pt idx="671">
                  <c:v>746.86410190403069</c:v>
                </c:pt>
                <c:pt idx="672">
                  <c:v>746.86410190403069</c:v>
                </c:pt>
                <c:pt idx="673">
                  <c:v>746.86410190403069</c:v>
                </c:pt>
                <c:pt idx="674">
                  <c:v>746.86410190403069</c:v>
                </c:pt>
                <c:pt idx="675">
                  <c:v>746.86410190403069</c:v>
                </c:pt>
                <c:pt idx="676">
                  <c:v>746.86410190403069</c:v>
                </c:pt>
                <c:pt idx="677">
                  <c:v>746.86410190403069</c:v>
                </c:pt>
                <c:pt idx="678">
                  <c:v>746.86410190403069</c:v>
                </c:pt>
                <c:pt idx="679">
                  <c:v>746.86410190403069</c:v>
                </c:pt>
                <c:pt idx="680">
                  <c:v>746.86410190403069</c:v>
                </c:pt>
                <c:pt idx="681">
                  <c:v>746.86410190403069</c:v>
                </c:pt>
                <c:pt idx="682">
                  <c:v>746.86410190403069</c:v>
                </c:pt>
                <c:pt idx="683">
                  <c:v>746.86410190403069</c:v>
                </c:pt>
                <c:pt idx="684">
                  <c:v>746.86410190403069</c:v>
                </c:pt>
                <c:pt idx="685">
                  <c:v>746.86410190403069</c:v>
                </c:pt>
                <c:pt idx="686">
                  <c:v>746.86410190403069</c:v>
                </c:pt>
                <c:pt idx="687">
                  <c:v>746.86410190403069</c:v>
                </c:pt>
                <c:pt idx="688">
                  <c:v>746.86410190403069</c:v>
                </c:pt>
                <c:pt idx="689">
                  <c:v>746.86410190403069</c:v>
                </c:pt>
                <c:pt idx="690">
                  <c:v>746.86410190403069</c:v>
                </c:pt>
                <c:pt idx="691">
                  <c:v>746.86410190403069</c:v>
                </c:pt>
                <c:pt idx="692">
                  <c:v>746.86410190403069</c:v>
                </c:pt>
                <c:pt idx="693">
                  <c:v>746.86410190403069</c:v>
                </c:pt>
                <c:pt idx="694">
                  <c:v>746.86410190403069</c:v>
                </c:pt>
                <c:pt idx="695">
                  <c:v>746.86410190403069</c:v>
                </c:pt>
                <c:pt idx="696">
                  <c:v>746.86410190403069</c:v>
                </c:pt>
                <c:pt idx="697">
                  <c:v>746.86410190403069</c:v>
                </c:pt>
                <c:pt idx="698">
                  <c:v>746.86410190403069</c:v>
                </c:pt>
                <c:pt idx="699">
                  <c:v>746.86410190403069</c:v>
                </c:pt>
                <c:pt idx="700">
                  <c:v>746.86410190403069</c:v>
                </c:pt>
                <c:pt idx="701">
                  <c:v>746.86410190403069</c:v>
                </c:pt>
                <c:pt idx="702">
                  <c:v>746.86410190403069</c:v>
                </c:pt>
                <c:pt idx="703">
                  <c:v>746.86410190403069</c:v>
                </c:pt>
                <c:pt idx="704">
                  <c:v>746.86410190403069</c:v>
                </c:pt>
                <c:pt idx="705">
                  <c:v>746.86410190403069</c:v>
                </c:pt>
                <c:pt idx="706">
                  <c:v>746.86410190403069</c:v>
                </c:pt>
                <c:pt idx="707">
                  <c:v>746.86410190403069</c:v>
                </c:pt>
                <c:pt idx="708">
                  <c:v>746.86410190403069</c:v>
                </c:pt>
                <c:pt idx="709">
                  <c:v>746.86410190403069</c:v>
                </c:pt>
                <c:pt idx="710">
                  <c:v>746.86410190403069</c:v>
                </c:pt>
                <c:pt idx="711">
                  <c:v>746.86410190403069</c:v>
                </c:pt>
                <c:pt idx="712">
                  <c:v>746.86410190403069</c:v>
                </c:pt>
                <c:pt idx="713">
                  <c:v>746.86410190403069</c:v>
                </c:pt>
                <c:pt idx="714">
                  <c:v>746.86410190403069</c:v>
                </c:pt>
                <c:pt idx="715">
                  <c:v>746.86410190403069</c:v>
                </c:pt>
                <c:pt idx="716">
                  <c:v>746.86410190403069</c:v>
                </c:pt>
                <c:pt idx="717">
                  <c:v>746.86410190403069</c:v>
                </c:pt>
                <c:pt idx="718">
                  <c:v>746.86410190403069</c:v>
                </c:pt>
                <c:pt idx="719">
                  <c:v>746.86410190403069</c:v>
                </c:pt>
                <c:pt idx="720">
                  <c:v>746.86410190403069</c:v>
                </c:pt>
                <c:pt idx="721">
                  <c:v>746.86410190403069</c:v>
                </c:pt>
                <c:pt idx="722">
                  <c:v>746.86410190403069</c:v>
                </c:pt>
                <c:pt idx="723">
                  <c:v>746.86410190403069</c:v>
                </c:pt>
                <c:pt idx="724">
                  <c:v>746.86410190403069</c:v>
                </c:pt>
                <c:pt idx="725">
                  <c:v>746.86410190403069</c:v>
                </c:pt>
                <c:pt idx="726">
                  <c:v>746.86410190403069</c:v>
                </c:pt>
                <c:pt idx="727">
                  <c:v>746.86410190403069</c:v>
                </c:pt>
                <c:pt idx="728">
                  <c:v>746.86410190403069</c:v>
                </c:pt>
                <c:pt idx="729">
                  <c:v>746.86410190403069</c:v>
                </c:pt>
                <c:pt idx="730">
                  <c:v>746.86410190403069</c:v>
                </c:pt>
                <c:pt idx="731">
                  <c:v>746.86410190403069</c:v>
                </c:pt>
                <c:pt idx="732">
                  <c:v>746.86410190403069</c:v>
                </c:pt>
                <c:pt idx="733">
                  <c:v>746.86410190403069</c:v>
                </c:pt>
                <c:pt idx="734">
                  <c:v>746.86410190403069</c:v>
                </c:pt>
                <c:pt idx="735">
                  <c:v>746.86410190403069</c:v>
                </c:pt>
                <c:pt idx="736">
                  <c:v>746.86410190403069</c:v>
                </c:pt>
                <c:pt idx="737">
                  <c:v>746.86410190403069</c:v>
                </c:pt>
                <c:pt idx="738">
                  <c:v>746.86410190403069</c:v>
                </c:pt>
                <c:pt idx="739">
                  <c:v>746.86410190403069</c:v>
                </c:pt>
                <c:pt idx="740">
                  <c:v>746.86410190403069</c:v>
                </c:pt>
                <c:pt idx="741">
                  <c:v>746.86410190403069</c:v>
                </c:pt>
                <c:pt idx="742">
                  <c:v>746.86410190403069</c:v>
                </c:pt>
                <c:pt idx="743">
                  <c:v>746.86410190403069</c:v>
                </c:pt>
                <c:pt idx="744">
                  <c:v>746.86410190403069</c:v>
                </c:pt>
                <c:pt idx="745">
                  <c:v>746.86410190403069</c:v>
                </c:pt>
                <c:pt idx="746">
                  <c:v>746.86410190403069</c:v>
                </c:pt>
                <c:pt idx="747">
                  <c:v>746.86410190403069</c:v>
                </c:pt>
                <c:pt idx="748">
                  <c:v>746.86410190403069</c:v>
                </c:pt>
                <c:pt idx="749">
                  <c:v>746.86410190403069</c:v>
                </c:pt>
                <c:pt idx="750">
                  <c:v>746.86410190403069</c:v>
                </c:pt>
                <c:pt idx="751">
                  <c:v>746.86410190403069</c:v>
                </c:pt>
                <c:pt idx="752">
                  <c:v>746.86410190403069</c:v>
                </c:pt>
                <c:pt idx="753">
                  <c:v>746.86410190403069</c:v>
                </c:pt>
                <c:pt idx="754">
                  <c:v>746.86410190403069</c:v>
                </c:pt>
                <c:pt idx="755">
                  <c:v>746.86410190403069</c:v>
                </c:pt>
                <c:pt idx="756">
                  <c:v>746.86410190403069</c:v>
                </c:pt>
                <c:pt idx="757">
                  <c:v>746.86410190403069</c:v>
                </c:pt>
                <c:pt idx="758">
                  <c:v>746.86410190403069</c:v>
                </c:pt>
                <c:pt idx="759">
                  <c:v>746.86410190403069</c:v>
                </c:pt>
                <c:pt idx="760">
                  <c:v>746.86410190403069</c:v>
                </c:pt>
                <c:pt idx="761">
                  <c:v>746.86410190403069</c:v>
                </c:pt>
                <c:pt idx="762">
                  <c:v>746.86410190403069</c:v>
                </c:pt>
                <c:pt idx="763">
                  <c:v>746.86410190403069</c:v>
                </c:pt>
                <c:pt idx="764">
                  <c:v>746.86410190403069</c:v>
                </c:pt>
                <c:pt idx="765">
                  <c:v>746.86410190403069</c:v>
                </c:pt>
                <c:pt idx="766">
                  <c:v>746.86410190403069</c:v>
                </c:pt>
                <c:pt idx="767">
                  <c:v>746.86410190403069</c:v>
                </c:pt>
                <c:pt idx="768">
                  <c:v>746.86410190403069</c:v>
                </c:pt>
                <c:pt idx="769">
                  <c:v>746.86410190403069</c:v>
                </c:pt>
                <c:pt idx="770">
                  <c:v>746.86410190403069</c:v>
                </c:pt>
                <c:pt idx="771">
                  <c:v>746.86410190403069</c:v>
                </c:pt>
                <c:pt idx="772">
                  <c:v>746.86410190403069</c:v>
                </c:pt>
                <c:pt idx="773">
                  <c:v>746.86410190403069</c:v>
                </c:pt>
                <c:pt idx="774">
                  <c:v>746.86410190403069</c:v>
                </c:pt>
                <c:pt idx="775">
                  <c:v>746.86410190403069</c:v>
                </c:pt>
                <c:pt idx="776">
                  <c:v>746.86410190403069</c:v>
                </c:pt>
                <c:pt idx="777">
                  <c:v>746.86410190403069</c:v>
                </c:pt>
                <c:pt idx="778">
                  <c:v>746.86410190403069</c:v>
                </c:pt>
                <c:pt idx="779">
                  <c:v>746.86410190403069</c:v>
                </c:pt>
                <c:pt idx="780">
                  <c:v>746.86410190403069</c:v>
                </c:pt>
                <c:pt idx="781">
                  <c:v>746.86410190403069</c:v>
                </c:pt>
                <c:pt idx="782">
                  <c:v>746.86410190403069</c:v>
                </c:pt>
                <c:pt idx="783">
                  <c:v>746.86410190403069</c:v>
                </c:pt>
                <c:pt idx="784">
                  <c:v>746.86410190403069</c:v>
                </c:pt>
                <c:pt idx="785">
                  <c:v>746.86410190403069</c:v>
                </c:pt>
                <c:pt idx="786">
                  <c:v>746.86410190403069</c:v>
                </c:pt>
                <c:pt idx="787">
                  <c:v>746.86410190403069</c:v>
                </c:pt>
                <c:pt idx="788">
                  <c:v>746.86410190403069</c:v>
                </c:pt>
                <c:pt idx="789">
                  <c:v>746.86410190403069</c:v>
                </c:pt>
                <c:pt idx="790">
                  <c:v>746.86410190403069</c:v>
                </c:pt>
                <c:pt idx="791">
                  <c:v>746.86410190403069</c:v>
                </c:pt>
                <c:pt idx="792">
                  <c:v>746.86410190403069</c:v>
                </c:pt>
                <c:pt idx="793">
                  <c:v>746.86410190403069</c:v>
                </c:pt>
                <c:pt idx="794">
                  <c:v>746.86410190403069</c:v>
                </c:pt>
                <c:pt idx="795">
                  <c:v>746.86410190403069</c:v>
                </c:pt>
                <c:pt idx="796">
                  <c:v>746.86410190403069</c:v>
                </c:pt>
                <c:pt idx="797">
                  <c:v>746.86410190403069</c:v>
                </c:pt>
                <c:pt idx="798">
                  <c:v>746.86410190403069</c:v>
                </c:pt>
                <c:pt idx="799">
                  <c:v>746.86410190403069</c:v>
                </c:pt>
                <c:pt idx="800">
                  <c:v>746.86410190403069</c:v>
                </c:pt>
                <c:pt idx="801">
                  <c:v>746.86410190403069</c:v>
                </c:pt>
                <c:pt idx="802">
                  <c:v>746.86410190403069</c:v>
                </c:pt>
                <c:pt idx="803">
                  <c:v>746.86410190403069</c:v>
                </c:pt>
                <c:pt idx="804">
                  <c:v>746.86410190403069</c:v>
                </c:pt>
                <c:pt idx="805">
                  <c:v>746.86410190403069</c:v>
                </c:pt>
                <c:pt idx="806">
                  <c:v>746.86410190403069</c:v>
                </c:pt>
                <c:pt idx="807">
                  <c:v>746.86410190403069</c:v>
                </c:pt>
                <c:pt idx="808">
                  <c:v>746.86410190403069</c:v>
                </c:pt>
                <c:pt idx="809">
                  <c:v>746.86410190403069</c:v>
                </c:pt>
                <c:pt idx="810">
                  <c:v>746.86410190403069</c:v>
                </c:pt>
                <c:pt idx="811">
                  <c:v>746.86410190403069</c:v>
                </c:pt>
                <c:pt idx="812">
                  <c:v>746.86410190403069</c:v>
                </c:pt>
                <c:pt idx="813">
                  <c:v>746.86410190403069</c:v>
                </c:pt>
                <c:pt idx="814">
                  <c:v>746.86410190403069</c:v>
                </c:pt>
                <c:pt idx="815">
                  <c:v>746.86410190403069</c:v>
                </c:pt>
                <c:pt idx="816">
                  <c:v>746.86410190403069</c:v>
                </c:pt>
                <c:pt idx="817">
                  <c:v>746.86410190403069</c:v>
                </c:pt>
                <c:pt idx="818">
                  <c:v>746.86410190403069</c:v>
                </c:pt>
                <c:pt idx="819">
                  <c:v>746.86410190403069</c:v>
                </c:pt>
                <c:pt idx="820">
                  <c:v>746.86410190403069</c:v>
                </c:pt>
                <c:pt idx="821">
                  <c:v>746.86410190403069</c:v>
                </c:pt>
                <c:pt idx="822">
                  <c:v>746.86410190403069</c:v>
                </c:pt>
                <c:pt idx="823">
                  <c:v>746.86410190403069</c:v>
                </c:pt>
                <c:pt idx="824">
                  <c:v>746.86410190403069</c:v>
                </c:pt>
                <c:pt idx="825">
                  <c:v>746.86410190403069</c:v>
                </c:pt>
                <c:pt idx="826">
                  <c:v>746.86410190403069</c:v>
                </c:pt>
                <c:pt idx="827">
                  <c:v>746.86410190403069</c:v>
                </c:pt>
                <c:pt idx="828">
                  <c:v>746.86410190403069</c:v>
                </c:pt>
                <c:pt idx="829">
                  <c:v>746.86410190403069</c:v>
                </c:pt>
                <c:pt idx="830">
                  <c:v>746.86410190403069</c:v>
                </c:pt>
                <c:pt idx="831">
                  <c:v>746.86410190403069</c:v>
                </c:pt>
                <c:pt idx="832">
                  <c:v>746.86410190403069</c:v>
                </c:pt>
                <c:pt idx="833">
                  <c:v>746.86410190403069</c:v>
                </c:pt>
                <c:pt idx="834">
                  <c:v>746.86410190403069</c:v>
                </c:pt>
                <c:pt idx="835">
                  <c:v>746.86410190403069</c:v>
                </c:pt>
                <c:pt idx="836">
                  <c:v>746.86410190403069</c:v>
                </c:pt>
                <c:pt idx="837">
                  <c:v>746.86410190403069</c:v>
                </c:pt>
                <c:pt idx="838">
                  <c:v>746.86410190403069</c:v>
                </c:pt>
                <c:pt idx="839">
                  <c:v>746.86410190403069</c:v>
                </c:pt>
                <c:pt idx="840">
                  <c:v>746.86410190403069</c:v>
                </c:pt>
                <c:pt idx="841">
                  <c:v>746.86410190403069</c:v>
                </c:pt>
                <c:pt idx="842">
                  <c:v>746.86410190403069</c:v>
                </c:pt>
                <c:pt idx="843">
                  <c:v>746.86410190403069</c:v>
                </c:pt>
                <c:pt idx="844">
                  <c:v>746.86410190403069</c:v>
                </c:pt>
                <c:pt idx="845">
                  <c:v>746.86410190403069</c:v>
                </c:pt>
                <c:pt idx="846">
                  <c:v>746.86410190403069</c:v>
                </c:pt>
                <c:pt idx="847">
                  <c:v>746.86410190403069</c:v>
                </c:pt>
                <c:pt idx="848">
                  <c:v>746.86410190403069</c:v>
                </c:pt>
                <c:pt idx="849">
                  <c:v>746.86410190403069</c:v>
                </c:pt>
                <c:pt idx="850">
                  <c:v>746.86410190403069</c:v>
                </c:pt>
                <c:pt idx="851">
                  <c:v>746.86410190403069</c:v>
                </c:pt>
                <c:pt idx="852">
                  <c:v>746.86410190403069</c:v>
                </c:pt>
                <c:pt idx="853">
                  <c:v>746.86410190403069</c:v>
                </c:pt>
                <c:pt idx="854">
                  <c:v>746.86410190403069</c:v>
                </c:pt>
                <c:pt idx="855">
                  <c:v>746.86410190403069</c:v>
                </c:pt>
                <c:pt idx="856">
                  <c:v>746.86410190403069</c:v>
                </c:pt>
                <c:pt idx="857">
                  <c:v>746.86410190403069</c:v>
                </c:pt>
                <c:pt idx="858">
                  <c:v>746.86410190403069</c:v>
                </c:pt>
                <c:pt idx="859">
                  <c:v>746.86410190403069</c:v>
                </c:pt>
                <c:pt idx="860">
                  <c:v>746.86410190403069</c:v>
                </c:pt>
                <c:pt idx="861">
                  <c:v>746.86410190403069</c:v>
                </c:pt>
                <c:pt idx="862">
                  <c:v>746.86410190403069</c:v>
                </c:pt>
                <c:pt idx="863">
                  <c:v>746.86410190403069</c:v>
                </c:pt>
                <c:pt idx="864">
                  <c:v>746.86410190403069</c:v>
                </c:pt>
                <c:pt idx="865">
                  <c:v>746.86410190403069</c:v>
                </c:pt>
                <c:pt idx="866">
                  <c:v>746.86410190403069</c:v>
                </c:pt>
                <c:pt idx="867">
                  <c:v>746.86410190403069</c:v>
                </c:pt>
                <c:pt idx="868">
                  <c:v>746.86410190403069</c:v>
                </c:pt>
                <c:pt idx="869">
                  <c:v>746.86410190403069</c:v>
                </c:pt>
                <c:pt idx="870">
                  <c:v>746.86410190403069</c:v>
                </c:pt>
                <c:pt idx="871">
                  <c:v>746.86410190403069</c:v>
                </c:pt>
                <c:pt idx="872">
                  <c:v>746.86410190403069</c:v>
                </c:pt>
                <c:pt idx="873">
                  <c:v>746.86410190403069</c:v>
                </c:pt>
                <c:pt idx="874">
                  <c:v>746.86410190403069</c:v>
                </c:pt>
                <c:pt idx="875">
                  <c:v>746.86410190403069</c:v>
                </c:pt>
                <c:pt idx="876">
                  <c:v>746.86410190403069</c:v>
                </c:pt>
                <c:pt idx="877">
                  <c:v>746.86410190403069</c:v>
                </c:pt>
                <c:pt idx="878">
                  <c:v>746.86410190403069</c:v>
                </c:pt>
                <c:pt idx="879">
                  <c:v>746.86410190403069</c:v>
                </c:pt>
                <c:pt idx="880">
                  <c:v>746.86410190403069</c:v>
                </c:pt>
                <c:pt idx="881">
                  <c:v>746.86410190403069</c:v>
                </c:pt>
                <c:pt idx="882">
                  <c:v>746.86410190403069</c:v>
                </c:pt>
                <c:pt idx="883">
                  <c:v>746.86410190403069</c:v>
                </c:pt>
                <c:pt idx="884">
                  <c:v>746.86410190403069</c:v>
                </c:pt>
                <c:pt idx="885">
                  <c:v>746.86410190403069</c:v>
                </c:pt>
                <c:pt idx="886">
                  <c:v>746.86410190403069</c:v>
                </c:pt>
                <c:pt idx="887">
                  <c:v>746.86410190403069</c:v>
                </c:pt>
                <c:pt idx="888">
                  <c:v>746.86410190403069</c:v>
                </c:pt>
                <c:pt idx="889">
                  <c:v>746.86410190403069</c:v>
                </c:pt>
                <c:pt idx="890">
                  <c:v>746.86410190403069</c:v>
                </c:pt>
                <c:pt idx="891">
                  <c:v>746.86410190403069</c:v>
                </c:pt>
                <c:pt idx="892">
                  <c:v>746.86410190403069</c:v>
                </c:pt>
                <c:pt idx="893">
                  <c:v>746.86410190403069</c:v>
                </c:pt>
                <c:pt idx="894">
                  <c:v>746.86410190403069</c:v>
                </c:pt>
                <c:pt idx="895">
                  <c:v>746.86410190403069</c:v>
                </c:pt>
                <c:pt idx="896">
                  <c:v>746.86410190403069</c:v>
                </c:pt>
                <c:pt idx="897">
                  <c:v>746.86410190403069</c:v>
                </c:pt>
                <c:pt idx="898">
                  <c:v>746.86410190403069</c:v>
                </c:pt>
                <c:pt idx="899">
                  <c:v>746.86410190403069</c:v>
                </c:pt>
                <c:pt idx="900">
                  <c:v>746.86410190403069</c:v>
                </c:pt>
                <c:pt idx="901">
                  <c:v>746.86410190403069</c:v>
                </c:pt>
                <c:pt idx="902">
                  <c:v>746.86410190403069</c:v>
                </c:pt>
                <c:pt idx="903">
                  <c:v>746.86410190403069</c:v>
                </c:pt>
                <c:pt idx="904">
                  <c:v>746.86410190403069</c:v>
                </c:pt>
                <c:pt idx="905">
                  <c:v>746.86410190403069</c:v>
                </c:pt>
                <c:pt idx="906">
                  <c:v>746.86410190403069</c:v>
                </c:pt>
                <c:pt idx="907">
                  <c:v>746.86410190403069</c:v>
                </c:pt>
                <c:pt idx="908">
                  <c:v>746.86410190403069</c:v>
                </c:pt>
                <c:pt idx="909">
                  <c:v>746.86410190403069</c:v>
                </c:pt>
                <c:pt idx="910">
                  <c:v>746.86410190403069</c:v>
                </c:pt>
                <c:pt idx="911">
                  <c:v>746.86410190403069</c:v>
                </c:pt>
                <c:pt idx="912">
                  <c:v>746.86410190403069</c:v>
                </c:pt>
                <c:pt idx="913">
                  <c:v>746.86410190403069</c:v>
                </c:pt>
                <c:pt idx="914">
                  <c:v>746.86410190403069</c:v>
                </c:pt>
                <c:pt idx="915">
                  <c:v>746.86410190403069</c:v>
                </c:pt>
                <c:pt idx="916">
                  <c:v>746.86410190403069</c:v>
                </c:pt>
                <c:pt idx="917">
                  <c:v>746.86410190403069</c:v>
                </c:pt>
                <c:pt idx="918">
                  <c:v>746.86410190403069</c:v>
                </c:pt>
                <c:pt idx="919">
                  <c:v>746.86410190403069</c:v>
                </c:pt>
                <c:pt idx="920">
                  <c:v>746.86410190403069</c:v>
                </c:pt>
                <c:pt idx="921">
                  <c:v>746.86410190403069</c:v>
                </c:pt>
                <c:pt idx="922">
                  <c:v>746.86410190403069</c:v>
                </c:pt>
                <c:pt idx="923">
                  <c:v>746.86410190403069</c:v>
                </c:pt>
                <c:pt idx="924">
                  <c:v>746.86410190403069</c:v>
                </c:pt>
                <c:pt idx="925">
                  <c:v>746.86410190403069</c:v>
                </c:pt>
                <c:pt idx="926">
                  <c:v>746.86410190403069</c:v>
                </c:pt>
                <c:pt idx="927">
                  <c:v>746.86410190403069</c:v>
                </c:pt>
                <c:pt idx="928">
                  <c:v>746.86410190403069</c:v>
                </c:pt>
                <c:pt idx="929">
                  <c:v>746.86410190403069</c:v>
                </c:pt>
                <c:pt idx="930">
                  <c:v>746.86410190403069</c:v>
                </c:pt>
                <c:pt idx="931">
                  <c:v>746.86410190403069</c:v>
                </c:pt>
                <c:pt idx="932">
                  <c:v>746.86410190403069</c:v>
                </c:pt>
                <c:pt idx="933">
                  <c:v>746.86410190403069</c:v>
                </c:pt>
                <c:pt idx="934">
                  <c:v>746.86410190403069</c:v>
                </c:pt>
                <c:pt idx="935">
                  <c:v>746.86410190403069</c:v>
                </c:pt>
                <c:pt idx="936">
                  <c:v>746.86410190403069</c:v>
                </c:pt>
                <c:pt idx="937">
                  <c:v>746.86410190403069</c:v>
                </c:pt>
                <c:pt idx="938">
                  <c:v>746.86410190403069</c:v>
                </c:pt>
                <c:pt idx="939">
                  <c:v>746.86410190403069</c:v>
                </c:pt>
                <c:pt idx="940">
                  <c:v>746.86410190403069</c:v>
                </c:pt>
                <c:pt idx="941">
                  <c:v>746.86410190403069</c:v>
                </c:pt>
                <c:pt idx="942">
                  <c:v>746.86410190403069</c:v>
                </c:pt>
                <c:pt idx="943">
                  <c:v>746.86410190403069</c:v>
                </c:pt>
                <c:pt idx="944">
                  <c:v>746.86410190403069</c:v>
                </c:pt>
                <c:pt idx="945">
                  <c:v>746.86410190403069</c:v>
                </c:pt>
                <c:pt idx="946">
                  <c:v>746.86410190403069</c:v>
                </c:pt>
                <c:pt idx="947">
                  <c:v>746.86410190403069</c:v>
                </c:pt>
                <c:pt idx="948">
                  <c:v>746.86410190403069</c:v>
                </c:pt>
                <c:pt idx="949">
                  <c:v>746.86410190403069</c:v>
                </c:pt>
                <c:pt idx="950">
                  <c:v>746.86410190403069</c:v>
                </c:pt>
                <c:pt idx="951">
                  <c:v>746.86410190403069</c:v>
                </c:pt>
                <c:pt idx="952">
                  <c:v>746.86410190403069</c:v>
                </c:pt>
                <c:pt idx="953">
                  <c:v>746.86410190403069</c:v>
                </c:pt>
                <c:pt idx="954">
                  <c:v>746.86410190403069</c:v>
                </c:pt>
                <c:pt idx="955">
                  <c:v>746.86410190403069</c:v>
                </c:pt>
                <c:pt idx="956">
                  <c:v>746.86410190403069</c:v>
                </c:pt>
                <c:pt idx="957">
                  <c:v>746.86410190403069</c:v>
                </c:pt>
                <c:pt idx="958">
                  <c:v>746.86410190403069</c:v>
                </c:pt>
                <c:pt idx="959">
                  <c:v>746.86410190403069</c:v>
                </c:pt>
                <c:pt idx="960">
                  <c:v>746.86410190403069</c:v>
                </c:pt>
                <c:pt idx="961">
                  <c:v>746.86410190403069</c:v>
                </c:pt>
                <c:pt idx="962">
                  <c:v>746.86410190403069</c:v>
                </c:pt>
                <c:pt idx="963">
                  <c:v>746.86410190403069</c:v>
                </c:pt>
                <c:pt idx="964">
                  <c:v>746.86410190403069</c:v>
                </c:pt>
                <c:pt idx="965">
                  <c:v>746.86410190403069</c:v>
                </c:pt>
                <c:pt idx="966">
                  <c:v>746.86410190403069</c:v>
                </c:pt>
                <c:pt idx="967">
                  <c:v>746.86410190403069</c:v>
                </c:pt>
                <c:pt idx="968">
                  <c:v>746.86410190403069</c:v>
                </c:pt>
                <c:pt idx="969">
                  <c:v>746.86410190403069</c:v>
                </c:pt>
                <c:pt idx="970">
                  <c:v>746.86410190403069</c:v>
                </c:pt>
                <c:pt idx="971">
                  <c:v>746.86410190403069</c:v>
                </c:pt>
                <c:pt idx="972">
                  <c:v>746.86410190403069</c:v>
                </c:pt>
                <c:pt idx="973">
                  <c:v>746.86410190403069</c:v>
                </c:pt>
                <c:pt idx="974">
                  <c:v>746.86410190403069</c:v>
                </c:pt>
                <c:pt idx="975">
                  <c:v>746.86410190403069</c:v>
                </c:pt>
                <c:pt idx="976">
                  <c:v>746.86410190403069</c:v>
                </c:pt>
                <c:pt idx="977">
                  <c:v>746.86410190403069</c:v>
                </c:pt>
                <c:pt idx="978">
                  <c:v>746.86410190403069</c:v>
                </c:pt>
                <c:pt idx="979">
                  <c:v>746.86410190403069</c:v>
                </c:pt>
                <c:pt idx="980">
                  <c:v>746.86410190403069</c:v>
                </c:pt>
                <c:pt idx="981">
                  <c:v>746.86410190403069</c:v>
                </c:pt>
                <c:pt idx="982">
                  <c:v>746.86410190403069</c:v>
                </c:pt>
                <c:pt idx="983">
                  <c:v>746.86410190403069</c:v>
                </c:pt>
                <c:pt idx="984">
                  <c:v>746.86410190403069</c:v>
                </c:pt>
                <c:pt idx="985">
                  <c:v>746.86410190403069</c:v>
                </c:pt>
                <c:pt idx="986">
                  <c:v>746.86410190403069</c:v>
                </c:pt>
                <c:pt idx="987">
                  <c:v>746.86410190403069</c:v>
                </c:pt>
                <c:pt idx="988">
                  <c:v>746.86410190403069</c:v>
                </c:pt>
                <c:pt idx="989">
                  <c:v>746.86410190403069</c:v>
                </c:pt>
                <c:pt idx="990">
                  <c:v>746.86410190403069</c:v>
                </c:pt>
                <c:pt idx="991">
                  <c:v>746.86410190403069</c:v>
                </c:pt>
                <c:pt idx="992">
                  <c:v>746.86410190403069</c:v>
                </c:pt>
                <c:pt idx="993">
                  <c:v>746.86410190403069</c:v>
                </c:pt>
                <c:pt idx="994">
                  <c:v>746.86410190403069</c:v>
                </c:pt>
                <c:pt idx="995">
                  <c:v>746.86410190403069</c:v>
                </c:pt>
                <c:pt idx="996">
                  <c:v>746.86410190403069</c:v>
                </c:pt>
                <c:pt idx="997">
                  <c:v>746.86410190403069</c:v>
                </c:pt>
                <c:pt idx="998">
                  <c:v>746.86410190403069</c:v>
                </c:pt>
                <c:pt idx="999">
                  <c:v>746.86410190403069</c:v>
                </c:pt>
                <c:pt idx="1000">
                  <c:v>746.86410190403069</c:v>
                </c:pt>
              </c:numCache>
            </c:numRef>
          </c:xVal>
          <c:yVal>
            <c:numRef>
              <c:f>Calculs!$AE$4:$AE$1004</c:f>
              <c:numCache>
                <c:formatCode>0</c:formatCode>
                <c:ptCount val="1001"/>
                <c:pt idx="0">
                  <c:v>574.95818926659933</c:v>
                </c:pt>
                <c:pt idx="1">
                  <c:v>576.4607643084081</c:v>
                </c:pt>
                <c:pt idx="2">
                  <c:v>577.96072910699593</c:v>
                </c:pt>
                <c:pt idx="3">
                  <c:v>579.45808951357935</c:v>
                </c:pt>
                <c:pt idx="4">
                  <c:v>580.95285135471443</c:v>
                </c:pt>
                <c:pt idx="5">
                  <c:v>582.44502043243335</c:v>
                </c:pt>
                <c:pt idx="6">
                  <c:v>583.93460252438092</c:v>
                </c:pt>
                <c:pt idx="7">
                  <c:v>585.42160338394922</c:v>
                </c:pt>
                <c:pt idx="8">
                  <c:v>586.90602874041213</c:v>
                </c:pt>
                <c:pt idx="9">
                  <c:v>588.38788429905833</c:v>
                </c:pt>
                <c:pt idx="10">
                  <c:v>589.86717574132354</c:v>
                </c:pt>
                <c:pt idx="11">
                  <c:v>591.34390871555877</c:v>
                </c:pt>
                <c:pt idx="12">
                  <c:v>592.81808882797088</c:v>
                </c:pt>
                <c:pt idx="13">
                  <c:v>594.28972165246091</c:v>
                </c:pt>
                <c:pt idx="14">
                  <c:v>595.75881274028313</c:v>
                </c:pt>
                <c:pt idx="15">
                  <c:v>597.22536762016443</c:v>
                </c:pt>
                <c:pt idx="16">
                  <c:v>598.68939179842289</c:v>
                </c:pt>
                <c:pt idx="17">
                  <c:v>600.15089075908588</c:v>
                </c:pt>
                <c:pt idx="18">
                  <c:v>601.60986996400663</c:v>
                </c:pt>
                <c:pt idx="19">
                  <c:v>603.06633485298096</c:v>
                </c:pt>
                <c:pt idx="20">
                  <c:v>604.52029084386231</c:v>
                </c:pt>
                <c:pt idx="21">
                  <c:v>605.97174333735904</c:v>
                </c:pt>
                <c:pt idx="22">
                  <c:v>607.42069772174682</c:v>
                </c:pt>
                <c:pt idx="23">
                  <c:v>608.86715936813198</c:v>
                </c:pt>
                <c:pt idx="24">
                  <c:v>610.31113362580095</c:v>
                </c:pt>
                <c:pt idx="25">
                  <c:v>611.75262582233609</c:v>
                </c:pt>
                <c:pt idx="26">
                  <c:v>613.19164126373039</c:v>
                </c:pt>
                <c:pt idx="27">
                  <c:v>614.62818523450153</c:v>
                </c:pt>
                <c:pt idx="28">
                  <c:v>616.06226299780565</c:v>
                </c:pt>
                <c:pt idx="29">
                  <c:v>617.49387979554967</c:v>
                </c:pt>
                <c:pt idx="30">
                  <c:v>618.92304084850332</c:v>
                </c:pt>
                <c:pt idx="31">
                  <c:v>620.34975135641002</c:v>
                </c:pt>
                <c:pt idx="32">
                  <c:v>621.77401649809769</c:v>
                </c:pt>
                <c:pt idx="33">
                  <c:v>623.19584143158795</c:v>
                </c:pt>
                <c:pt idx="34">
                  <c:v>624.6152312942055</c:v>
                </c:pt>
                <c:pt idx="35">
                  <c:v>626.03219120268602</c:v>
                </c:pt>
                <c:pt idx="36">
                  <c:v>627.44672625328383</c:v>
                </c:pt>
                <c:pt idx="37">
                  <c:v>628.8588415218785</c:v>
                </c:pt>
                <c:pt idx="38">
                  <c:v>630.26854206408109</c:v>
                </c:pt>
                <c:pt idx="39">
                  <c:v>631.67583291533936</c:v>
                </c:pt>
                <c:pt idx="40">
                  <c:v>633.08071909104274</c:v>
                </c:pt>
                <c:pt idx="41">
                  <c:v>634.48320558662613</c:v>
                </c:pt>
                <c:pt idx="42">
                  <c:v>635.8832973776731</c:v>
                </c:pt>
                <c:pt idx="43">
                  <c:v>637.2809994200187</c:v>
                </c:pt>
                <c:pt idx="44">
                  <c:v>638.6763166498514</c:v>
                </c:pt>
                <c:pt idx="45">
                  <c:v>640.06925398381429</c:v>
                </c:pt>
                <c:pt idx="46">
                  <c:v>641.45981631910593</c:v>
                </c:pt>
                <c:pt idx="47">
                  <c:v>642.84800853358001</c:v>
                </c:pt>
                <c:pt idx="48">
                  <c:v>644.23383548584502</c:v>
                </c:pt>
                <c:pt idx="49">
                  <c:v>645.61730201536272</c:v>
                </c:pt>
                <c:pt idx="50">
                  <c:v>646.998412942546</c:v>
                </c:pt>
                <c:pt idx="51">
                  <c:v>648.37717306885679</c:v>
                </c:pt>
                <c:pt idx="52">
                  <c:v>649.75358717690233</c:v>
                </c:pt>
                <c:pt idx="53">
                  <c:v>651.12766003053162</c:v>
                </c:pt>
                <c:pt idx="54">
                  <c:v>652.49939637493071</c:v>
                </c:pt>
                <c:pt idx="55">
                  <c:v>653.86880093671789</c:v>
                </c:pt>
                <c:pt idx="56">
                  <c:v>655.23587842403765</c:v>
                </c:pt>
                <c:pt idx="57">
                  <c:v>656.60063352665475</c:v>
                </c:pt>
                <c:pt idx="58">
                  <c:v>657.96307091604695</c:v>
                </c:pt>
                <c:pt idx="59">
                  <c:v>659.32319524549769</c:v>
                </c:pt>
                <c:pt idx="60">
                  <c:v>660.68101115018783</c:v>
                </c:pt>
                <c:pt idx="61">
                  <c:v>662.03652324728705</c:v>
                </c:pt>
                <c:pt idx="62">
                  <c:v>663.3897361360448</c:v>
                </c:pt>
                <c:pt idx="63">
                  <c:v>664.74065439787989</c:v>
                </c:pt>
                <c:pt idx="64">
                  <c:v>666.08928259647064</c:v>
                </c:pt>
                <c:pt idx="65">
                  <c:v>667.43562527784343</c:v>
                </c:pt>
                <c:pt idx="66">
                  <c:v>668.7796869704614</c:v>
                </c:pt>
                <c:pt idx="67">
                  <c:v>670.12147218531209</c:v>
                </c:pt>
                <c:pt idx="68">
                  <c:v>671.46098541599486</c:v>
                </c:pt>
                <c:pt idx="69">
                  <c:v>672.79823113880786</c:v>
                </c:pt>
                <c:pt idx="70">
                  <c:v>674.13321381283379</c:v>
                </c:pt>
                <c:pt idx="71">
                  <c:v>675.46593788002588</c:v>
                </c:pt>
                <c:pt idx="72">
                  <c:v>676.796407765293</c:v>
                </c:pt>
                <c:pt idx="73">
                  <c:v>678.12462787658399</c:v>
                </c:pt>
                <c:pt idx="74">
                  <c:v>679.45060260497189</c:v>
                </c:pt>
                <c:pt idx="75">
                  <c:v>680.77433632473753</c:v>
                </c:pt>
                <c:pt idx="76">
                  <c:v>682.09583339345238</c:v>
                </c:pt>
                <c:pt idx="77">
                  <c:v>683.41509815206109</c:v>
                </c:pt>
                <c:pt idx="78">
                  <c:v>684.73213492496325</c:v>
                </c:pt>
                <c:pt idx="79">
                  <c:v>686.04694802009521</c:v>
                </c:pt>
                <c:pt idx="80">
                  <c:v>687.35954172901086</c:v>
                </c:pt>
                <c:pt idx="81">
                  <c:v>688.66992032696169</c:v>
                </c:pt>
                <c:pt idx="82">
                  <c:v>689.97808807297724</c:v>
                </c:pt>
                <c:pt idx="83">
                  <c:v>691.28404920994433</c:v>
                </c:pt>
                <c:pt idx="84">
                  <c:v>692.58780796468591</c:v>
                </c:pt>
                <c:pt idx="85">
                  <c:v>693.88936854803956</c:v>
                </c:pt>
                <c:pt idx="86">
                  <c:v>695.18873515493533</c:v>
                </c:pt>
                <c:pt idx="87">
                  <c:v>696.48591196447353</c:v>
                </c:pt>
                <c:pt idx="88">
                  <c:v>697.78090314000133</c:v>
                </c:pt>
                <c:pt idx="89">
                  <c:v>699.07371282918962</c:v>
                </c:pt>
                <c:pt idx="90">
                  <c:v>700.36434516410873</c:v>
                </c:pt>
                <c:pt idx="91">
                  <c:v>701.65280426130437</c:v>
                </c:pt>
                <c:pt idx="92">
                  <c:v>702.93909422187232</c:v>
                </c:pt>
                <c:pt idx="93">
                  <c:v>704.22321913153348</c:v>
                </c:pt>
                <c:pt idx="94">
                  <c:v>705.50518306070762</c:v>
                </c:pt>
                <c:pt idx="95">
                  <c:v>706.78499006458765</c:v>
                </c:pt>
                <c:pt idx="96">
                  <c:v>708.06264418321234</c:v>
                </c:pt>
                <c:pt idx="97">
                  <c:v>709.3381494415396</c:v>
                </c:pt>
                <c:pt idx="98">
                  <c:v>710.6115098495186</c:v>
                </c:pt>
                <c:pt idx="99">
                  <c:v>711.88272940216177</c:v>
                </c:pt>
                <c:pt idx="100">
                  <c:v>713.15181207961643</c:v>
                </c:pt>
                <c:pt idx="101">
                  <c:v>725.72541786762235</c:v>
                </c:pt>
                <c:pt idx="102">
                  <c:v>738.08788525748264</c:v>
                </c:pt>
                <c:pt idx="103">
                  <c:v>750.2430521902437</c:v>
                </c:pt>
                <c:pt idx="104">
                  <c:v>762.1946170601999</c:v>
                </c:pt>
                <c:pt idx="105">
                  <c:v>773.94614515619912</c:v>
                </c:pt>
                <c:pt idx="106">
                  <c:v>785.50107472710852</c:v>
                </c:pt>
                <c:pt idx="107">
                  <c:v>796.8627226974711</c:v>
                </c:pt>
                <c:pt idx="108">
                  <c:v>808.03429005729367</c:v>
                </c:pt>
                <c:pt idx="109">
                  <c:v>819.01886694800919</c:v>
                </c:pt>
                <c:pt idx="110">
                  <c:v>829.81943746492709</c:v>
                </c:pt>
                <c:pt idx="111">
                  <c:v>840.43888419490906</c:v>
                </c:pt>
                <c:pt idx="112">
                  <c:v>850.87999250657367</c:v>
                </c:pt>
                <c:pt idx="113">
                  <c:v>861.14545460901888</c:v>
                </c:pt>
                <c:pt idx="114">
                  <c:v>871.2378733938541</c:v>
                </c:pt>
                <c:pt idx="115">
                  <c:v>881.15976607423579</c:v>
                </c:pt>
                <c:pt idx="116">
                  <c:v>890.91356763359624</c:v>
                </c:pt>
                <c:pt idx="117">
                  <c:v>900.50163409583297</c:v>
                </c:pt>
                <c:pt idx="118">
                  <c:v>909.92624562788183</c:v>
                </c:pt>
                <c:pt idx="119">
                  <c:v>919.18960948482049</c:v>
                </c:pt>
                <c:pt idx="120">
                  <c:v>928.29386280693427</c:v>
                </c:pt>
                <c:pt idx="121">
                  <c:v>937.24107527751994</c:v>
                </c:pt>
                <c:pt idx="122">
                  <c:v>946.0332516495987</c:v>
                </c:pt>
                <c:pt idx="123">
                  <c:v>954.67233414915154</c:v>
                </c:pt>
                <c:pt idx="124">
                  <c:v>963.16020476197571</c:v>
                </c:pt>
                <c:pt idx="125">
                  <c:v>971.49868741078672</c:v>
                </c:pt>
                <c:pt idx="126">
                  <c:v>979.689550028751</c:v>
                </c:pt>
                <c:pt idx="127">
                  <c:v>987.73450653522946</c:v>
                </c:pt>
                <c:pt idx="128">
                  <c:v>995.63521871913645</c:v>
                </c:pt>
                <c:pt idx="129">
                  <c:v>1003.3932980349711</c:v>
                </c:pt>
                <c:pt idx="130">
                  <c:v>1011.0103073162556</c:v>
                </c:pt>
                <c:pt idx="131">
                  <c:v>1018.4877624108186</c:v>
                </c:pt>
                <c:pt idx="132">
                  <c:v>1025.8271337420806</c:v>
                </c:pt>
                <c:pt idx="133">
                  <c:v>1033.0298478002455</c:v>
                </c:pt>
                <c:pt idx="134">
                  <c:v>1040.0972885670628</c:v>
                </c:pt>
                <c:pt idx="135">
                  <c:v>1047.0307988775985</c:v>
                </c:pt>
                <c:pt idx="136">
                  <c:v>1053.8316817222535</c:v>
                </c:pt>
                <c:pt idx="137">
                  <c:v>1060.5012014920705</c:v>
                </c:pt>
                <c:pt idx="138">
                  <c:v>1067.040585170196</c:v>
                </c:pt>
                <c:pt idx="139">
                  <c:v>1073.451023472192</c:v>
                </c:pt>
                <c:pt idx="140">
                  <c:v>1079.7336719377458</c:v>
                </c:pt>
                <c:pt idx="141">
                  <c:v>1085.8896519761738</c:v>
                </c:pt>
                <c:pt idx="142">
                  <c:v>1091.9200518679845</c:v>
                </c:pt>
                <c:pt idx="143">
                  <c:v>1097.825927724643</c:v>
                </c:pt>
                <c:pt idx="144">
                  <c:v>1103.6083044085585</c:v>
                </c:pt>
                <c:pt idx="145">
                  <c:v>1109.2681764152117</c:v>
                </c:pt>
                <c:pt idx="146">
                  <c:v>1114.8065087192344</c:v>
                </c:pt>
                <c:pt idx="147">
                  <c:v>1120.2242375861679</c:v>
                </c:pt>
                <c:pt idx="148">
                  <c:v>1125.5222713515259</c:v>
                </c:pt>
                <c:pt idx="149">
                  <c:v>1130.7014911687254</c:v>
                </c:pt>
                <c:pt idx="150">
                  <c:v>1135.7627517273568</c:v>
                </c:pt>
                <c:pt idx="151">
                  <c:v>1140.7068819432088</c:v>
                </c:pt>
                <c:pt idx="152">
                  <c:v>1145.5346856213951</c:v>
                </c:pt>
                <c:pt idx="153">
                  <c:v>1150.2469420938705</c:v>
                </c:pt>
                <c:pt idx="154">
                  <c:v>1154.8444068325782</c:v>
                </c:pt>
                <c:pt idx="155">
                  <c:v>1159.3278120394136</c:v>
                </c:pt>
                <c:pt idx="156">
                  <c:v>1163.6978672141579</c:v>
                </c:pt>
                <c:pt idx="157">
                  <c:v>1167.9552597014863</c:v>
                </c:pt>
                <c:pt idx="158">
                  <c:v>1172.100655218135</c:v>
                </c:pt>
                <c:pt idx="159">
                  <c:v>1176.1346983612727</c:v>
                </c:pt>
                <c:pt idx="160">
                  <c:v>1180.0580130991107</c:v>
                </c:pt>
                <c:pt idx="161">
                  <c:v>1183.8712032447586</c:v>
                </c:pt>
                <c:pt idx="162">
                  <c:v>1187.574852914332</c:v>
                </c:pt>
                <c:pt idx="163">
                  <c:v>1191.1695269703032</c:v>
                </c:pt>
                <c:pt idx="164">
                  <c:v>1194.6557714510941</c:v>
                </c:pt>
                <c:pt idx="165">
                  <c:v>1198.0341139879129</c:v>
                </c:pt>
                <c:pt idx="166">
                  <c:v>1201.3050642098508</c:v>
                </c:pt>
                <c:pt idx="167">
                  <c:v>1204.469114138278</c:v>
                </c:pt>
                <c:pt idx="168">
                  <c:v>1207.5267385716029</c:v>
                </c:pt>
                <c:pt idx="169">
                  <c:v>1210.4783954614975</c:v>
                </c:pt>
                <c:pt idx="170">
                  <c:v>1213.3245262817375</c:v>
                </c:pt>
                <c:pt idx="171">
                  <c:v>1216.0655563908572</c:v>
                </c:pt>
                <c:pt idx="172">
                  <c:v>1218.7018953898848</c:v>
                </c:pt>
                <c:pt idx="173">
                  <c:v>1221.2339374764977</c:v>
                </c:pt>
                <c:pt idx="174">
                  <c:v>1223.6620617970166</c:v>
                </c:pt>
                <c:pt idx="175">
                  <c:v>1225.986632797755</c:v>
                </c:pt>
                <c:pt idx="176">
                  <c:v>1228.2080005773382</c:v>
                </c:pt>
                <c:pt idx="177">
                  <c:v>1230.3265012417176</c:v>
                </c:pt>
                <c:pt idx="178">
                  <c:v>1232.3424572637227</c:v>
                </c:pt>
                <c:pt idx="179">
                  <c:v>1234.2561778491124</c:v>
                </c:pt>
                <c:pt idx="180">
                  <c:v>1236.0679593112077</c:v>
                </c:pt>
                <c:pt idx="181">
                  <c:v>1237.7780854563041</c:v>
                </c:pt>
                <c:pt idx="182">
                  <c:v>1239.3868279821681</c:v>
                </c:pt>
                <c:pt idx="183">
                  <c:v>1240.894446892004</c:v>
                </c:pt>
                <c:pt idx="184">
                  <c:v>1242.30119092634</c:v>
                </c:pt>
                <c:pt idx="185">
                  <c:v>1243.607298015294</c:v>
                </c:pt>
                <c:pt idx="186">
                  <c:v>1244.8129957536416</c:v>
                </c:pt>
                <c:pt idx="187">
                  <c:v>1245.9185019010076</c:v>
                </c:pt>
                <c:pt idx="188">
                  <c:v>1246.9240249093009</c:v>
                </c:pt>
                <c:pt idx="189">
                  <c:v>1247.8297644792301</c:v>
                </c:pt>
                <c:pt idx="190">
                  <c:v>1248.6359121473317</c:v>
                </c:pt>
                <c:pt idx="191">
                  <c:v>1249.3426519044181</c:v>
                </c:pt>
                <c:pt idx="192">
                  <c:v>1249.9501608457081</c:v>
                </c:pt>
                <c:pt idx="193">
                  <c:v>1250.4586098521379</c:v>
                </c:pt>
                <c:pt idx="194">
                  <c:v>1250.8681643014875</c:v>
                </c:pt>
                <c:pt idx="195">
                  <c:v>1251.1789848070164</c:v>
                </c:pt>
                <c:pt idx="196">
                  <c:v>1251.3912279803328</c:v>
                </c:pt>
                <c:pt idx="197">
                  <c:v>1251.5050472142614</c:v>
                </c:pt>
                <c:pt idx="198">
                  <c:v>1251.5205934805861</c:v>
                </c:pt>
                <c:pt idx="199">
                  <c:v>1251.4380161367837</c:v>
                </c:pt>
                <c:pt idx="200">
                  <c:v>1251.2574637352866</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yVal>
          <c:smooth val="0"/>
          <c:extLst>
            <c:ext xmlns:c16="http://schemas.microsoft.com/office/drawing/2014/chart" uri="{C3380CC4-5D6E-409C-BE32-E72D297353CC}">
              <c16:uniqueId val="{00000005-432A-49A9-9499-7ED3E32DDB07}"/>
            </c:ext>
          </c:extLst>
        </c:ser>
        <c:ser>
          <c:idx val="6"/>
          <c:order val="5"/>
          <c:tx>
            <c:strRef>
              <c:f>Trajecto!$B$107</c:f>
              <c:strCache>
                <c:ptCount val="1"/>
                <c:pt idx="0">
                  <c:v>Phase ascendante</c:v>
                </c:pt>
              </c:strCache>
            </c:strRef>
          </c:tx>
          <c:spPr>
            <a:ln w="28575">
              <a:noFill/>
            </a:ln>
          </c:spPr>
          <c:marker>
            <c:symbol val="none"/>
          </c:marker>
          <c:dLbls>
            <c:spPr>
              <a:noFill/>
              <a:ln w="25400">
                <a:noFill/>
              </a:ln>
            </c:spPr>
            <c:txPr>
              <a:bodyPr/>
              <a:lstStyle/>
              <a:p>
                <a:pPr>
                  <a:defRPr sz="700" b="1" i="0" u="none" strike="noStrike" baseline="0">
                    <a:solidFill>
                      <a:srgbClr val="000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Trajecto!$D$158</c:f>
              <c:numCache>
                <c:formatCode>0</c:formatCode>
                <c:ptCount val="1"/>
                <c:pt idx="0">
                  <c:v>110.63503959427872</c:v>
                </c:pt>
              </c:numCache>
            </c:numRef>
          </c:xVal>
          <c:yVal>
            <c:numRef>
              <c:f>Trajecto!$C$158</c:f>
              <c:numCache>
                <c:formatCode>0</c:formatCode>
                <c:ptCount val="1"/>
                <c:pt idx="0">
                  <c:v>625.48954241422564</c:v>
                </c:pt>
              </c:numCache>
            </c:numRef>
          </c:yVal>
          <c:smooth val="0"/>
          <c:extLst>
            <c:ext xmlns:c16="http://schemas.microsoft.com/office/drawing/2014/chart" uri="{C3380CC4-5D6E-409C-BE32-E72D297353CC}">
              <c16:uniqueId val="{00000006-432A-49A9-9499-7ED3E32DDB07}"/>
            </c:ext>
          </c:extLst>
        </c:ser>
        <c:ser>
          <c:idx val="7"/>
          <c:order val="6"/>
          <c:tx>
            <c:strRef>
              <c:f>Trajecto!$B$108</c:f>
              <c:strCache>
                <c:ptCount val="1"/>
                <c:pt idx="0">
                  <c:v>Descente balistique</c:v>
                </c:pt>
              </c:strCache>
            </c:strRef>
          </c:tx>
          <c:spPr>
            <a:ln w="28575">
              <a:noFill/>
            </a:ln>
          </c:spPr>
          <c:marker>
            <c:symbol val="none"/>
          </c:marker>
          <c:dLbls>
            <c:spPr>
              <a:noFill/>
              <a:ln w="25400">
                <a:noFill/>
              </a:ln>
            </c:spPr>
            <c:txPr>
              <a:bodyPr/>
              <a:lstStyle/>
              <a:p>
                <a:pPr>
                  <a:defRPr sz="700" b="1" i="0" u="none" strike="noStrike" baseline="0">
                    <a:solidFill>
                      <a:srgbClr val="808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Trajecto!$D$159</c:f>
              <c:numCache>
                <c:formatCode>0</c:formatCode>
                <c:ptCount val="1"/>
                <c:pt idx="0">
                  <c:v>642.33755328605469</c:v>
                </c:pt>
              </c:numCache>
            </c:numRef>
          </c:xVal>
          <c:yVal>
            <c:numRef>
              <c:f>Trajecto!$C$159</c:f>
              <c:numCache>
                <c:formatCode>0</c:formatCode>
                <c:ptCount val="1"/>
                <c:pt idx="0">
                  <c:v>625.75252360713068</c:v>
                </c:pt>
              </c:numCache>
            </c:numRef>
          </c:yVal>
          <c:smooth val="0"/>
          <c:extLst>
            <c:ext xmlns:c16="http://schemas.microsoft.com/office/drawing/2014/chart" uri="{C3380CC4-5D6E-409C-BE32-E72D297353CC}">
              <c16:uniqueId val="{00000007-432A-49A9-9499-7ED3E32DDB07}"/>
            </c:ext>
          </c:extLst>
        </c:ser>
        <c:ser>
          <c:idx val="8"/>
          <c:order val="7"/>
          <c:tx>
            <c:strRef>
              <c:f>Trajecto!$D$161</c:f>
              <c:strCache>
                <c:ptCount val="1"/>
                <c:pt idx="0">
                  <c:v>Arc de triomphe</c:v>
                </c:pt>
              </c:strCache>
            </c:strRef>
          </c:tx>
          <c:spPr>
            <a:ln>
              <a:solidFill>
                <a:srgbClr val="C0C0C0"/>
              </a:solidFill>
            </a:ln>
          </c:spPr>
          <c:marker>
            <c:symbol val="none"/>
          </c:marker>
          <c:dLbls>
            <c:dLbl>
              <c:idx val="8"/>
              <c:tx>
                <c:strRef>
                  <c:f>Trajecto!$D$161</c:f>
                  <c:strCache>
                    <c:ptCount val="1"/>
                    <c:pt idx="0">
                      <c:v>Arc de triomphe</c:v>
                    </c:pt>
                  </c:strCache>
                </c:strRef>
              </c:tx>
              <c:spPr/>
              <c:txPr>
                <a:bodyPr/>
                <a:lstStyle/>
                <a:p>
                  <a:pPr>
                    <a:defRPr sz="700" b="0" i="0" u="none" strike="noStrike" baseline="0">
                      <a:solidFill>
                        <a:srgbClr val="C0C0C0"/>
                      </a:solidFill>
                      <a:latin typeface="Arial"/>
                      <a:ea typeface="Arial"/>
                      <a:cs typeface="Arial"/>
                    </a:defRPr>
                  </a:pPr>
                  <a:endParaRPr lang="fr-FR"/>
                </a:p>
              </c:txPr>
              <c:showLegendKey val="0"/>
              <c:showVal val="0"/>
              <c:showCatName val="0"/>
              <c:showSerName val="0"/>
              <c:showPercent val="0"/>
              <c:showBubbleSize val="0"/>
              <c:extLst>
                <c:ext xmlns:c15="http://schemas.microsoft.com/office/drawing/2012/chart" uri="{CE6537A1-D6FC-4f65-9D91-7224C49458BB}">
                  <c15:dlblFieldTable>
                    <c15:dlblFTEntry>
                      <c15:txfldGUID>{B7260A74-DF3E-45E0-A287-EFFE81B68CF4}</c15:txfldGUID>
                      <c15:f>Trajecto!$D$161</c15:f>
                      <c15:dlblFieldTableCache>
                        <c:ptCount val="1"/>
                        <c:pt idx="0">
                          <c:v>Arc de triomphe</c:v>
                        </c:pt>
                      </c15:dlblFieldTableCache>
                    </c15:dlblFTEntry>
                  </c15:dlblFieldTable>
                  <c15:showDataLabelsRange val="0"/>
                </c:ext>
                <c:ext xmlns:c16="http://schemas.microsoft.com/office/drawing/2014/chart" uri="{C3380CC4-5D6E-409C-BE32-E72D297353CC}">
                  <c16:uniqueId val="{00000008-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Trajecto!$D$162:$D$177</c:f>
              <c:numCache>
                <c:formatCode>0</c:formatCode>
                <c:ptCount val="16"/>
                <c:pt idx="0">
                  <c:v>433.28445605010262</c:v>
                </c:pt>
                <c:pt idx="1">
                  <c:v>456.28445605010262</c:v>
                </c:pt>
                <c:pt idx="2">
                  <c:v>456.28445605010262</c:v>
                </c:pt>
                <c:pt idx="3">
                  <c:v>433.28445605010262</c:v>
                </c:pt>
                <c:pt idx="4">
                  <c:v>456.28445605010262</c:v>
                </c:pt>
                <c:pt idx="5">
                  <c:v>456.28445605010262</c:v>
                </c:pt>
                <c:pt idx="6">
                  <c:v>441.28445605010262</c:v>
                </c:pt>
                <c:pt idx="7">
                  <c:v>441.28445605010262</c:v>
                </c:pt>
                <c:pt idx="8">
                  <c:v>456.28445605010262</c:v>
                </c:pt>
                <c:pt idx="9">
                  <c:v>441.28445605010262</c:v>
                </c:pt>
                <c:pt idx="10">
                  <c:v>440.88445605010264</c:v>
                </c:pt>
                <c:pt idx="11">
                  <c:v>440.08445605010263</c:v>
                </c:pt>
                <c:pt idx="12">
                  <c:v>439.28445605010262</c:v>
                </c:pt>
                <c:pt idx="13">
                  <c:v>438.28445605010262</c:v>
                </c:pt>
                <c:pt idx="14">
                  <c:v>437.08445605010263</c:v>
                </c:pt>
                <c:pt idx="15">
                  <c:v>433.28445605010262</c:v>
                </c:pt>
              </c:numCache>
            </c:numRef>
          </c:xVal>
          <c:yVal>
            <c:numRef>
              <c:f>Trajecto!$B$162:$B$177</c:f>
              <c:numCache>
                <c:formatCode>General</c:formatCode>
                <c:ptCount val="1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numCache>
            </c:numRef>
          </c:yVal>
          <c:smooth val="0"/>
          <c:extLst>
            <c:ext xmlns:c16="http://schemas.microsoft.com/office/drawing/2014/chart" uri="{C3380CC4-5D6E-409C-BE32-E72D297353CC}">
              <c16:uniqueId val="{00000009-432A-49A9-9499-7ED3E32DDB07}"/>
            </c:ext>
          </c:extLst>
        </c:ser>
        <c:ser>
          <c:idx val="9"/>
          <c:order val="8"/>
          <c:tx>
            <c:strRef>
              <c:f>Trajecto!$F$162</c:f>
              <c:strCache>
                <c:ptCount val="1"/>
                <c:pt idx="0">
                  <c:v>Arc de triomphe</c:v>
                </c:pt>
              </c:strCache>
            </c:strRef>
          </c:tx>
          <c:spPr>
            <a:ln>
              <a:solidFill>
                <a:srgbClr val="C0C0C0"/>
              </a:solidFill>
            </a:ln>
          </c:spPr>
          <c:marker>
            <c:symbol val="none"/>
          </c:marker>
          <c:xVal>
            <c:numRef>
              <c:f>Trajecto!$F$163:$F$178</c:f>
              <c:numCache>
                <c:formatCode>0</c:formatCode>
                <c:ptCount val="16"/>
                <c:pt idx="0">
                  <c:v>433.28445605010262</c:v>
                </c:pt>
                <c:pt idx="1">
                  <c:v>410.28445605010262</c:v>
                </c:pt>
                <c:pt idx="2">
                  <c:v>410.28445605010262</c:v>
                </c:pt>
                <c:pt idx="3">
                  <c:v>433.28445605010262</c:v>
                </c:pt>
                <c:pt idx="4">
                  <c:v>410.28445605010262</c:v>
                </c:pt>
                <c:pt idx="5">
                  <c:v>410.28445605010262</c:v>
                </c:pt>
                <c:pt idx="6">
                  <c:v>425.28445605010262</c:v>
                </c:pt>
                <c:pt idx="7">
                  <c:v>425.28445605010262</c:v>
                </c:pt>
                <c:pt idx="8">
                  <c:v>410.28445605010262</c:v>
                </c:pt>
                <c:pt idx="9">
                  <c:v>425.28445605010262</c:v>
                </c:pt>
                <c:pt idx="10">
                  <c:v>425.6844560501026</c:v>
                </c:pt>
                <c:pt idx="11">
                  <c:v>426.48445605010261</c:v>
                </c:pt>
                <c:pt idx="12">
                  <c:v>427.28445605010262</c:v>
                </c:pt>
                <c:pt idx="13">
                  <c:v>428.28445605010262</c:v>
                </c:pt>
                <c:pt idx="14">
                  <c:v>429.48445605010261</c:v>
                </c:pt>
                <c:pt idx="15">
                  <c:v>433.28445605010262</c:v>
                </c:pt>
              </c:numCache>
            </c:numRef>
          </c:xVal>
          <c:yVal>
            <c:numRef>
              <c:f>Trajecto!$B$162:$B$177</c:f>
              <c:numCache>
                <c:formatCode>General</c:formatCode>
                <c:ptCount val="1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numCache>
            </c:numRef>
          </c:yVal>
          <c:smooth val="0"/>
          <c:extLst>
            <c:ext xmlns:c16="http://schemas.microsoft.com/office/drawing/2014/chart" uri="{C3380CC4-5D6E-409C-BE32-E72D297353CC}">
              <c16:uniqueId val="{0000000A-432A-49A9-9499-7ED3E32DDB07}"/>
            </c:ext>
          </c:extLst>
        </c:ser>
        <c:ser>
          <c:idx val="10"/>
          <c:order val="9"/>
          <c:tx>
            <c:strRef>
              <c:f>Trajecto!$D$179</c:f>
              <c:strCache>
                <c:ptCount val="1"/>
                <c:pt idx="0">
                  <c:v>Tour Eiffel</c:v>
                </c:pt>
              </c:strCache>
            </c:strRef>
          </c:tx>
          <c:spPr>
            <a:ln>
              <a:solidFill>
                <a:srgbClr val="C0C0C0"/>
              </a:solidFill>
            </a:ln>
          </c:spPr>
          <c:marker>
            <c:symbol val="none"/>
          </c:marker>
          <c:dLbls>
            <c:dLbl>
              <c:idx val="6"/>
              <c:tx>
                <c:strRef>
                  <c:f>Trajecto!$D$179</c:f>
                  <c:strCache>
                    <c:ptCount val="1"/>
                    <c:pt idx="0">
                      <c:v>Tour Eiffel</c:v>
                    </c:pt>
                  </c:strCache>
                </c:strRef>
              </c:tx>
              <c:spPr/>
              <c:txPr>
                <a:bodyPr/>
                <a:lstStyle/>
                <a:p>
                  <a:pPr>
                    <a:defRPr sz="700" b="0" i="0" u="none" strike="noStrike" baseline="0">
                      <a:solidFill>
                        <a:srgbClr val="C0C0C0"/>
                      </a:solidFill>
                      <a:latin typeface="Arial"/>
                      <a:ea typeface="Arial"/>
                      <a:cs typeface="Arial"/>
                    </a:defRPr>
                  </a:pPr>
                  <a:endParaRPr lang="fr-FR"/>
                </a:p>
              </c:txPr>
              <c:showLegendKey val="0"/>
              <c:showVal val="0"/>
              <c:showCatName val="0"/>
              <c:showSerName val="0"/>
              <c:showPercent val="0"/>
              <c:showBubbleSize val="0"/>
              <c:extLst>
                <c:ext xmlns:c15="http://schemas.microsoft.com/office/drawing/2012/chart" uri="{CE6537A1-D6FC-4f65-9D91-7224C49458BB}">
                  <c15:dlblFieldTable>
                    <c15:dlblFTEntry>
                      <c15:txfldGUID>{62B7FB64-01AC-4F5A-9156-91BF9AE69DEA}</c15:txfldGUID>
                      <c15:f>Trajecto!$D$179</c15:f>
                      <c15:dlblFieldTableCache>
                        <c:ptCount val="1"/>
                        <c:pt idx="0">
                          <c:v>Tour Eiffel</c:v>
                        </c:pt>
                      </c15:dlblFieldTableCache>
                    </c15:dlblFTEntry>
                  </c15:dlblFieldTable>
                  <c15:showDataLabelsRange val="0"/>
                </c:ext>
                <c:ext xmlns:c16="http://schemas.microsoft.com/office/drawing/2014/chart" uri="{C3380CC4-5D6E-409C-BE32-E72D297353CC}">
                  <c16:uniqueId val="{0000000B-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Trajecto!$D$180:$D$196</c:f>
              <c:numCache>
                <c:formatCode>0</c:formatCode>
                <c:ptCount val="17"/>
                <c:pt idx="0">
                  <c:v>433.28445605010262</c:v>
                </c:pt>
                <c:pt idx="1">
                  <c:v>433.28445605010262</c:v>
                </c:pt>
                <c:pt idx="2">
                  <c:v>443.28445605010262</c:v>
                </c:pt>
                <c:pt idx="3">
                  <c:v>433.28445605010262</c:v>
                </c:pt>
                <c:pt idx="4">
                  <c:v>443.28445605010262</c:v>
                </c:pt>
                <c:pt idx="5">
                  <c:v>446.28445605010262</c:v>
                </c:pt>
                <c:pt idx="6">
                  <c:v>450.28445605010262</c:v>
                </c:pt>
                <c:pt idx="7">
                  <c:v>453.28445605010262</c:v>
                </c:pt>
                <c:pt idx="8">
                  <c:v>458.28445605010262</c:v>
                </c:pt>
                <c:pt idx="9">
                  <c:v>463.28445605010262</c:v>
                </c:pt>
                <c:pt idx="10">
                  <c:v>469.28445605010262</c:v>
                </c:pt>
                <c:pt idx="11">
                  <c:v>481.28445605010262</c:v>
                </c:pt>
                <c:pt idx="12">
                  <c:v>495.28445605010262</c:v>
                </c:pt>
                <c:pt idx="13">
                  <c:v>470.28445605010262</c:v>
                </c:pt>
                <c:pt idx="14">
                  <c:v>463.28445605010262</c:v>
                </c:pt>
                <c:pt idx="15">
                  <c:v>448.28445605010262</c:v>
                </c:pt>
                <c:pt idx="16">
                  <c:v>433.28445605010262</c:v>
                </c:pt>
              </c:numCache>
            </c:numRef>
          </c:xVal>
          <c:yVal>
            <c:numRef>
              <c:f>Trajecto!$B$180:$B$196</c:f>
              <c:numCache>
                <c:formatCode>General</c:formatCode>
                <c:ptCount val="17"/>
                <c:pt idx="0">
                  <c:v>324</c:v>
                </c:pt>
                <c:pt idx="1">
                  <c:v>300</c:v>
                </c:pt>
                <c:pt idx="2">
                  <c:v>280</c:v>
                </c:pt>
                <c:pt idx="3">
                  <c:v>280</c:v>
                </c:pt>
                <c:pt idx="4">
                  <c:v>280</c:v>
                </c:pt>
                <c:pt idx="5">
                  <c:v>200</c:v>
                </c:pt>
                <c:pt idx="6">
                  <c:v>160</c:v>
                </c:pt>
                <c:pt idx="7">
                  <c:v>115</c:v>
                </c:pt>
                <c:pt idx="8">
                  <c:v>90</c:v>
                </c:pt>
                <c:pt idx="9">
                  <c:v>57</c:v>
                </c:pt>
                <c:pt idx="10">
                  <c:v>40</c:v>
                </c:pt>
                <c:pt idx="11">
                  <c:v>20</c:v>
                </c:pt>
                <c:pt idx="12">
                  <c:v>0.5</c:v>
                </c:pt>
                <c:pt idx="13">
                  <c:v>0.5</c:v>
                </c:pt>
                <c:pt idx="14">
                  <c:v>15</c:v>
                </c:pt>
                <c:pt idx="15">
                  <c:v>30</c:v>
                </c:pt>
                <c:pt idx="16">
                  <c:v>37</c:v>
                </c:pt>
              </c:numCache>
            </c:numRef>
          </c:yVal>
          <c:smooth val="0"/>
          <c:extLst>
            <c:ext xmlns:c16="http://schemas.microsoft.com/office/drawing/2014/chart" uri="{C3380CC4-5D6E-409C-BE32-E72D297353CC}">
              <c16:uniqueId val="{0000000C-432A-49A9-9499-7ED3E32DDB07}"/>
            </c:ext>
          </c:extLst>
        </c:ser>
        <c:ser>
          <c:idx val="11"/>
          <c:order val="10"/>
          <c:tx>
            <c:strRef>
              <c:f>Trajecto!$F$180</c:f>
              <c:strCache>
                <c:ptCount val="1"/>
                <c:pt idx="0">
                  <c:v>Tour Eiffel</c:v>
                </c:pt>
              </c:strCache>
            </c:strRef>
          </c:tx>
          <c:spPr>
            <a:ln>
              <a:solidFill>
                <a:srgbClr val="C0C0C0"/>
              </a:solidFill>
            </a:ln>
          </c:spPr>
          <c:marker>
            <c:symbol val="none"/>
          </c:marker>
          <c:xVal>
            <c:numRef>
              <c:f>Trajecto!$F$181:$F$197</c:f>
              <c:numCache>
                <c:formatCode>0</c:formatCode>
                <c:ptCount val="17"/>
                <c:pt idx="0">
                  <c:v>433.28445605010262</c:v>
                </c:pt>
                <c:pt idx="1">
                  <c:v>433.28445605010262</c:v>
                </c:pt>
                <c:pt idx="2">
                  <c:v>423.28445605010262</c:v>
                </c:pt>
                <c:pt idx="3">
                  <c:v>433.28445605010262</c:v>
                </c:pt>
                <c:pt idx="4">
                  <c:v>423.28445605010262</c:v>
                </c:pt>
                <c:pt idx="5">
                  <c:v>420.28445605010262</c:v>
                </c:pt>
                <c:pt idx="6">
                  <c:v>416.28445605010262</c:v>
                </c:pt>
                <c:pt idx="7">
                  <c:v>413.28445605010262</c:v>
                </c:pt>
                <c:pt idx="8">
                  <c:v>408.28445605010262</c:v>
                </c:pt>
                <c:pt idx="9">
                  <c:v>403.28445605010262</c:v>
                </c:pt>
                <c:pt idx="10">
                  <c:v>397.28445605010262</c:v>
                </c:pt>
                <c:pt idx="11">
                  <c:v>385.28445605010262</c:v>
                </c:pt>
                <c:pt idx="12">
                  <c:v>371.28445605010262</c:v>
                </c:pt>
                <c:pt idx="13">
                  <c:v>396.28445605010262</c:v>
                </c:pt>
                <c:pt idx="14">
                  <c:v>403.28445605010262</c:v>
                </c:pt>
                <c:pt idx="15">
                  <c:v>418.28445605010262</c:v>
                </c:pt>
                <c:pt idx="16">
                  <c:v>433.28445605010262</c:v>
                </c:pt>
              </c:numCache>
            </c:numRef>
          </c:xVal>
          <c:yVal>
            <c:numRef>
              <c:f>Trajecto!$B$180:$B$196</c:f>
              <c:numCache>
                <c:formatCode>General</c:formatCode>
                <c:ptCount val="17"/>
                <c:pt idx="0">
                  <c:v>324</c:v>
                </c:pt>
                <c:pt idx="1">
                  <c:v>300</c:v>
                </c:pt>
                <c:pt idx="2">
                  <c:v>280</c:v>
                </c:pt>
                <c:pt idx="3">
                  <c:v>280</c:v>
                </c:pt>
                <c:pt idx="4">
                  <c:v>280</c:v>
                </c:pt>
                <c:pt idx="5">
                  <c:v>200</c:v>
                </c:pt>
                <c:pt idx="6">
                  <c:v>160</c:v>
                </c:pt>
                <c:pt idx="7">
                  <c:v>115</c:v>
                </c:pt>
                <c:pt idx="8">
                  <c:v>90</c:v>
                </c:pt>
                <c:pt idx="9">
                  <c:v>57</c:v>
                </c:pt>
                <c:pt idx="10">
                  <c:v>40</c:v>
                </c:pt>
                <c:pt idx="11">
                  <c:v>20</c:v>
                </c:pt>
                <c:pt idx="12">
                  <c:v>0.5</c:v>
                </c:pt>
                <c:pt idx="13">
                  <c:v>0.5</c:v>
                </c:pt>
                <c:pt idx="14">
                  <c:v>15</c:v>
                </c:pt>
                <c:pt idx="15">
                  <c:v>30</c:v>
                </c:pt>
                <c:pt idx="16">
                  <c:v>37</c:v>
                </c:pt>
              </c:numCache>
            </c:numRef>
          </c:yVal>
          <c:smooth val="0"/>
          <c:extLst>
            <c:ext xmlns:c16="http://schemas.microsoft.com/office/drawing/2014/chart" uri="{C3380CC4-5D6E-409C-BE32-E72D297353CC}">
              <c16:uniqueId val="{0000000D-432A-49A9-9499-7ED3E32DDB07}"/>
            </c:ext>
          </c:extLst>
        </c:ser>
        <c:ser>
          <c:idx val="12"/>
          <c:order val="11"/>
          <c:tx>
            <c:strRef>
              <c:f>Trajecto!$D$179</c:f>
              <c:strCache>
                <c:ptCount val="1"/>
                <c:pt idx="0">
                  <c:v>Tour Eiffel</c:v>
                </c:pt>
              </c:strCache>
            </c:strRef>
          </c:tx>
          <c:spPr>
            <a:ln>
              <a:solidFill>
                <a:srgbClr val="C0C0C0"/>
              </a:solidFill>
            </a:ln>
          </c:spPr>
          <c:marker>
            <c:symbol val="none"/>
          </c:marker>
          <c:xVal>
            <c:numRef>
              <c:f>Trajecto!$D$197:$D$200</c:f>
              <c:numCache>
                <c:formatCode>0</c:formatCode>
                <c:ptCount val="4"/>
                <c:pt idx="0">
                  <c:v>433.28445605010262</c:v>
                </c:pt>
                <c:pt idx="1">
                  <c:v>450.28445605010262</c:v>
                </c:pt>
                <c:pt idx="2">
                  <c:v>444.28445605010262</c:v>
                </c:pt>
                <c:pt idx="3">
                  <c:v>433.28445605010262</c:v>
                </c:pt>
              </c:numCache>
            </c:numRef>
          </c:xVal>
          <c:yVal>
            <c:numRef>
              <c:f>Trajecto!$B$197:$B$200</c:f>
              <c:numCache>
                <c:formatCode>General</c:formatCode>
                <c:ptCount val="4"/>
                <c:pt idx="0">
                  <c:v>67</c:v>
                </c:pt>
                <c:pt idx="1">
                  <c:v>67</c:v>
                </c:pt>
                <c:pt idx="2">
                  <c:v>100</c:v>
                </c:pt>
                <c:pt idx="3">
                  <c:v>100</c:v>
                </c:pt>
              </c:numCache>
            </c:numRef>
          </c:yVal>
          <c:smooth val="0"/>
          <c:extLst>
            <c:ext xmlns:c16="http://schemas.microsoft.com/office/drawing/2014/chart" uri="{C3380CC4-5D6E-409C-BE32-E72D297353CC}">
              <c16:uniqueId val="{0000000E-432A-49A9-9499-7ED3E32DDB07}"/>
            </c:ext>
          </c:extLst>
        </c:ser>
        <c:ser>
          <c:idx val="13"/>
          <c:order val="12"/>
          <c:tx>
            <c:strRef>
              <c:f>Trajecto!$F$180</c:f>
              <c:strCache>
                <c:ptCount val="1"/>
                <c:pt idx="0">
                  <c:v>Tour Eiffel</c:v>
                </c:pt>
              </c:strCache>
            </c:strRef>
          </c:tx>
          <c:spPr>
            <a:ln>
              <a:solidFill>
                <a:srgbClr val="C0C0C0"/>
              </a:solidFill>
            </a:ln>
          </c:spPr>
          <c:marker>
            <c:symbol val="none"/>
          </c:marker>
          <c:xVal>
            <c:numRef>
              <c:f>Trajecto!$F$198:$F$201</c:f>
              <c:numCache>
                <c:formatCode>0</c:formatCode>
                <c:ptCount val="4"/>
                <c:pt idx="0">
                  <c:v>433.28445605010262</c:v>
                </c:pt>
                <c:pt idx="1">
                  <c:v>416.28445605010262</c:v>
                </c:pt>
                <c:pt idx="2">
                  <c:v>422.28445605010262</c:v>
                </c:pt>
                <c:pt idx="3">
                  <c:v>433.28445605010262</c:v>
                </c:pt>
              </c:numCache>
            </c:numRef>
          </c:xVal>
          <c:yVal>
            <c:numRef>
              <c:f>Trajecto!$B$197:$B$200</c:f>
              <c:numCache>
                <c:formatCode>General</c:formatCode>
                <c:ptCount val="4"/>
                <c:pt idx="0">
                  <c:v>67</c:v>
                </c:pt>
                <c:pt idx="1">
                  <c:v>67</c:v>
                </c:pt>
                <c:pt idx="2">
                  <c:v>100</c:v>
                </c:pt>
                <c:pt idx="3">
                  <c:v>100</c:v>
                </c:pt>
              </c:numCache>
            </c:numRef>
          </c:yVal>
          <c:smooth val="0"/>
          <c:extLst>
            <c:ext xmlns:c16="http://schemas.microsoft.com/office/drawing/2014/chart" uri="{C3380CC4-5D6E-409C-BE32-E72D297353CC}">
              <c16:uniqueId val="{0000000F-432A-49A9-9499-7ED3E32DDB07}"/>
            </c:ext>
          </c:extLst>
        </c:ser>
        <c:ser>
          <c:idx val="3"/>
          <c:order val="13"/>
          <c:tx>
            <c:strRef>
              <c:f>Trajecto!$B$109</c:f>
              <c:strCache>
                <c:ptCount val="1"/>
                <c:pt idx="0">
                  <c:v>Fusée sous parachute</c:v>
                </c:pt>
              </c:strCache>
            </c:strRef>
          </c:tx>
          <c:spPr>
            <a:ln>
              <a:solidFill>
                <a:srgbClr val="008000"/>
              </a:solidFill>
            </a:ln>
          </c:spPr>
          <c:marker>
            <c:symbol val="none"/>
          </c:marker>
          <c:dLbls>
            <c:dLbl>
              <c:idx val="1"/>
              <c:tx>
                <c:strRef>
                  <c:f>Trajecto!$B$109</c:f>
                  <c:strCache>
                    <c:ptCount val="1"/>
                    <c:pt idx="0">
                      <c:v>Fusée sous parachute</c:v>
                    </c:pt>
                  </c:strCache>
                </c:strRef>
              </c:tx>
              <c:spPr/>
              <c:txPr>
                <a:bodyPr/>
                <a:lstStyle/>
                <a:p>
                  <a:pPr>
                    <a:defRPr sz="700" b="1" i="0" u="none" strike="noStrike" baseline="0">
                      <a:solidFill>
                        <a:srgbClr val="008000"/>
                      </a:solidFill>
                      <a:latin typeface="Arial"/>
                      <a:ea typeface="Arial"/>
                      <a:cs typeface="Arial"/>
                    </a:defRPr>
                  </a:pPr>
                  <a:endParaRPr lang="fr-FR"/>
                </a:p>
              </c:txPr>
              <c:showLegendKey val="0"/>
              <c:showVal val="0"/>
              <c:showCatName val="0"/>
              <c:showSerName val="0"/>
              <c:showPercent val="0"/>
              <c:showBubbleSize val="0"/>
              <c:extLst>
                <c:ext xmlns:c15="http://schemas.microsoft.com/office/drawing/2012/chart" uri="{CE6537A1-D6FC-4f65-9D91-7224C49458BB}">
                  <c15:dlblFieldTable>
                    <c15:dlblFTEntry>
                      <c15:txfldGUID>{54789C63-B942-4F30-8735-BCC19C7B6200}</c15:txfldGUID>
                      <c15:f>Trajecto!$B$109</c15:f>
                      <c15:dlblFieldTableCache>
                        <c:ptCount val="1"/>
                        <c:pt idx="0">
                          <c:v>Fusée sous parachute</c:v>
                        </c:pt>
                      </c15:dlblFieldTableCache>
                    </c15:dlblFTEntry>
                  </c15:dlblFieldTable>
                  <c15:showDataLabelsRange val="0"/>
                </c:ext>
                <c:ext xmlns:c16="http://schemas.microsoft.com/office/drawing/2014/chart" uri="{C3380CC4-5D6E-409C-BE32-E72D297353CC}">
                  <c16:uniqueId val="{00000010-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Trajecto!$B$124:$B$130</c:f>
              <c:numCache>
                <c:formatCode>0</c:formatCode>
                <c:ptCount val="7"/>
                <c:pt idx="0">
                  <c:v>442.54015837711489</c:v>
                </c:pt>
                <c:pt idx="1">
                  <c:v>442.54015837711489</c:v>
                </c:pt>
                <c:pt idx="2">
                  <c:v>442.54015837711489</c:v>
                </c:pt>
                <c:pt idx="3">
                  <c:v>473.8146354978262</c:v>
                </c:pt>
                <c:pt idx="4">
                  <c:v>442.54015837711489</c:v>
                </c:pt>
                <c:pt idx="5">
                  <c:v>411.26568125640358</c:v>
                </c:pt>
                <c:pt idx="6">
                  <c:v>442.54015837711489</c:v>
                </c:pt>
              </c:numCache>
            </c:numRef>
          </c:xVal>
          <c:yVal>
            <c:numRef>
              <c:f>Trajecto!$C$124:$C$130</c:f>
              <c:numCache>
                <c:formatCode>0</c:formatCode>
                <c:ptCount val="7"/>
                <c:pt idx="0">
                  <c:v>1250.9790848284513</c:v>
                </c:pt>
                <c:pt idx="1">
                  <c:v>625.48954241422564</c:v>
                </c:pt>
                <c:pt idx="2">
                  <c:v>0</c:v>
                </c:pt>
                <c:pt idx="3">
                  <c:v>62.548954241422564</c:v>
                </c:pt>
                <c:pt idx="4">
                  <c:v>0</c:v>
                </c:pt>
                <c:pt idx="5">
                  <c:v>62.548954241422564</c:v>
                </c:pt>
                <c:pt idx="6" formatCode="General">
                  <c:v>0</c:v>
                </c:pt>
              </c:numCache>
            </c:numRef>
          </c:yVal>
          <c:smooth val="0"/>
          <c:extLst>
            <c:ext xmlns:c16="http://schemas.microsoft.com/office/drawing/2014/chart" uri="{C3380CC4-5D6E-409C-BE32-E72D297353CC}">
              <c16:uniqueId val="{00000011-432A-49A9-9499-7ED3E32DDB07}"/>
            </c:ext>
          </c:extLst>
        </c:ser>
        <c:dLbls>
          <c:showLegendKey val="0"/>
          <c:showVal val="0"/>
          <c:showCatName val="0"/>
          <c:showSerName val="0"/>
          <c:showPercent val="0"/>
          <c:showBubbleSize val="0"/>
        </c:dLbls>
        <c:axId val="148241024"/>
        <c:axId val="149054208"/>
      </c:scatterChart>
      <c:valAx>
        <c:axId val="148241024"/>
        <c:scaling>
          <c:orientation val="minMax"/>
          <c:min val="0"/>
        </c:scaling>
        <c:delete val="0"/>
        <c:axPos val="b"/>
        <c:majorGridlines>
          <c:spPr>
            <a:ln w="3175">
              <a:solidFill>
                <a:srgbClr val="000000"/>
              </a:solidFill>
              <a:prstDash val="sysDash"/>
            </a:ln>
          </c:spPr>
        </c:majorGridlines>
        <c:title>
          <c:tx>
            <c:strRef>
              <c:f>Trajecto!$B$112</c:f>
              <c:strCache>
                <c:ptCount val="1"/>
                <c:pt idx="0">
                  <c:v>Portée x [m]</c:v>
                </c:pt>
              </c:strCache>
            </c:strRef>
          </c:tx>
          <c:layout>
            <c:manualLayout>
              <c:xMode val="edge"/>
              <c:yMode val="edge"/>
              <c:x val="0.56464627732344286"/>
              <c:y val="0.84829693458129063"/>
            </c:manualLayout>
          </c:layout>
          <c:overlay val="0"/>
          <c:spPr>
            <a:solidFill>
              <a:srgbClr val="FFFFFF"/>
            </a:solidFill>
            <a:ln w="25400">
              <a:noFill/>
            </a:ln>
          </c:spPr>
          <c:txPr>
            <a:bodyPr/>
            <a:lstStyle/>
            <a:p>
              <a:pPr>
                <a:defRPr sz="800" b="1" i="0" u="none" strike="noStrike" baseline="0">
                  <a:solidFill>
                    <a:srgbClr val="0000FF"/>
                  </a:solidFill>
                  <a:latin typeface="Arial"/>
                  <a:ea typeface="Arial"/>
                  <a:cs typeface="Arial"/>
                </a:defRPr>
              </a:pPr>
              <a:endParaRPr lang="fr-FR"/>
            </a:p>
          </c:tx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9054208"/>
        <c:crosses val="autoZero"/>
        <c:crossBetween val="midCat"/>
      </c:valAx>
      <c:valAx>
        <c:axId val="149054208"/>
        <c:scaling>
          <c:orientation val="minMax"/>
          <c:min val="0"/>
        </c:scaling>
        <c:delete val="0"/>
        <c:axPos val="l"/>
        <c:majorGridlines>
          <c:spPr>
            <a:ln w="3175">
              <a:solidFill>
                <a:srgbClr val="000000"/>
              </a:solidFill>
              <a:prstDash val="sysDash"/>
            </a:ln>
          </c:spPr>
        </c:majorGridlines>
        <c:title>
          <c:tx>
            <c:rich>
              <a:bodyPr/>
              <a:lstStyle/>
              <a:p>
                <a:pPr>
                  <a:defRPr sz="800" b="1" i="0" u="none" strike="noStrike" baseline="0">
                    <a:solidFill>
                      <a:srgbClr val="0000FF"/>
                    </a:solidFill>
                    <a:latin typeface="Arial"/>
                    <a:ea typeface="Arial"/>
                    <a:cs typeface="Arial"/>
                  </a:defRPr>
                </a:pPr>
                <a:r>
                  <a:rPr lang="fr-FR"/>
                  <a:t>Altitude z [m]</a:t>
                </a:r>
              </a:p>
            </c:rich>
          </c:tx>
          <c:layout>
            <c:manualLayout>
              <c:xMode val="edge"/>
              <c:yMode val="edge"/>
              <c:x val="8.1818320007296413E-2"/>
              <c:y val="6.8111391736410315E-2"/>
            </c:manualLayout>
          </c:layout>
          <c:overlay val="0"/>
          <c:spPr>
            <a:noFill/>
            <a:ln w="25400">
              <a:noFill/>
            </a:ln>
          </c:sp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8241024"/>
        <c:crosses val="autoZero"/>
        <c:crossBetween val="midCat"/>
      </c:valAx>
      <c:spPr>
        <a:gradFill rotWithShape="0">
          <a:gsLst>
            <a:gs pos="0">
              <a:srgbClr val="99CCFF"/>
            </a:gs>
            <a:gs pos="100000">
              <a:srgbClr val="FFFFFF"/>
            </a:gs>
          </a:gsLst>
          <a:lin ang="5400000" scaled="1"/>
        </a:gradFill>
        <a:ln w="12700">
          <a:solidFill>
            <a:srgbClr val="808080"/>
          </a:solidFill>
          <a:prstDash val="solid"/>
        </a:ln>
      </c:spPr>
    </c:plotArea>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paperSize="9" firstPageNumber="0" orientation="landscape"/>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Trajecto!$B$114</c:f>
          <c:strCache>
            <c:ptCount val="1"/>
            <c:pt idx="0">
              <c:v>Altitude z  /  Temps</c:v>
            </c:pt>
          </c:strCache>
        </c:strRef>
      </c:tx>
      <c:layout>
        <c:manualLayout>
          <c:xMode val="edge"/>
          <c:yMode val="edge"/>
          <c:x val="0.57666688909649"/>
          <c:y val="3.7151818286865097E-2"/>
        </c:manualLayout>
      </c:layout>
      <c:overlay val="0"/>
      <c:spPr>
        <a:noFill/>
        <a:ln w="25400">
          <a:noFill/>
        </a:ln>
      </c:spPr>
      <c:txPr>
        <a:bodyPr/>
        <a:lstStyle/>
        <a:p>
          <a:pPr>
            <a:defRPr sz="800" b="1" i="0" u="none" strike="noStrike" baseline="0">
              <a:solidFill>
                <a:srgbClr val="0000FF"/>
              </a:solidFill>
              <a:latin typeface="Arial"/>
              <a:ea typeface="Arial"/>
              <a:cs typeface="Arial"/>
            </a:defRPr>
          </a:pPr>
          <a:endParaRPr lang="fr-FR"/>
        </a:p>
      </c:txPr>
    </c:title>
    <c:autoTitleDeleted val="0"/>
    <c:plotArea>
      <c:layout>
        <c:manualLayout>
          <c:layoutTarget val="inner"/>
          <c:xMode val="edge"/>
          <c:yMode val="edge"/>
          <c:x val="7.6666916233451413E-2"/>
          <c:y val="3.5608360198500402E-2"/>
          <c:w val="0.89333624132890843"/>
          <c:h val="0.89614373166225958"/>
        </c:manualLayout>
      </c:layout>
      <c:scatterChart>
        <c:scatterStyle val="lineMarker"/>
        <c:varyColors val="0"/>
        <c:ser>
          <c:idx val="4"/>
          <c:order val="0"/>
          <c:tx>
            <c:v>Point invisible pour mise à l'echelle</c:v>
          </c:tx>
          <c:spPr>
            <a:ln w="28575">
              <a:noFill/>
            </a:ln>
          </c:spPr>
          <c:marker>
            <c:symbol val="none"/>
          </c:marker>
          <c:xVal>
            <c:numLit>
              <c:formatCode>General</c:formatCode>
              <c:ptCount val="1"/>
              <c:pt idx="0">
                <c:v>0</c:v>
              </c:pt>
            </c:numLit>
          </c:xVal>
          <c:yVal>
            <c:numRef>
              <c:f>Trajecto!$B$121</c:f>
              <c:numCache>
                <c:formatCode>0</c:formatCode>
                <c:ptCount val="1"/>
                <c:pt idx="0">
                  <c:v>1251.5050472142614</c:v>
                </c:pt>
              </c:numCache>
            </c:numRef>
          </c:yVal>
          <c:smooth val="0"/>
          <c:extLst>
            <c:ext xmlns:c16="http://schemas.microsoft.com/office/drawing/2014/chart" uri="{C3380CC4-5D6E-409C-BE32-E72D297353CC}">
              <c16:uniqueId val="{00000000-4C7F-469F-ADED-1B0B28F452E1}"/>
            </c:ext>
          </c:extLst>
        </c:ser>
        <c:ser>
          <c:idx val="0"/>
          <c:order val="1"/>
          <c:tx>
            <c:v>1 point par seconde</c:v>
          </c:tx>
          <c:spPr>
            <a:ln w="28575">
              <a:noFill/>
            </a:ln>
          </c:spPr>
          <c:marker>
            <c:symbol val="plus"/>
            <c:size val="7"/>
            <c:spPr>
              <a:noFill/>
              <a:ln>
                <a:solidFill>
                  <a:srgbClr val="000000"/>
                </a:solidFill>
                <a:prstDash val="solid"/>
              </a:ln>
            </c:spPr>
          </c:marker>
          <c:xVal>
            <c:numRef>
              <c:f>Calculs!$AC$4:$AC$1004</c:f>
              <c:numCache>
                <c:formatCode>0</c:formatCode>
                <c:ptCount val="1001"/>
                <c:pt idx="0">
                  <c:v>0</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1.0000000000000007</c:v>
                </c:pt>
                <c:pt idx="101">
                  <c:v>#N/A</c:v>
                </c:pt>
                <c:pt idx="102">
                  <c:v>#N/A</c:v>
                </c:pt>
                <c:pt idx="103">
                  <c:v>#N/A</c:v>
                </c:pt>
                <c:pt idx="104">
                  <c:v>#N/A</c:v>
                </c:pt>
                <c:pt idx="105">
                  <c:v>#N/A</c:v>
                </c:pt>
                <c:pt idx="106">
                  <c:v>#N/A</c:v>
                </c:pt>
                <c:pt idx="107">
                  <c:v>#N/A</c:v>
                </c:pt>
                <c:pt idx="108">
                  <c:v>#N/A</c:v>
                </c:pt>
                <c:pt idx="109">
                  <c:v>#N/A</c:v>
                </c:pt>
                <c:pt idx="110">
                  <c:v>2.0000000000000013</c:v>
                </c:pt>
                <c:pt idx="111">
                  <c:v>#N/A</c:v>
                </c:pt>
                <c:pt idx="112">
                  <c:v>#N/A</c:v>
                </c:pt>
                <c:pt idx="113">
                  <c:v>#N/A</c:v>
                </c:pt>
                <c:pt idx="114">
                  <c:v>#N/A</c:v>
                </c:pt>
                <c:pt idx="115">
                  <c:v>#N/A</c:v>
                </c:pt>
                <c:pt idx="116">
                  <c:v>#N/A</c:v>
                </c:pt>
                <c:pt idx="117">
                  <c:v>#N/A</c:v>
                </c:pt>
                <c:pt idx="118">
                  <c:v>#N/A</c:v>
                </c:pt>
                <c:pt idx="119">
                  <c:v>#N/A</c:v>
                </c:pt>
                <c:pt idx="120">
                  <c:v>3.0000000000000022</c:v>
                </c:pt>
                <c:pt idx="121">
                  <c:v>#N/A</c:v>
                </c:pt>
                <c:pt idx="122">
                  <c:v>#N/A</c:v>
                </c:pt>
                <c:pt idx="123">
                  <c:v>#N/A</c:v>
                </c:pt>
                <c:pt idx="124">
                  <c:v>#N/A</c:v>
                </c:pt>
                <c:pt idx="125">
                  <c:v>#N/A</c:v>
                </c:pt>
                <c:pt idx="126">
                  <c:v>#N/A</c:v>
                </c:pt>
                <c:pt idx="127">
                  <c:v>#N/A</c:v>
                </c:pt>
                <c:pt idx="128">
                  <c:v>#N/A</c:v>
                </c:pt>
                <c:pt idx="129">
                  <c:v>#N/A</c:v>
                </c:pt>
                <c:pt idx="130">
                  <c:v>4.0000000000000027</c:v>
                </c:pt>
                <c:pt idx="131">
                  <c:v>#N/A</c:v>
                </c:pt>
                <c:pt idx="132">
                  <c:v>#N/A</c:v>
                </c:pt>
                <c:pt idx="133">
                  <c:v>#N/A</c:v>
                </c:pt>
                <c:pt idx="134">
                  <c:v>#N/A</c:v>
                </c:pt>
                <c:pt idx="135">
                  <c:v>#N/A</c:v>
                </c:pt>
                <c:pt idx="136">
                  <c:v>#N/A</c:v>
                </c:pt>
                <c:pt idx="137">
                  <c:v>#N/A</c:v>
                </c:pt>
                <c:pt idx="138">
                  <c:v>#N/A</c:v>
                </c:pt>
                <c:pt idx="139">
                  <c:v>#N/A</c:v>
                </c:pt>
                <c:pt idx="140">
                  <c:v>4.9999999999999991</c:v>
                </c:pt>
                <c:pt idx="141">
                  <c:v>#N/A</c:v>
                </c:pt>
                <c:pt idx="142">
                  <c:v>#N/A</c:v>
                </c:pt>
                <c:pt idx="143">
                  <c:v>#N/A</c:v>
                </c:pt>
                <c:pt idx="144">
                  <c:v>#N/A</c:v>
                </c:pt>
                <c:pt idx="145">
                  <c:v>#N/A</c:v>
                </c:pt>
                <c:pt idx="146">
                  <c:v>#N/A</c:v>
                </c:pt>
                <c:pt idx="147">
                  <c:v>#N/A</c:v>
                </c:pt>
                <c:pt idx="148">
                  <c:v>#N/A</c:v>
                </c:pt>
                <c:pt idx="149">
                  <c:v>#N/A</c:v>
                </c:pt>
                <c:pt idx="150">
                  <c:v>5.9999999999999956</c:v>
                </c:pt>
                <c:pt idx="151">
                  <c:v>#N/A</c:v>
                </c:pt>
                <c:pt idx="152">
                  <c:v>#N/A</c:v>
                </c:pt>
                <c:pt idx="153">
                  <c:v>#N/A</c:v>
                </c:pt>
                <c:pt idx="154">
                  <c:v>#N/A</c:v>
                </c:pt>
                <c:pt idx="155">
                  <c:v>#N/A</c:v>
                </c:pt>
                <c:pt idx="156">
                  <c:v>#N/A</c:v>
                </c:pt>
                <c:pt idx="157">
                  <c:v>#N/A</c:v>
                </c:pt>
                <c:pt idx="158">
                  <c:v>#N/A</c:v>
                </c:pt>
                <c:pt idx="159">
                  <c:v>#N/A</c:v>
                </c:pt>
                <c:pt idx="160">
                  <c:v>6.999999999999992</c:v>
                </c:pt>
                <c:pt idx="161">
                  <c:v>#N/A</c:v>
                </c:pt>
                <c:pt idx="162">
                  <c:v>#N/A</c:v>
                </c:pt>
                <c:pt idx="163">
                  <c:v>#N/A</c:v>
                </c:pt>
                <c:pt idx="164">
                  <c:v>#N/A</c:v>
                </c:pt>
                <c:pt idx="165">
                  <c:v>#N/A</c:v>
                </c:pt>
                <c:pt idx="166">
                  <c:v>#N/A</c:v>
                </c:pt>
                <c:pt idx="167">
                  <c:v>#N/A</c:v>
                </c:pt>
                <c:pt idx="168">
                  <c:v>#N/A</c:v>
                </c:pt>
                <c:pt idx="169">
                  <c:v>#N/A</c:v>
                </c:pt>
                <c:pt idx="170">
                  <c:v>7.9999999999999885</c:v>
                </c:pt>
                <c:pt idx="171">
                  <c:v>#N/A</c:v>
                </c:pt>
                <c:pt idx="172">
                  <c:v>#N/A</c:v>
                </c:pt>
                <c:pt idx="173">
                  <c:v>#N/A</c:v>
                </c:pt>
                <c:pt idx="174">
                  <c:v>#N/A</c:v>
                </c:pt>
                <c:pt idx="175">
                  <c:v>#N/A</c:v>
                </c:pt>
                <c:pt idx="176">
                  <c:v>#N/A</c:v>
                </c:pt>
                <c:pt idx="177">
                  <c:v>#N/A</c:v>
                </c:pt>
                <c:pt idx="178">
                  <c:v>#N/A</c:v>
                </c:pt>
                <c:pt idx="179">
                  <c:v>#N/A</c:v>
                </c:pt>
                <c:pt idx="180">
                  <c:v>8.9999999999999858</c:v>
                </c:pt>
                <c:pt idx="181">
                  <c:v>#N/A</c:v>
                </c:pt>
                <c:pt idx="182">
                  <c:v>#N/A</c:v>
                </c:pt>
                <c:pt idx="183">
                  <c:v>#N/A</c:v>
                </c:pt>
                <c:pt idx="184">
                  <c:v>#N/A</c:v>
                </c:pt>
                <c:pt idx="185">
                  <c:v>#N/A</c:v>
                </c:pt>
                <c:pt idx="186">
                  <c:v>#N/A</c:v>
                </c:pt>
                <c:pt idx="187">
                  <c:v>#N/A</c:v>
                </c:pt>
                <c:pt idx="188">
                  <c:v>#N/A</c:v>
                </c:pt>
                <c:pt idx="189">
                  <c:v>#N/A</c:v>
                </c:pt>
                <c:pt idx="190">
                  <c:v>9.9999999999999822</c:v>
                </c:pt>
                <c:pt idx="191">
                  <c:v>#N/A</c:v>
                </c:pt>
                <c:pt idx="192">
                  <c:v>#N/A</c:v>
                </c:pt>
                <c:pt idx="193">
                  <c:v>#N/A</c:v>
                </c:pt>
                <c:pt idx="194">
                  <c:v>#N/A</c:v>
                </c:pt>
                <c:pt idx="195">
                  <c:v>#N/A</c:v>
                </c:pt>
                <c:pt idx="196">
                  <c:v>#N/A</c:v>
                </c:pt>
                <c:pt idx="197">
                  <c:v>#N/A</c:v>
                </c:pt>
                <c:pt idx="198">
                  <c:v>#N/A</c:v>
                </c:pt>
                <c:pt idx="199">
                  <c:v>#N/A</c:v>
                </c:pt>
                <c:pt idx="200">
                  <c:v>10.999999999999979</c:v>
                </c:pt>
                <c:pt idx="201">
                  <c:v>#N/A</c:v>
                </c:pt>
                <c:pt idx="202">
                  <c:v>#N/A</c:v>
                </c:pt>
                <c:pt idx="203">
                  <c:v>#N/A</c:v>
                </c:pt>
                <c:pt idx="204">
                  <c:v>#N/A</c:v>
                </c:pt>
                <c:pt idx="205">
                  <c:v>#N/A</c:v>
                </c:pt>
                <c:pt idx="206">
                  <c:v>#N/A</c:v>
                </c:pt>
                <c:pt idx="207">
                  <c:v>#N/A</c:v>
                </c:pt>
                <c:pt idx="208">
                  <c:v>#N/A</c:v>
                </c:pt>
                <c:pt idx="209">
                  <c:v>#N/A</c:v>
                </c:pt>
                <c:pt idx="210">
                  <c:v>11.999999999999975</c:v>
                </c:pt>
                <c:pt idx="211">
                  <c:v>#N/A</c:v>
                </c:pt>
                <c:pt idx="212">
                  <c:v>#N/A</c:v>
                </c:pt>
                <c:pt idx="213">
                  <c:v>#N/A</c:v>
                </c:pt>
                <c:pt idx="214">
                  <c:v>#N/A</c:v>
                </c:pt>
                <c:pt idx="215">
                  <c:v>#N/A</c:v>
                </c:pt>
                <c:pt idx="216">
                  <c:v>#N/A</c:v>
                </c:pt>
                <c:pt idx="217">
                  <c:v>#N/A</c:v>
                </c:pt>
                <c:pt idx="218">
                  <c:v>#N/A</c:v>
                </c:pt>
                <c:pt idx="219">
                  <c:v>#N/A</c:v>
                </c:pt>
                <c:pt idx="220">
                  <c:v>12.999999999999972</c:v>
                </c:pt>
                <c:pt idx="221">
                  <c:v>#N/A</c:v>
                </c:pt>
                <c:pt idx="222">
                  <c:v>#N/A</c:v>
                </c:pt>
                <c:pt idx="223">
                  <c:v>#N/A</c:v>
                </c:pt>
                <c:pt idx="224">
                  <c:v>#N/A</c:v>
                </c:pt>
                <c:pt idx="225">
                  <c:v>#N/A</c:v>
                </c:pt>
                <c:pt idx="226">
                  <c:v>#N/A</c:v>
                </c:pt>
                <c:pt idx="227">
                  <c:v>#N/A</c:v>
                </c:pt>
                <c:pt idx="228">
                  <c:v>#N/A</c:v>
                </c:pt>
                <c:pt idx="229">
                  <c:v>#N/A</c:v>
                </c:pt>
                <c:pt idx="230">
                  <c:v>13.999999999999968</c:v>
                </c:pt>
                <c:pt idx="231">
                  <c:v>#N/A</c:v>
                </c:pt>
                <c:pt idx="232">
                  <c:v>#N/A</c:v>
                </c:pt>
                <c:pt idx="233">
                  <c:v>#N/A</c:v>
                </c:pt>
                <c:pt idx="234">
                  <c:v>#N/A</c:v>
                </c:pt>
                <c:pt idx="235">
                  <c:v>#N/A</c:v>
                </c:pt>
                <c:pt idx="236">
                  <c:v>#N/A</c:v>
                </c:pt>
                <c:pt idx="237">
                  <c:v>#N/A</c:v>
                </c:pt>
                <c:pt idx="238">
                  <c:v>#N/A</c:v>
                </c:pt>
                <c:pt idx="239">
                  <c:v>#N/A</c:v>
                </c:pt>
                <c:pt idx="240">
                  <c:v>14.999999999999964</c:v>
                </c:pt>
                <c:pt idx="241">
                  <c:v>#N/A</c:v>
                </c:pt>
                <c:pt idx="242">
                  <c:v>#N/A</c:v>
                </c:pt>
                <c:pt idx="243">
                  <c:v>#N/A</c:v>
                </c:pt>
                <c:pt idx="244">
                  <c:v>#N/A</c:v>
                </c:pt>
                <c:pt idx="245">
                  <c:v>#N/A</c:v>
                </c:pt>
                <c:pt idx="246">
                  <c:v>#N/A</c:v>
                </c:pt>
                <c:pt idx="247">
                  <c:v>#N/A</c:v>
                </c:pt>
                <c:pt idx="248">
                  <c:v>#N/A</c:v>
                </c:pt>
                <c:pt idx="249">
                  <c:v>#N/A</c:v>
                </c:pt>
                <c:pt idx="250">
                  <c:v>15.999999999999961</c:v>
                </c:pt>
                <c:pt idx="251">
                  <c:v>#N/A</c:v>
                </c:pt>
                <c:pt idx="252">
                  <c:v>#N/A</c:v>
                </c:pt>
                <c:pt idx="253">
                  <c:v>#N/A</c:v>
                </c:pt>
                <c:pt idx="254">
                  <c:v>#N/A</c:v>
                </c:pt>
                <c:pt idx="255">
                  <c:v>#N/A</c:v>
                </c:pt>
                <c:pt idx="256">
                  <c:v>#N/A</c:v>
                </c:pt>
                <c:pt idx="257">
                  <c:v>#N/A</c:v>
                </c:pt>
                <c:pt idx="258">
                  <c:v>#N/A</c:v>
                </c:pt>
                <c:pt idx="259">
                  <c:v>#N/A</c:v>
                </c:pt>
                <c:pt idx="260">
                  <c:v>16.999999999999975</c:v>
                </c:pt>
                <c:pt idx="261">
                  <c:v>#N/A</c:v>
                </c:pt>
                <c:pt idx="262">
                  <c:v>#N/A</c:v>
                </c:pt>
                <c:pt idx="263">
                  <c:v>#N/A</c:v>
                </c:pt>
                <c:pt idx="264">
                  <c:v>#N/A</c:v>
                </c:pt>
                <c:pt idx="265">
                  <c:v>#N/A</c:v>
                </c:pt>
                <c:pt idx="266">
                  <c:v>#N/A</c:v>
                </c:pt>
                <c:pt idx="267">
                  <c:v>#N/A</c:v>
                </c:pt>
                <c:pt idx="268">
                  <c:v>#N/A</c:v>
                </c:pt>
                <c:pt idx="269">
                  <c:v>#N/A</c:v>
                </c:pt>
                <c:pt idx="270">
                  <c:v>17.999999999999989</c:v>
                </c:pt>
                <c:pt idx="271">
                  <c:v>#N/A</c:v>
                </c:pt>
                <c:pt idx="272">
                  <c:v>#N/A</c:v>
                </c:pt>
                <c:pt idx="273">
                  <c:v>#N/A</c:v>
                </c:pt>
                <c:pt idx="274">
                  <c:v>#N/A</c:v>
                </c:pt>
                <c:pt idx="275">
                  <c:v>#N/A</c:v>
                </c:pt>
                <c:pt idx="276">
                  <c:v>#N/A</c:v>
                </c:pt>
                <c:pt idx="277">
                  <c:v>#N/A</c:v>
                </c:pt>
                <c:pt idx="278">
                  <c:v>#N/A</c:v>
                </c:pt>
                <c:pt idx="279">
                  <c:v>#N/A</c:v>
                </c:pt>
                <c:pt idx="280">
                  <c:v>19.000000000000004</c:v>
                </c:pt>
                <c:pt idx="281">
                  <c:v>#N/A</c:v>
                </c:pt>
                <c:pt idx="282">
                  <c:v>#N/A</c:v>
                </c:pt>
                <c:pt idx="283">
                  <c:v>#N/A</c:v>
                </c:pt>
                <c:pt idx="284">
                  <c:v>#N/A</c:v>
                </c:pt>
                <c:pt idx="285">
                  <c:v>#N/A</c:v>
                </c:pt>
                <c:pt idx="286">
                  <c:v>#N/A</c:v>
                </c:pt>
                <c:pt idx="287">
                  <c:v>#N/A</c:v>
                </c:pt>
                <c:pt idx="288">
                  <c:v>#N/A</c:v>
                </c:pt>
                <c:pt idx="289">
                  <c:v>#N/A</c:v>
                </c:pt>
                <c:pt idx="290">
                  <c:v>20.000000000000018</c:v>
                </c:pt>
                <c:pt idx="291">
                  <c:v>#N/A</c:v>
                </c:pt>
                <c:pt idx="292">
                  <c:v>#N/A</c:v>
                </c:pt>
                <c:pt idx="293">
                  <c:v>#N/A</c:v>
                </c:pt>
                <c:pt idx="294">
                  <c:v>#N/A</c:v>
                </c:pt>
                <c:pt idx="295">
                  <c:v>#N/A</c:v>
                </c:pt>
                <c:pt idx="296">
                  <c:v>#N/A</c:v>
                </c:pt>
                <c:pt idx="297">
                  <c:v>#N/A</c:v>
                </c:pt>
                <c:pt idx="298">
                  <c:v>#N/A</c:v>
                </c:pt>
                <c:pt idx="299">
                  <c:v>#N/A</c:v>
                </c:pt>
                <c:pt idx="300">
                  <c:v>21.000000000000032</c:v>
                </c:pt>
                <c:pt idx="301">
                  <c:v>#N/A</c:v>
                </c:pt>
                <c:pt idx="302">
                  <c:v>#N/A</c:v>
                </c:pt>
                <c:pt idx="303">
                  <c:v>#N/A</c:v>
                </c:pt>
                <c:pt idx="304">
                  <c:v>#N/A</c:v>
                </c:pt>
                <c:pt idx="305">
                  <c:v>#N/A</c:v>
                </c:pt>
                <c:pt idx="306">
                  <c:v>#N/A</c:v>
                </c:pt>
                <c:pt idx="307">
                  <c:v>#N/A</c:v>
                </c:pt>
                <c:pt idx="308">
                  <c:v>#N/A</c:v>
                </c:pt>
                <c:pt idx="309">
                  <c:v>#N/A</c:v>
                </c:pt>
                <c:pt idx="310">
                  <c:v>22.000000000000046</c:v>
                </c:pt>
                <c:pt idx="311">
                  <c:v>#N/A</c:v>
                </c:pt>
                <c:pt idx="312">
                  <c:v>#N/A</c:v>
                </c:pt>
                <c:pt idx="313">
                  <c:v>#N/A</c:v>
                </c:pt>
                <c:pt idx="314">
                  <c:v>#N/A</c:v>
                </c:pt>
                <c:pt idx="315">
                  <c:v>#N/A</c:v>
                </c:pt>
                <c:pt idx="316">
                  <c:v>#N/A</c:v>
                </c:pt>
                <c:pt idx="317">
                  <c:v>#N/A</c:v>
                </c:pt>
                <c:pt idx="318">
                  <c:v>#N/A</c:v>
                </c:pt>
                <c:pt idx="319">
                  <c:v>#N/A</c:v>
                </c:pt>
                <c:pt idx="320">
                  <c:v>23.00000000000006</c:v>
                </c:pt>
                <c:pt idx="321">
                  <c:v>#N/A</c:v>
                </c:pt>
                <c:pt idx="322">
                  <c:v>#N/A</c:v>
                </c:pt>
                <c:pt idx="323">
                  <c:v>#N/A</c:v>
                </c:pt>
                <c:pt idx="324">
                  <c:v>#N/A</c:v>
                </c:pt>
                <c:pt idx="325">
                  <c:v>#N/A</c:v>
                </c:pt>
                <c:pt idx="326">
                  <c:v>#N/A</c:v>
                </c:pt>
                <c:pt idx="327">
                  <c:v>#N/A</c:v>
                </c:pt>
                <c:pt idx="328">
                  <c:v>#N/A</c:v>
                </c:pt>
                <c:pt idx="329">
                  <c:v>#N/A</c:v>
                </c:pt>
                <c:pt idx="330">
                  <c:v>24.000000000000075</c:v>
                </c:pt>
                <c:pt idx="331">
                  <c:v>#N/A</c:v>
                </c:pt>
                <c:pt idx="332">
                  <c:v>#N/A</c:v>
                </c:pt>
                <c:pt idx="333">
                  <c:v>#N/A</c:v>
                </c:pt>
                <c:pt idx="334">
                  <c:v>#N/A</c:v>
                </c:pt>
                <c:pt idx="335">
                  <c:v>#N/A</c:v>
                </c:pt>
                <c:pt idx="336">
                  <c:v>#N/A</c:v>
                </c:pt>
                <c:pt idx="337">
                  <c:v>#N/A</c:v>
                </c:pt>
                <c:pt idx="338">
                  <c:v>#N/A</c:v>
                </c:pt>
                <c:pt idx="339">
                  <c:v>#N/A</c:v>
                </c:pt>
                <c:pt idx="340">
                  <c:v>25.000000000000089</c:v>
                </c:pt>
                <c:pt idx="341">
                  <c:v>#N/A</c:v>
                </c:pt>
                <c:pt idx="342">
                  <c:v>#N/A</c:v>
                </c:pt>
                <c:pt idx="343">
                  <c:v>#N/A</c:v>
                </c:pt>
                <c:pt idx="344">
                  <c:v>#N/A</c:v>
                </c:pt>
                <c:pt idx="345">
                  <c:v>#N/A</c:v>
                </c:pt>
                <c:pt idx="346">
                  <c:v>#N/A</c:v>
                </c:pt>
                <c:pt idx="347">
                  <c:v>#N/A</c:v>
                </c:pt>
                <c:pt idx="348">
                  <c:v>#N/A</c:v>
                </c:pt>
                <c:pt idx="349">
                  <c:v>#N/A</c:v>
                </c:pt>
                <c:pt idx="350">
                  <c:v>26.000000000000103</c:v>
                </c:pt>
                <c:pt idx="351">
                  <c:v>#N/A</c:v>
                </c:pt>
                <c:pt idx="352">
                  <c:v>#N/A</c:v>
                </c:pt>
                <c:pt idx="353">
                  <c:v>#N/A</c:v>
                </c:pt>
                <c:pt idx="354">
                  <c:v>#N/A</c:v>
                </c:pt>
                <c:pt idx="355">
                  <c:v>#N/A</c:v>
                </c:pt>
                <c:pt idx="356">
                  <c:v>#N/A</c:v>
                </c:pt>
                <c:pt idx="357">
                  <c:v>#N/A</c:v>
                </c:pt>
                <c:pt idx="358">
                  <c:v>#N/A</c:v>
                </c:pt>
                <c:pt idx="359">
                  <c:v>#N/A</c:v>
                </c:pt>
                <c:pt idx="360">
                  <c:v>27.000000000000117</c:v>
                </c:pt>
                <c:pt idx="361">
                  <c:v>#N/A</c:v>
                </c:pt>
                <c:pt idx="362">
                  <c:v>#N/A</c:v>
                </c:pt>
                <c:pt idx="363">
                  <c:v>#N/A</c:v>
                </c:pt>
                <c:pt idx="364">
                  <c:v>#N/A</c:v>
                </c:pt>
                <c:pt idx="365">
                  <c:v>#N/A</c:v>
                </c:pt>
                <c:pt idx="366">
                  <c:v>#N/A</c:v>
                </c:pt>
                <c:pt idx="367">
                  <c:v>#N/A</c:v>
                </c:pt>
                <c:pt idx="368">
                  <c:v>#N/A</c:v>
                </c:pt>
                <c:pt idx="369">
                  <c:v>#N/A</c:v>
                </c:pt>
                <c:pt idx="370">
                  <c:v>28.000000000000131</c:v>
                </c:pt>
                <c:pt idx="371">
                  <c:v>#N/A</c:v>
                </c:pt>
                <c:pt idx="372">
                  <c:v>#N/A</c:v>
                </c:pt>
                <c:pt idx="373">
                  <c:v>#N/A</c:v>
                </c:pt>
                <c:pt idx="374">
                  <c:v>#N/A</c:v>
                </c:pt>
                <c:pt idx="375">
                  <c:v>#N/A</c:v>
                </c:pt>
                <c:pt idx="376">
                  <c:v>#N/A</c:v>
                </c:pt>
                <c:pt idx="377">
                  <c:v>#N/A</c:v>
                </c:pt>
                <c:pt idx="378">
                  <c:v>#N/A</c:v>
                </c:pt>
                <c:pt idx="379">
                  <c:v>#N/A</c:v>
                </c:pt>
                <c:pt idx="380">
                  <c:v>29.000000000000146</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xVal>
          <c:yVal>
            <c:numRef>
              <c:f>Calculs!$K$4:$K$1004</c:f>
              <c:numCache>
                <c:formatCode>0.00</c:formatCode>
                <c:ptCount val="1001"/>
                <c:pt idx="0">
                  <c:v>574.95818926659933</c:v>
                </c:pt>
                <c:pt idx="1">
                  <c:v>576.4607643084081</c:v>
                </c:pt>
                <c:pt idx="2">
                  <c:v>577.96072910699593</c:v>
                </c:pt>
                <c:pt idx="3">
                  <c:v>579.45808951357935</c:v>
                </c:pt>
                <c:pt idx="4">
                  <c:v>580.95285135471443</c:v>
                </c:pt>
                <c:pt idx="5">
                  <c:v>582.44502043243335</c:v>
                </c:pt>
                <c:pt idx="6">
                  <c:v>583.93460252438092</c:v>
                </c:pt>
                <c:pt idx="7">
                  <c:v>585.42160338394922</c:v>
                </c:pt>
                <c:pt idx="8">
                  <c:v>586.90602874041213</c:v>
                </c:pt>
                <c:pt idx="9">
                  <c:v>588.38788429905833</c:v>
                </c:pt>
                <c:pt idx="10">
                  <c:v>589.86717574132354</c:v>
                </c:pt>
                <c:pt idx="11">
                  <c:v>591.34390871555877</c:v>
                </c:pt>
                <c:pt idx="12">
                  <c:v>592.81808882797088</c:v>
                </c:pt>
                <c:pt idx="13">
                  <c:v>594.28972165246091</c:v>
                </c:pt>
                <c:pt idx="14">
                  <c:v>595.75881274028313</c:v>
                </c:pt>
                <c:pt idx="15">
                  <c:v>597.22536762016443</c:v>
                </c:pt>
                <c:pt idx="16">
                  <c:v>598.68939179842289</c:v>
                </c:pt>
                <c:pt idx="17">
                  <c:v>600.15089075908588</c:v>
                </c:pt>
                <c:pt idx="18">
                  <c:v>601.60986996400663</c:v>
                </c:pt>
                <c:pt idx="19">
                  <c:v>603.06633485298096</c:v>
                </c:pt>
                <c:pt idx="20">
                  <c:v>604.52029084386231</c:v>
                </c:pt>
                <c:pt idx="21">
                  <c:v>605.97174333735904</c:v>
                </c:pt>
                <c:pt idx="22">
                  <c:v>607.42069772174682</c:v>
                </c:pt>
                <c:pt idx="23">
                  <c:v>608.86715936813198</c:v>
                </c:pt>
                <c:pt idx="24">
                  <c:v>610.31113362580095</c:v>
                </c:pt>
                <c:pt idx="25">
                  <c:v>611.75262582233609</c:v>
                </c:pt>
                <c:pt idx="26">
                  <c:v>613.19164126373039</c:v>
                </c:pt>
                <c:pt idx="27">
                  <c:v>614.62818523450153</c:v>
                </c:pt>
                <c:pt idx="28">
                  <c:v>616.06226299780565</c:v>
                </c:pt>
                <c:pt idx="29">
                  <c:v>617.49387979554967</c:v>
                </c:pt>
                <c:pt idx="30">
                  <c:v>618.92304084850332</c:v>
                </c:pt>
                <c:pt idx="31">
                  <c:v>620.34975135641002</c:v>
                </c:pt>
                <c:pt idx="32">
                  <c:v>621.77401649809769</c:v>
                </c:pt>
                <c:pt idx="33">
                  <c:v>623.19584143158795</c:v>
                </c:pt>
                <c:pt idx="34">
                  <c:v>624.6152312942055</c:v>
                </c:pt>
                <c:pt idx="35">
                  <c:v>626.03219120268602</c:v>
                </c:pt>
                <c:pt idx="36">
                  <c:v>627.44672625328383</c:v>
                </c:pt>
                <c:pt idx="37">
                  <c:v>628.8588415218785</c:v>
                </c:pt>
                <c:pt idx="38">
                  <c:v>630.26854206408109</c:v>
                </c:pt>
                <c:pt idx="39">
                  <c:v>631.67583291533936</c:v>
                </c:pt>
                <c:pt idx="40">
                  <c:v>633.08071909104274</c:v>
                </c:pt>
                <c:pt idx="41">
                  <c:v>634.48320558662613</c:v>
                </c:pt>
                <c:pt idx="42">
                  <c:v>635.8832973776731</c:v>
                </c:pt>
                <c:pt idx="43">
                  <c:v>637.2809994200187</c:v>
                </c:pt>
                <c:pt idx="44">
                  <c:v>638.6763166498514</c:v>
                </c:pt>
                <c:pt idx="45">
                  <c:v>640.06925398381429</c:v>
                </c:pt>
                <c:pt idx="46">
                  <c:v>641.45981631910593</c:v>
                </c:pt>
                <c:pt idx="47">
                  <c:v>642.84800853358001</c:v>
                </c:pt>
                <c:pt idx="48">
                  <c:v>644.23383548584502</c:v>
                </c:pt>
                <c:pt idx="49">
                  <c:v>645.61730201536272</c:v>
                </c:pt>
                <c:pt idx="50">
                  <c:v>646.998412942546</c:v>
                </c:pt>
                <c:pt idx="51">
                  <c:v>648.37717306885679</c:v>
                </c:pt>
                <c:pt idx="52">
                  <c:v>649.75358717690233</c:v>
                </c:pt>
                <c:pt idx="53">
                  <c:v>651.12766003053162</c:v>
                </c:pt>
                <c:pt idx="54">
                  <c:v>652.49939637493071</c:v>
                </c:pt>
                <c:pt idx="55">
                  <c:v>653.86880093671789</c:v>
                </c:pt>
                <c:pt idx="56">
                  <c:v>655.23587842403765</c:v>
                </c:pt>
                <c:pt idx="57">
                  <c:v>656.60063352665475</c:v>
                </c:pt>
                <c:pt idx="58">
                  <c:v>657.96307091604695</c:v>
                </c:pt>
                <c:pt idx="59">
                  <c:v>659.32319524549769</c:v>
                </c:pt>
                <c:pt idx="60">
                  <c:v>660.68101115018783</c:v>
                </c:pt>
                <c:pt idx="61">
                  <c:v>662.03652324728705</c:v>
                </c:pt>
                <c:pt idx="62">
                  <c:v>663.3897361360448</c:v>
                </c:pt>
                <c:pt idx="63">
                  <c:v>664.74065439787989</c:v>
                </c:pt>
                <c:pt idx="64">
                  <c:v>666.08928259647064</c:v>
                </c:pt>
                <c:pt idx="65">
                  <c:v>667.43562527784343</c:v>
                </c:pt>
                <c:pt idx="66">
                  <c:v>668.7796869704614</c:v>
                </c:pt>
                <c:pt idx="67">
                  <c:v>670.12147218531209</c:v>
                </c:pt>
                <c:pt idx="68">
                  <c:v>671.46098541599486</c:v>
                </c:pt>
                <c:pt idx="69">
                  <c:v>672.79823113880786</c:v>
                </c:pt>
                <c:pt idx="70">
                  <c:v>674.13321381283379</c:v>
                </c:pt>
                <c:pt idx="71">
                  <c:v>675.46593788002588</c:v>
                </c:pt>
                <c:pt idx="72">
                  <c:v>676.796407765293</c:v>
                </c:pt>
                <c:pt idx="73">
                  <c:v>678.12462787658399</c:v>
                </c:pt>
                <c:pt idx="74">
                  <c:v>679.45060260497189</c:v>
                </c:pt>
                <c:pt idx="75">
                  <c:v>680.77433632473753</c:v>
                </c:pt>
                <c:pt idx="76">
                  <c:v>682.09583339345238</c:v>
                </c:pt>
                <c:pt idx="77">
                  <c:v>683.41509815206109</c:v>
                </c:pt>
                <c:pt idx="78">
                  <c:v>684.73213492496325</c:v>
                </c:pt>
                <c:pt idx="79">
                  <c:v>686.04694802009521</c:v>
                </c:pt>
                <c:pt idx="80">
                  <c:v>687.35954172901086</c:v>
                </c:pt>
                <c:pt idx="81">
                  <c:v>688.66992032696169</c:v>
                </c:pt>
                <c:pt idx="82">
                  <c:v>689.97808807297724</c:v>
                </c:pt>
                <c:pt idx="83">
                  <c:v>691.28404920994433</c:v>
                </c:pt>
                <c:pt idx="84">
                  <c:v>692.58780796468591</c:v>
                </c:pt>
                <c:pt idx="85">
                  <c:v>693.88936854803956</c:v>
                </c:pt>
                <c:pt idx="86">
                  <c:v>695.18873515493533</c:v>
                </c:pt>
                <c:pt idx="87">
                  <c:v>696.48591196447353</c:v>
                </c:pt>
                <c:pt idx="88">
                  <c:v>697.78090314000133</c:v>
                </c:pt>
                <c:pt idx="89">
                  <c:v>699.07371282918962</c:v>
                </c:pt>
                <c:pt idx="90">
                  <c:v>700.36434516410873</c:v>
                </c:pt>
                <c:pt idx="91">
                  <c:v>701.65280426130437</c:v>
                </c:pt>
                <c:pt idx="92">
                  <c:v>702.93909422187232</c:v>
                </c:pt>
                <c:pt idx="93">
                  <c:v>704.22321913153348</c:v>
                </c:pt>
                <c:pt idx="94">
                  <c:v>705.50518306070762</c:v>
                </c:pt>
                <c:pt idx="95">
                  <c:v>706.78499006458765</c:v>
                </c:pt>
                <c:pt idx="96">
                  <c:v>708.06264418321234</c:v>
                </c:pt>
                <c:pt idx="97">
                  <c:v>709.3381494415396</c:v>
                </c:pt>
                <c:pt idx="98">
                  <c:v>710.6115098495186</c:v>
                </c:pt>
                <c:pt idx="99">
                  <c:v>711.88272940216177</c:v>
                </c:pt>
                <c:pt idx="100">
                  <c:v>713.15181207961643</c:v>
                </c:pt>
                <c:pt idx="101">
                  <c:v>725.72541786762235</c:v>
                </c:pt>
                <c:pt idx="102">
                  <c:v>738.08788525748264</c:v>
                </c:pt>
                <c:pt idx="103">
                  <c:v>750.2430521902437</c:v>
                </c:pt>
                <c:pt idx="104">
                  <c:v>762.1946170601999</c:v>
                </c:pt>
                <c:pt idx="105">
                  <c:v>773.94614515619912</c:v>
                </c:pt>
                <c:pt idx="106">
                  <c:v>785.50107472710852</c:v>
                </c:pt>
                <c:pt idx="107">
                  <c:v>796.8627226974711</c:v>
                </c:pt>
                <c:pt idx="108">
                  <c:v>808.03429005729367</c:v>
                </c:pt>
                <c:pt idx="109">
                  <c:v>819.01886694800919</c:v>
                </c:pt>
                <c:pt idx="110">
                  <c:v>829.81943746492709</c:v>
                </c:pt>
                <c:pt idx="111">
                  <c:v>840.43888419490906</c:v>
                </c:pt>
                <c:pt idx="112">
                  <c:v>850.87999250657367</c:v>
                </c:pt>
                <c:pt idx="113">
                  <c:v>861.14545460901888</c:v>
                </c:pt>
                <c:pt idx="114">
                  <c:v>871.2378733938541</c:v>
                </c:pt>
                <c:pt idx="115">
                  <c:v>881.15976607423579</c:v>
                </c:pt>
                <c:pt idx="116">
                  <c:v>890.91356763359624</c:v>
                </c:pt>
                <c:pt idx="117">
                  <c:v>900.50163409583297</c:v>
                </c:pt>
                <c:pt idx="118">
                  <c:v>909.92624562788183</c:v>
                </c:pt>
                <c:pt idx="119">
                  <c:v>919.18960948482049</c:v>
                </c:pt>
                <c:pt idx="120">
                  <c:v>928.29386280693427</c:v>
                </c:pt>
                <c:pt idx="121">
                  <c:v>937.24107527751994</c:v>
                </c:pt>
                <c:pt idx="122">
                  <c:v>946.0332516495987</c:v>
                </c:pt>
                <c:pt idx="123">
                  <c:v>954.67233414915154</c:v>
                </c:pt>
                <c:pt idx="124">
                  <c:v>963.16020476197571</c:v>
                </c:pt>
                <c:pt idx="125">
                  <c:v>971.49868741078672</c:v>
                </c:pt>
                <c:pt idx="126">
                  <c:v>979.689550028751</c:v>
                </c:pt>
                <c:pt idx="127">
                  <c:v>987.73450653522946</c:v>
                </c:pt>
                <c:pt idx="128">
                  <c:v>995.63521871913645</c:v>
                </c:pt>
                <c:pt idx="129">
                  <c:v>1003.3932980349711</c:v>
                </c:pt>
                <c:pt idx="130">
                  <c:v>1011.0103073162556</c:v>
                </c:pt>
                <c:pt idx="131">
                  <c:v>1018.4877624108186</c:v>
                </c:pt>
                <c:pt idx="132">
                  <c:v>1025.8271337420806</c:v>
                </c:pt>
                <c:pt idx="133">
                  <c:v>1033.0298478002455</c:v>
                </c:pt>
                <c:pt idx="134">
                  <c:v>1040.0972885670628</c:v>
                </c:pt>
                <c:pt idx="135">
                  <c:v>1047.0307988775985</c:v>
                </c:pt>
                <c:pt idx="136">
                  <c:v>1053.8316817222535</c:v>
                </c:pt>
                <c:pt idx="137">
                  <c:v>1060.5012014920705</c:v>
                </c:pt>
                <c:pt idx="138">
                  <c:v>1067.040585170196</c:v>
                </c:pt>
                <c:pt idx="139">
                  <c:v>1073.451023472192</c:v>
                </c:pt>
                <c:pt idx="140">
                  <c:v>1079.7336719377458</c:v>
                </c:pt>
                <c:pt idx="141">
                  <c:v>1085.8896519761738</c:v>
                </c:pt>
                <c:pt idx="142">
                  <c:v>1091.9200518679845</c:v>
                </c:pt>
                <c:pt idx="143">
                  <c:v>1097.825927724643</c:v>
                </c:pt>
                <c:pt idx="144">
                  <c:v>1103.6083044085585</c:v>
                </c:pt>
                <c:pt idx="145">
                  <c:v>1109.2681764152117</c:v>
                </c:pt>
                <c:pt idx="146">
                  <c:v>1114.8065087192344</c:v>
                </c:pt>
                <c:pt idx="147">
                  <c:v>1120.2242375861679</c:v>
                </c:pt>
                <c:pt idx="148">
                  <c:v>1125.5222713515259</c:v>
                </c:pt>
                <c:pt idx="149">
                  <c:v>1130.7014911687254</c:v>
                </c:pt>
                <c:pt idx="150">
                  <c:v>1135.7627517273568</c:v>
                </c:pt>
                <c:pt idx="151">
                  <c:v>1140.7068819432088</c:v>
                </c:pt>
                <c:pt idx="152">
                  <c:v>1145.5346856213951</c:v>
                </c:pt>
                <c:pt idx="153">
                  <c:v>1150.2469420938705</c:v>
                </c:pt>
                <c:pt idx="154">
                  <c:v>1154.8444068325782</c:v>
                </c:pt>
                <c:pt idx="155">
                  <c:v>1159.3278120394136</c:v>
                </c:pt>
                <c:pt idx="156">
                  <c:v>1163.6978672141579</c:v>
                </c:pt>
                <c:pt idx="157">
                  <c:v>1167.9552597014863</c:v>
                </c:pt>
                <c:pt idx="158">
                  <c:v>1172.100655218135</c:v>
                </c:pt>
                <c:pt idx="159">
                  <c:v>1176.1346983612727</c:v>
                </c:pt>
                <c:pt idx="160">
                  <c:v>1180.0580130991107</c:v>
                </c:pt>
                <c:pt idx="161">
                  <c:v>1183.8712032447586</c:v>
                </c:pt>
                <c:pt idx="162">
                  <c:v>1187.574852914332</c:v>
                </c:pt>
                <c:pt idx="163">
                  <c:v>1191.1695269703032</c:v>
                </c:pt>
                <c:pt idx="164">
                  <c:v>1194.6557714510941</c:v>
                </c:pt>
                <c:pt idx="165">
                  <c:v>1198.0341139879129</c:v>
                </c:pt>
                <c:pt idx="166">
                  <c:v>1201.3050642098508</c:v>
                </c:pt>
                <c:pt idx="167">
                  <c:v>1204.469114138278</c:v>
                </c:pt>
                <c:pt idx="168">
                  <c:v>1207.5267385716029</c:v>
                </c:pt>
                <c:pt idx="169">
                  <c:v>1210.4783954614975</c:v>
                </c:pt>
                <c:pt idx="170">
                  <c:v>1213.3245262817375</c:v>
                </c:pt>
                <c:pt idx="171">
                  <c:v>1216.0655563908572</c:v>
                </c:pt>
                <c:pt idx="172">
                  <c:v>1218.7018953898848</c:v>
                </c:pt>
                <c:pt idx="173">
                  <c:v>1221.2339374764977</c:v>
                </c:pt>
                <c:pt idx="174">
                  <c:v>1223.6620617970166</c:v>
                </c:pt>
                <c:pt idx="175">
                  <c:v>1225.986632797755</c:v>
                </c:pt>
                <c:pt idx="176">
                  <c:v>1228.2080005773382</c:v>
                </c:pt>
                <c:pt idx="177">
                  <c:v>1230.3265012417176</c:v>
                </c:pt>
                <c:pt idx="178">
                  <c:v>1232.3424572637227</c:v>
                </c:pt>
                <c:pt idx="179">
                  <c:v>1234.2561778491124</c:v>
                </c:pt>
                <c:pt idx="180">
                  <c:v>1236.0679593112077</c:v>
                </c:pt>
                <c:pt idx="181">
                  <c:v>1237.7780854563041</c:v>
                </c:pt>
                <c:pt idx="182">
                  <c:v>1239.3868279821681</c:v>
                </c:pt>
                <c:pt idx="183">
                  <c:v>1240.894446892004</c:v>
                </c:pt>
                <c:pt idx="184">
                  <c:v>1242.30119092634</c:v>
                </c:pt>
                <c:pt idx="185">
                  <c:v>1243.607298015294</c:v>
                </c:pt>
                <c:pt idx="186">
                  <c:v>1244.8129957536416</c:v>
                </c:pt>
                <c:pt idx="187">
                  <c:v>1245.9185019010076</c:v>
                </c:pt>
                <c:pt idx="188">
                  <c:v>1246.9240249093009</c:v>
                </c:pt>
                <c:pt idx="189">
                  <c:v>1247.8297644792301</c:v>
                </c:pt>
                <c:pt idx="190">
                  <c:v>1248.6359121473317</c:v>
                </c:pt>
                <c:pt idx="191">
                  <c:v>1249.3426519044181</c:v>
                </c:pt>
                <c:pt idx="192">
                  <c:v>1249.9501608457081</c:v>
                </c:pt>
                <c:pt idx="193">
                  <c:v>1250.4586098521379</c:v>
                </c:pt>
                <c:pt idx="194">
                  <c:v>1250.8681643014875</c:v>
                </c:pt>
                <c:pt idx="195">
                  <c:v>1251.1789848070164</c:v>
                </c:pt>
                <c:pt idx="196">
                  <c:v>1251.3912279803328</c:v>
                </c:pt>
                <c:pt idx="197">
                  <c:v>1251.5050472142614</c:v>
                </c:pt>
                <c:pt idx="198">
                  <c:v>1251.5205934805861</c:v>
                </c:pt>
                <c:pt idx="199">
                  <c:v>1251.4380161367837</c:v>
                </c:pt>
                <c:pt idx="200">
                  <c:v>1251.2574637352866</c:v>
                </c:pt>
                <c:pt idx="201">
                  <c:v>1250.9790848284513</c:v>
                </c:pt>
                <c:pt idx="202">
                  <c:v>1250.6030287623121</c:v>
                </c:pt>
                <c:pt idx="203">
                  <c:v>1250.1294464523469</c:v>
                </c:pt>
                <c:pt idx="204">
                  <c:v>1249.5584911348919</c:v>
                </c:pt>
                <c:pt idx="205">
                  <c:v>1248.8903190884614</c:v>
                </c:pt>
                <c:pt idx="206">
                  <c:v>1248.1250903200237</c:v>
                </c:pt>
                <c:pt idx="207">
                  <c:v>1247.2629692121948</c:v>
                </c:pt>
                <c:pt idx="208">
                  <c:v>1246.304125128288</c:v>
                </c:pt>
                <c:pt idx="209">
                  <c:v>1245.2487329731259</c:v>
                </c:pt>
                <c:pt idx="210">
                  <c:v>1244.0969737084629</c:v>
                </c:pt>
                <c:pt idx="211">
                  <c:v>1242.8490348227042</c:v>
                </c:pt>
                <c:pt idx="212">
                  <c:v>1241.5051107553631</c:v>
                </c:pt>
                <c:pt idx="213">
                  <c:v>1240.0654032773039</c:v>
                </c:pt>
                <c:pt idx="214">
                  <c:v>1238.5301218283196</c:v>
                </c:pt>
                <c:pt idx="215">
                  <c:v>1236.8994838139611</c:v>
                </c:pt>
                <c:pt idx="216">
                  <c:v>1235.1737148637885</c:v>
                </c:pt>
                <c:pt idx="217">
                  <c:v>1233.3530490533772</c:v>
                </c:pt>
                <c:pt idx="218">
                  <c:v>1231.4377290924838</c:v>
                </c:pt>
                <c:pt idx="219">
                  <c:v>1229.4280064817851</c:v>
                </c:pt>
                <c:pt idx="220">
                  <c:v>1227.3241416405558</c:v>
                </c:pt>
                <c:pt idx="221">
                  <c:v>1225.1264040075689</c:v>
                </c:pt>
                <c:pt idx="222">
                  <c:v>1222.8350721173897</c:v>
                </c:pt>
                <c:pt idx="223">
                  <c:v>1220.4504336541058</c:v>
                </c:pt>
                <c:pt idx="224">
                  <c:v>1217.9727854843968</c:v>
                </c:pt>
                <c:pt idx="225">
                  <c:v>1215.4024336717055</c:v>
                </c:pt>
                <c:pt idx="226">
                  <c:v>1212.7396934731328</c:v>
                </c:pt>
                <c:pt idx="227">
                  <c:v>1209.9848893205415</c:v>
                </c:pt>
                <c:pt idx="228">
                  <c:v>1207.1383547872249</c:v>
                </c:pt>
                <c:pt idx="229">
                  <c:v>1204.2004325413748</c:v>
                </c:pt>
                <c:pt idx="230">
                  <c:v>1201.1714742874713</c:v>
                </c:pt>
                <c:pt idx="231">
                  <c:v>1198.0518406966148</c:v>
                </c:pt>
                <c:pt idx="232">
                  <c:v>1194.8419013267237</c:v>
                </c:pt>
                <c:pt idx="233">
                  <c:v>1191.5420345334394</c:v>
                </c:pt>
                <c:pt idx="234">
                  <c:v>1188.1526273725015</c:v>
                </c:pt>
                <c:pt idx="235">
                  <c:v>1184.6740754942884</c:v>
                </c:pt>
                <c:pt idx="236">
                  <c:v>1181.1067830311554</c:v>
                </c:pt>
                <c:pt idx="237">
                  <c:v>1177.4511624781483</c:v>
                </c:pt>
                <c:pt idx="238">
                  <c:v>1173.7076345676226</c:v>
                </c:pt>
                <c:pt idx="239">
                  <c:v>1169.8766281382507</c:v>
                </c:pt>
                <c:pt idx="240">
                  <c:v>1165.9585799988668</c:v>
                </c:pt>
                <c:pt idx="241">
                  <c:v>1161.9539347875575</c:v>
                </c:pt>
                <c:pt idx="242">
                  <c:v>1157.8631448263832</c:v>
                </c:pt>
                <c:pt idx="243">
                  <c:v>1153.6866699720788</c:v>
                </c:pt>
                <c:pt idx="244">
                  <c:v>1149.4249774630684</c:v>
                </c:pt>
                <c:pt idx="245">
                  <c:v>1145.0785417630982</c:v>
                </c:pt>
                <c:pt idx="246">
                  <c:v>1140.6478444017757</c:v>
                </c:pt>
                <c:pt idx="247">
                  <c:v>1136.1333738122892</c:v>
                </c:pt>
                <c:pt idx="248">
                  <c:v>1131.5356251665596</c:v>
                </c:pt>
                <c:pt idx="249">
                  <c:v>1126.8551002080681</c:v>
                </c:pt>
                <c:pt idx="250">
                  <c:v>1122.0923070825875</c:v>
                </c:pt>
                <c:pt idx="251">
                  <c:v>1117.2477601670366</c:v>
                </c:pt>
                <c:pt idx="252">
                  <c:v>1112.3219798966618</c:v>
                </c:pt>
                <c:pt idx="253">
                  <c:v>1107.3154925907465</c:v>
                </c:pt>
                <c:pt idx="254">
                  <c:v>1102.2288302770373</c:v>
                </c:pt>
                <c:pt idx="255">
                  <c:v>1097.0625305150661</c:v>
                </c:pt>
                <c:pt idx="256">
                  <c:v>1091.8171362185449</c:v>
                </c:pt>
                <c:pt idx="257">
                  <c:v>1086.4931954769988</c:v>
                </c:pt>
                <c:pt idx="258">
                  <c:v>1081.0912613767996</c:v>
                </c:pt>
                <c:pt idx="259">
                  <c:v>1075.6118918217528</c:v>
                </c:pt>
                <c:pt idx="260">
                  <c:v>1070.0556493533909</c:v>
                </c:pt>
                <c:pt idx="261">
                  <c:v>1064.4231009711141</c:v>
                </c:pt>
                <c:pt idx="262">
                  <c:v>1058.714817952319</c:v>
                </c:pt>
                <c:pt idx="263">
                  <c:v>1052.9313756726506</c:v>
                </c:pt>
                <c:pt idx="264">
                  <c:v>1047.0733534265064</c:v>
                </c:pt>
                <c:pt idx="265">
                  <c:v>1041.1413342479179</c:v>
                </c:pt>
                <c:pt idx="266">
                  <c:v>1035.135904731932</c:v>
                </c:pt>
                <c:pt idx="267">
                  <c:v>1029.0576548566089</c:v>
                </c:pt>
                <c:pt idx="268">
                  <c:v>1022.9071778057489</c:v>
                </c:pt>
                <c:pt idx="269">
                  <c:v>1016.685069792459</c:v>
                </c:pt>
                <c:pt idx="270">
                  <c:v>1010.3919298836631</c:v>
                </c:pt>
                <c:pt idx="271">
                  <c:v>1004.0283598256586</c:v>
                </c:pt>
                <c:pt idx="272">
                  <c:v>997.59496387081708</c:v>
                </c:pt>
                <c:pt idx="273">
                  <c:v>991.09234860552283</c:v>
                </c:pt>
                <c:pt idx="274">
                  <c:v>984.52112277944161</c:v>
                </c:pt>
                <c:pt idx="275">
                  <c:v>977.88189713620557</c:v>
                </c:pt>
                <c:pt idx="276">
                  <c:v>971.17528424559862</c:v>
                </c:pt>
                <c:pt idx="277">
                  <c:v>964.40189833732336</c:v>
                </c:pt>
                <c:pt idx="278">
                  <c:v>957.56235513642582</c:v>
                </c:pt>
                <c:pt idx="279">
                  <c:v>950.65727170045216</c:v>
                </c:pt>
                <c:pt idx="280">
                  <c:v>943.68726625840804</c:v>
                </c:pt>
                <c:pt idx="281">
                  <c:v>936.65295805158758</c:v>
                </c:pt>
                <c:pt idx="282">
                  <c:v>929.55496717633605</c:v>
                </c:pt>
                <c:pt idx="283">
                  <c:v>922.39391442880708</c:v>
                </c:pt>
                <c:pt idx="284">
                  <c:v>915.17042115177196</c:v>
                </c:pt>
                <c:pt idx="285">
                  <c:v>907.88510908353646</c:v>
                </c:pt>
                <c:pt idx="286">
                  <c:v>900.53860020901504</c:v>
                </c:pt>
                <c:pt idx="287">
                  <c:v>893.13151661301288</c:v>
                </c:pt>
                <c:pt idx="288">
                  <c:v>885.66448033575966</c:v>
                </c:pt>
                <c:pt idx="289">
                  <c:v>878.13811323073867</c:v>
                </c:pt>
                <c:pt idx="290">
                  <c:v>870.55303682485089</c:v>
                </c:pt>
                <c:pt idx="291">
                  <c:v>862.90987218094995</c:v>
                </c:pt>
                <c:pt idx="292">
                  <c:v>855.20923976278334</c:v>
                </c:pt>
                <c:pt idx="293">
                  <c:v>847.45175930237019</c:v>
                </c:pt>
                <c:pt idx="294">
                  <c:v>839.63804966984435</c:v>
                </c:pt>
                <c:pt idx="295">
                  <c:v>831.7687287457893</c:v>
                </c:pt>
                <c:pt idx="296">
                  <c:v>823.84441329608705</c:v>
                </c:pt>
                <c:pt idx="297">
                  <c:v>815.86571884930288</c:v>
                </c:pt>
                <c:pt idx="298">
                  <c:v>807.83325957662373</c:v>
                </c:pt>
                <c:pt idx="299">
                  <c:v>799.74764817436551</c:v>
                </c:pt>
                <c:pt idx="300">
                  <c:v>791.60949574906363</c:v>
                </c:pt>
                <c:pt idx="301">
                  <c:v>783.41941170515702</c:v>
                </c:pt>
                <c:pt idx="302">
                  <c:v>775.17800363527499</c:v>
                </c:pt>
                <c:pt idx="303">
                  <c:v>766.88587721313297</c:v>
                </c:pt>
                <c:pt idx="304">
                  <c:v>758.54363608904168</c:v>
                </c:pt>
                <c:pt idx="305">
                  <c:v>750.15188178803203</c:v>
                </c:pt>
                <c:pt idx="306">
                  <c:v>741.71121361059613</c:v>
                </c:pt>
                <c:pt idx="307">
                  <c:v>733.22222853604183</c:v>
                </c:pt>
                <c:pt idx="308">
                  <c:v>724.68552112845816</c:v>
                </c:pt>
                <c:pt idx="309">
                  <c:v>716.10168344528552</c:v>
                </c:pt>
                <c:pt idx="310">
                  <c:v>707.47130494848273</c:v>
                </c:pt>
                <c:pt idx="311">
                  <c:v>698.79497241828267</c:v>
                </c:pt>
                <c:pt idx="312">
                  <c:v>690.07326986952512</c:v>
                </c:pt>
                <c:pt idx="313">
                  <c:v>681.30677847055483</c:v>
                </c:pt>
                <c:pt idx="314">
                  <c:v>672.49607646466973</c:v>
                </c:pt>
                <c:pt idx="315">
                  <c:v>663.64173909410499</c:v>
                </c:pt>
                <c:pt idx="316">
                  <c:v>654.7443385265351</c:v>
                </c:pt>
                <c:pt idx="317">
                  <c:v>645.80444378407583</c:v>
                </c:pt>
                <c:pt idx="318">
                  <c:v>636.82262067476665</c:v>
                </c:pt>
                <c:pt idx="319">
                  <c:v>627.7994317265119</c:v>
                </c:pt>
                <c:pt idx="320">
                  <c:v>618.73543612345918</c:v>
                </c:pt>
                <c:pt idx="321">
                  <c:v>609.63118964479133</c:v>
                </c:pt>
                <c:pt idx="322">
                  <c:v>600.4872446059079</c:v>
                </c:pt>
                <c:pt idx="323">
                  <c:v>591.30414980196986</c:v>
                </c:pt>
                <c:pt idx="324">
                  <c:v>582.0824504537818</c:v>
                </c:pt>
                <c:pt idx="325">
                  <c:v>572.822688155984</c:v>
                </c:pt>
                <c:pt idx="326">
                  <c:v>563.52540082752614</c:v>
                </c:pt>
                <c:pt idx="327">
                  <c:v>554.19112266439345</c:v>
                </c:pt>
                <c:pt idx="328">
                  <c:v>544.82038409455527</c:v>
                </c:pt>
                <c:pt idx="329">
                  <c:v>535.41371173510618</c:v>
                </c:pt>
                <c:pt idx="330">
                  <c:v>525.97162835156757</c:v>
                </c:pt>
                <c:pt idx="331">
                  <c:v>516.49465281931816</c:v>
                </c:pt>
                <c:pt idx="332">
                  <c:v>506.98330008712117</c:v>
                </c:pt>
                <c:pt idx="333">
                  <c:v>497.43808114271519</c:v>
                </c:pt>
                <c:pt idx="334">
                  <c:v>487.85950298043497</c:v>
                </c:pt>
                <c:pt idx="335">
                  <c:v>478.24806857082871</c:v>
                </c:pt>
                <c:pt idx="336">
                  <c:v>468.60427683223708</c:v>
                </c:pt>
                <c:pt idx="337">
                  <c:v>458.92862260430007</c:v>
                </c:pt>
                <c:pt idx="338">
                  <c:v>449.22159662335622</c:v>
                </c:pt>
                <c:pt idx="339">
                  <c:v>439.48368549969922</c:v>
                </c:pt>
                <c:pt idx="340">
                  <c:v>429.71537169665658</c:v>
                </c:pt>
                <c:pt idx="341">
                  <c:v>419.91713351145478</c:v>
                </c:pt>
                <c:pt idx="342">
                  <c:v>410.08944505783529</c:v>
                </c:pt>
                <c:pt idx="343">
                  <c:v>400.23277625038526</c:v>
                </c:pt>
                <c:pt idx="344">
                  <c:v>390.34759279054737</c:v>
                </c:pt>
                <c:pt idx="345">
                  <c:v>380.4343561542729</c:v>
                </c:pt>
                <c:pt idx="346">
                  <c:v>370.49352358128175</c:v>
                </c:pt>
                <c:pt idx="347">
                  <c:v>360.52554806589353</c:v>
                </c:pt>
                <c:pt idx="348">
                  <c:v>350.5308783493943</c:v>
                </c:pt>
                <c:pt idx="349">
                  <c:v>340.50995891390244</c:v>
                </c:pt>
                <c:pt idx="350">
                  <c:v>330.4632299776984</c:v>
                </c:pt>
                <c:pt idx="351">
                  <c:v>320.39112749198267</c:v>
                </c:pt>
                <c:pt idx="352">
                  <c:v>310.29408313902638</c:v>
                </c:pt>
                <c:pt idx="353">
                  <c:v>300.1725243316796</c:v>
                </c:pt>
                <c:pt idx="354">
                  <c:v>290.02687421420183</c:v>
                </c:pt>
                <c:pt idx="355">
                  <c:v>279.85755166438025</c:v>
                </c:pt>
                <c:pt idx="356">
                  <c:v>269.66497129690117</c:v>
                </c:pt>
                <c:pt idx="357">
                  <c:v>259.44954346793992</c:v>
                </c:pt>
                <c:pt idx="358">
                  <c:v>249.21167428093585</c:v>
                </c:pt>
                <c:pt idx="359">
                  <c:v>238.95176559351791</c:v>
                </c:pt>
                <c:pt idx="360">
                  <c:v>228.67021502554812</c:v>
                </c:pt>
                <c:pt idx="361">
                  <c:v>218.36741596824947</c:v>
                </c:pt>
                <c:pt idx="362">
                  <c:v>208.04375759438562</c:v>
                </c:pt>
                <c:pt idx="363">
                  <c:v>197.69962486946</c:v>
                </c:pt>
                <c:pt idx="364">
                  <c:v>187.3353985639024</c:v>
                </c:pt>
                <c:pt idx="365">
                  <c:v>176.95145526621147</c:v>
                </c:pt>
                <c:pt idx="366">
                  <c:v>166.54816739702179</c:v>
                </c:pt>
                <c:pt idx="367">
                  <c:v>156.12590322406481</c:v>
                </c:pt>
                <c:pt idx="368">
                  <c:v>145.68502687799347</c:v>
                </c:pt>
                <c:pt idx="369">
                  <c:v>135.2258983690401</c:v>
                </c:pt>
                <c:pt idx="370">
                  <c:v>124.74887360447867</c:v>
                </c:pt>
                <c:pt idx="371">
                  <c:v>114.25430440686191</c:v>
                </c:pt>
                <c:pt idx="372">
                  <c:v>103.74253853300476</c:v>
                </c:pt>
                <c:pt idx="373">
                  <c:v>93.213919693686307</c:v>
                </c:pt>
                <c:pt idx="374">
                  <c:v>82.668787574042028</c:v>
                </c:pt>
                <c:pt idx="375">
                  <c:v>72.107477854619532</c:v>
                </c:pt>
                <c:pt idx="376">
                  <c:v>61.530322233070812</c:v>
                </c:pt>
                <c:pt idx="377">
                  <c:v>50.937648446454865</c:v>
                </c:pt>
                <c:pt idx="378">
                  <c:v>40.329780294124731</c:v>
                </c:pt>
                <c:pt idx="379">
                  <c:v>29.7070376611738</c:v>
                </c:pt>
                <c:pt idx="380">
                  <c:v>19.069736542416365</c:v>
                </c:pt>
                <c:pt idx="381">
                  <c:v>8.418189066878238</c:v>
                </c:pt>
                <c:pt idx="382">
                  <c:v>-2.247296477226616</c:v>
                </c:pt>
                <c:pt idx="383">
                  <c:v>-2.2579688619526315</c:v>
                </c:pt>
                <c:pt idx="384">
                  <c:v>-2.2686412601608077</c:v>
                </c:pt>
                <c:pt idx="385">
                  <c:v>-2.2793136718508462</c:v>
                </c:pt>
                <c:pt idx="386">
                  <c:v>-2.289986097022449</c:v>
                </c:pt>
                <c:pt idx="387">
                  <c:v>-2.3006585356753178</c:v>
                </c:pt>
                <c:pt idx="388">
                  <c:v>-2.3113309878091539</c:v>
                </c:pt>
                <c:pt idx="389">
                  <c:v>-2.3220034534236591</c:v>
                </c:pt>
                <c:pt idx="390">
                  <c:v>-2.3326759325185353</c:v>
                </c:pt>
                <c:pt idx="391">
                  <c:v>-2.3433484250934842</c:v>
                </c:pt>
                <c:pt idx="392">
                  <c:v>-2.3540209311482077</c:v>
                </c:pt>
                <c:pt idx="393">
                  <c:v>-2.3646934506824073</c:v>
                </c:pt>
                <c:pt idx="394">
                  <c:v>-2.3753659836957848</c:v>
                </c:pt>
                <c:pt idx="395">
                  <c:v>-2.3860385301880416</c:v>
                </c:pt>
                <c:pt idx="396">
                  <c:v>-2.3967110901588797</c:v>
                </c:pt>
                <c:pt idx="397">
                  <c:v>-2.4073836636080008</c:v>
                </c:pt>
                <c:pt idx="398">
                  <c:v>-2.4180562505351069</c:v>
                </c:pt>
                <c:pt idx="399">
                  <c:v>-2.4287288509398994</c:v>
                </c:pt>
                <c:pt idx="400">
                  <c:v>-2.4394014648220801</c:v>
                </c:pt>
                <c:pt idx="401">
                  <c:v>-2.4500740921813509</c:v>
                </c:pt>
                <c:pt idx="402">
                  <c:v>-2.4607467330174133</c:v>
                </c:pt>
                <c:pt idx="403">
                  <c:v>-2.4714193873299695</c:v>
                </c:pt>
                <c:pt idx="404">
                  <c:v>-2.4820920551187209</c:v>
                </c:pt>
                <c:pt idx="405">
                  <c:v>-2.4927647363833692</c:v>
                </c:pt>
                <c:pt idx="406">
                  <c:v>-2.5034374311236163</c:v>
                </c:pt>
                <c:pt idx="407">
                  <c:v>-2.5141101393391638</c:v>
                </c:pt>
                <c:pt idx="408">
                  <c:v>-2.5247828610297138</c:v>
                </c:pt>
                <c:pt idx="409">
                  <c:v>-2.5354555961949679</c:v>
                </c:pt>
                <c:pt idx="410">
                  <c:v>-2.5461283448346279</c:v>
                </c:pt>
                <c:pt idx="411">
                  <c:v>-2.5568011069483956</c:v>
                </c:pt>
                <c:pt idx="412">
                  <c:v>-2.5674738825359724</c:v>
                </c:pt>
                <c:pt idx="413">
                  <c:v>-2.5781466715970605</c:v>
                </c:pt>
                <c:pt idx="414">
                  <c:v>-2.5888194741313617</c:v>
                </c:pt>
                <c:pt idx="415">
                  <c:v>-2.5994922901385777</c:v>
                </c:pt>
                <c:pt idx="416">
                  <c:v>-2.6101651196184106</c:v>
                </c:pt>
                <c:pt idx="417">
                  <c:v>-2.6208379625705618</c:v>
                </c:pt>
                <c:pt idx="418">
                  <c:v>-2.6315108189947334</c:v>
                </c:pt>
                <c:pt idx="419">
                  <c:v>-2.6421836888906269</c:v>
                </c:pt>
                <c:pt idx="420">
                  <c:v>-2.6528565722579445</c:v>
                </c:pt>
                <c:pt idx="421">
                  <c:v>-2.6635294690963875</c:v>
                </c:pt>
                <c:pt idx="422">
                  <c:v>-2.6742023794056582</c:v>
                </c:pt>
                <c:pt idx="423">
                  <c:v>-2.6848753031854584</c:v>
                </c:pt>
                <c:pt idx="424">
                  <c:v>-2.6955482404354898</c:v>
                </c:pt>
                <c:pt idx="425">
                  <c:v>-2.7062211911554543</c:v>
                </c:pt>
                <c:pt idx="426">
                  <c:v>-2.7168941553450536</c:v>
                </c:pt>
                <c:pt idx="427">
                  <c:v>-2.7275671330039897</c:v>
                </c:pt>
                <c:pt idx="428">
                  <c:v>-2.738240124131964</c:v>
                </c:pt>
                <c:pt idx="429">
                  <c:v>-2.7489131287286792</c:v>
                </c:pt>
                <c:pt idx="430">
                  <c:v>-2.7595861467938367</c:v>
                </c:pt>
                <c:pt idx="431">
                  <c:v>-2.7702591783271382</c:v>
                </c:pt>
                <c:pt idx="432">
                  <c:v>-2.7809322233282856</c:v>
                </c:pt>
                <c:pt idx="433">
                  <c:v>-2.791605281796981</c:v>
                </c:pt>
                <c:pt idx="434">
                  <c:v>-2.8022783537329259</c:v>
                </c:pt>
                <c:pt idx="435">
                  <c:v>-2.8129514391358228</c:v>
                </c:pt>
                <c:pt idx="436">
                  <c:v>-2.8236245380053728</c:v>
                </c:pt>
                <c:pt idx="437">
                  <c:v>-2.8342976503412785</c:v>
                </c:pt>
                <c:pt idx="438">
                  <c:v>-2.8449707761432412</c:v>
                </c:pt>
                <c:pt idx="439">
                  <c:v>-2.8556439154109632</c:v>
                </c:pt>
                <c:pt idx="440">
                  <c:v>-2.8663170681441463</c:v>
                </c:pt>
                <c:pt idx="441">
                  <c:v>-2.8769902343424922</c:v>
                </c:pt>
                <c:pt idx="442">
                  <c:v>-2.8876634140057029</c:v>
                </c:pt>
                <c:pt idx="443">
                  <c:v>-2.8983366071334804</c:v>
                </c:pt>
                <c:pt idx="444">
                  <c:v>-2.9090098137255267</c:v>
                </c:pt>
                <c:pt idx="445">
                  <c:v>-2.9196830337815434</c:v>
                </c:pt>
                <c:pt idx="446">
                  <c:v>-2.9303562673012329</c:v>
                </c:pt>
                <c:pt idx="447">
                  <c:v>-2.9410295142842968</c:v>
                </c:pt>
                <c:pt idx="448">
                  <c:v>-2.9517027747304367</c:v>
                </c:pt>
                <c:pt idx="449">
                  <c:v>-2.9623760486393551</c:v>
                </c:pt>
                <c:pt idx="450">
                  <c:v>-2.9730493360107535</c:v>
                </c:pt>
                <c:pt idx="451">
                  <c:v>-2.9837226368443339</c:v>
                </c:pt>
                <c:pt idx="452">
                  <c:v>-2.9943959511397984</c:v>
                </c:pt>
                <c:pt idx="453">
                  <c:v>-3.0050692788968489</c:v>
                </c:pt>
                <c:pt idx="454">
                  <c:v>-3.0157426201151876</c:v>
                </c:pt>
                <c:pt idx="455">
                  <c:v>-3.0264159747945159</c:v>
                </c:pt>
                <c:pt idx="456">
                  <c:v>-3.0370893429345363</c:v>
                </c:pt>
                <c:pt idx="457">
                  <c:v>-3.0477627245349503</c:v>
                </c:pt>
                <c:pt idx="458">
                  <c:v>-3.0584361195954601</c:v>
                </c:pt>
                <c:pt idx="459">
                  <c:v>-3.0691095281157676</c:v>
                </c:pt>
                <c:pt idx="460">
                  <c:v>-3.0797829500955749</c:v>
                </c:pt>
                <c:pt idx="461">
                  <c:v>-3.0904563855345839</c:v>
                </c:pt>
                <c:pt idx="462">
                  <c:v>-3.1011298344324962</c:v>
                </c:pt>
                <c:pt idx="463">
                  <c:v>-3.1118032967890144</c:v>
                </c:pt>
                <c:pt idx="464">
                  <c:v>-3.1224767726038403</c:v>
                </c:pt>
                <c:pt idx="465">
                  <c:v>-3.1331502618766756</c:v>
                </c:pt>
                <c:pt idx="466">
                  <c:v>-3.1438237646072222</c:v>
                </c:pt>
                <c:pt idx="467">
                  <c:v>-3.1544972807951828</c:v>
                </c:pt>
                <c:pt idx="468">
                  <c:v>-3.1651708104402587</c:v>
                </c:pt>
                <c:pt idx="469">
                  <c:v>-3.1758443535421521</c:v>
                </c:pt>
                <c:pt idx="470">
                  <c:v>-3.1865179101005654</c:v>
                </c:pt>
                <c:pt idx="471">
                  <c:v>-3.1971914801152002</c:v>
                </c:pt>
                <c:pt idx="472">
                  <c:v>-3.2078650635857584</c:v>
                </c:pt>
                <c:pt idx="473">
                  <c:v>-3.2185386605119422</c:v>
                </c:pt>
                <c:pt idx="474">
                  <c:v>-3.2292122708934539</c:v>
                </c:pt>
                <c:pt idx="475">
                  <c:v>-3.2398858947299951</c:v>
                </c:pt>
                <c:pt idx="476">
                  <c:v>-3.2505595320212679</c:v>
                </c:pt>
                <c:pt idx="477">
                  <c:v>-3.2612331827669743</c:v>
                </c:pt>
                <c:pt idx="478">
                  <c:v>-3.2719068469668167</c:v>
                </c:pt>
                <c:pt idx="479">
                  <c:v>-3.2825805246204967</c:v>
                </c:pt>
                <c:pt idx="480">
                  <c:v>-3.2932542157277163</c:v>
                </c:pt>
                <c:pt idx="481">
                  <c:v>-3.3039279202881779</c:v>
                </c:pt>
                <c:pt idx="482">
                  <c:v>-3.3146016383015837</c:v>
                </c:pt>
                <c:pt idx="483">
                  <c:v>-3.3252753697676352</c:v>
                </c:pt>
                <c:pt idx="484">
                  <c:v>-3.3359491146860347</c:v>
                </c:pt>
                <c:pt idx="485">
                  <c:v>-3.3466228730564844</c:v>
                </c:pt>
                <c:pt idx="486">
                  <c:v>-3.3572966448786863</c:v>
                </c:pt>
                <c:pt idx="487">
                  <c:v>-3.3679704301523423</c:v>
                </c:pt>
                <c:pt idx="488">
                  <c:v>-3.3786442288771545</c:v>
                </c:pt>
                <c:pt idx="489">
                  <c:v>-3.389318041052825</c:v>
                </c:pt>
                <c:pt idx="490">
                  <c:v>-3.3999918666790561</c:v>
                </c:pt>
                <c:pt idx="491">
                  <c:v>-3.4106657057555494</c:v>
                </c:pt>
                <c:pt idx="492">
                  <c:v>-3.4213395582820074</c:v>
                </c:pt>
                <c:pt idx="493">
                  <c:v>-3.4320134242581322</c:v>
                </c:pt>
                <c:pt idx="494">
                  <c:v>-3.4426873036836256</c:v>
                </c:pt>
                <c:pt idx="495">
                  <c:v>-3.4533611965581903</c:v>
                </c:pt>
                <c:pt idx="496">
                  <c:v>-3.4640351028815277</c:v>
                </c:pt>
                <c:pt idx="497">
                  <c:v>-3.4747090226533404</c:v>
                </c:pt>
                <c:pt idx="498">
                  <c:v>-3.4853829558733302</c:v>
                </c:pt>
                <c:pt idx="499">
                  <c:v>-3.4960569025411994</c:v>
                </c:pt>
                <c:pt idx="500">
                  <c:v>-3.5067308626566498</c:v>
                </c:pt>
                <c:pt idx="501">
                  <c:v>-3.5174048362193839</c:v>
                </c:pt>
                <c:pt idx="502">
                  <c:v>-3.5280788232291038</c:v>
                </c:pt>
                <c:pt idx="503">
                  <c:v>-3.5387528236855115</c:v>
                </c:pt>
                <c:pt idx="504">
                  <c:v>-3.5494268375883089</c:v>
                </c:pt>
                <c:pt idx="505">
                  <c:v>-3.5601008649371986</c:v>
                </c:pt>
                <c:pt idx="506">
                  <c:v>-3.5707749057318821</c:v>
                </c:pt>
                <c:pt idx="507">
                  <c:v>-3.5814489599720623</c:v>
                </c:pt>
                <c:pt idx="508">
                  <c:v>-3.5921230276574407</c:v>
                </c:pt>
                <c:pt idx="509">
                  <c:v>-3.60279710878772</c:v>
                </c:pt>
                <c:pt idx="510">
                  <c:v>-3.613471203362602</c:v>
                </c:pt>
                <c:pt idx="511">
                  <c:v>-3.6241453113817887</c:v>
                </c:pt>
                <c:pt idx="512">
                  <c:v>-3.6348194328449828</c:v>
                </c:pt>
                <c:pt idx="513">
                  <c:v>-3.645493567751886</c:v>
                </c:pt>
                <c:pt idx="514">
                  <c:v>-3.6561677161022006</c:v>
                </c:pt>
                <c:pt idx="515">
                  <c:v>-3.6668418778956289</c:v>
                </c:pt>
                <c:pt idx="516">
                  <c:v>-3.6775160531318729</c:v>
                </c:pt>
                <c:pt idx="517">
                  <c:v>-3.6881902418106352</c:v>
                </c:pt>
                <c:pt idx="518">
                  <c:v>-3.6988644439316172</c:v>
                </c:pt>
                <c:pt idx="519">
                  <c:v>-3.7095386594945219</c:v>
                </c:pt>
                <c:pt idx="520">
                  <c:v>-3.7202128884990509</c:v>
                </c:pt>
                <c:pt idx="521">
                  <c:v>-3.7308871309449065</c:v>
                </c:pt>
                <c:pt idx="522">
                  <c:v>-3.7415613868317914</c:v>
                </c:pt>
                <c:pt idx="523">
                  <c:v>-3.752235656159407</c:v>
                </c:pt>
                <c:pt idx="524">
                  <c:v>-3.7629099389274563</c:v>
                </c:pt>
                <c:pt idx="525">
                  <c:v>-3.7735842351356408</c:v>
                </c:pt>
                <c:pt idx="526">
                  <c:v>-3.784258544783663</c:v>
                </c:pt>
                <c:pt idx="527">
                  <c:v>-3.7949328678712253</c:v>
                </c:pt>
                <c:pt idx="528">
                  <c:v>-3.8056072043980298</c:v>
                </c:pt>
                <c:pt idx="529">
                  <c:v>-3.8162815543637789</c:v>
                </c:pt>
                <c:pt idx="530">
                  <c:v>-3.8269559177681747</c:v>
                </c:pt>
                <c:pt idx="531">
                  <c:v>-3.8376302946109191</c:v>
                </c:pt>
                <c:pt idx="532">
                  <c:v>-3.8483046848917146</c:v>
                </c:pt>
                <c:pt idx="533">
                  <c:v>-3.8589790886102633</c:v>
                </c:pt>
                <c:pt idx="534">
                  <c:v>-3.8696535057662675</c:v>
                </c:pt>
                <c:pt idx="535">
                  <c:v>-3.8803279363594299</c:v>
                </c:pt>
                <c:pt idx="536">
                  <c:v>-3.8910023803894522</c:v>
                </c:pt>
                <c:pt idx="537">
                  <c:v>-3.9016768378560367</c:v>
                </c:pt>
                <c:pt idx="538">
                  <c:v>-3.9123513087588861</c:v>
                </c:pt>
                <c:pt idx="539">
                  <c:v>-3.9230257930977022</c:v>
                </c:pt>
                <c:pt idx="540">
                  <c:v>-3.9337002908721872</c:v>
                </c:pt>
                <c:pt idx="541">
                  <c:v>-3.9443748020820437</c:v>
                </c:pt>
                <c:pt idx="542">
                  <c:v>-3.9550493267269742</c:v>
                </c:pt>
                <c:pt idx="543">
                  <c:v>-3.9657238648066802</c:v>
                </c:pt>
                <c:pt idx="544">
                  <c:v>-3.9763984163208645</c:v>
                </c:pt>
                <c:pt idx="545">
                  <c:v>-3.9870729812692294</c:v>
                </c:pt>
                <c:pt idx="546">
                  <c:v>-3.9977475596514771</c:v>
                </c:pt>
                <c:pt idx="547">
                  <c:v>-4.0084221514673102</c:v>
                </c:pt>
                <c:pt idx="548">
                  <c:v>-4.0190967567164302</c:v>
                </c:pt>
                <c:pt idx="549">
                  <c:v>-4.02977137539854</c:v>
                </c:pt>
                <c:pt idx="550">
                  <c:v>-4.0404460075133422</c:v>
                </c:pt>
                <c:pt idx="551">
                  <c:v>-4.0511206530605381</c:v>
                </c:pt>
                <c:pt idx="552">
                  <c:v>-4.0617953120398305</c:v>
                </c:pt>
                <c:pt idx="553">
                  <c:v>-4.0724699844509216</c:v>
                </c:pt>
                <c:pt idx="554">
                  <c:v>-4.0831446702935139</c:v>
                </c:pt>
                <c:pt idx="555">
                  <c:v>-4.09381936956731</c:v>
                </c:pt>
                <c:pt idx="556">
                  <c:v>-4.1044940822720122</c:v>
                </c:pt>
                <c:pt idx="557">
                  <c:v>-4.1151688084073221</c:v>
                </c:pt>
                <c:pt idx="558">
                  <c:v>-4.1258435479729432</c:v>
                </c:pt>
                <c:pt idx="559">
                  <c:v>-4.1365183009685769</c:v>
                </c:pt>
                <c:pt idx="560">
                  <c:v>-4.1471930673939257</c:v>
                </c:pt>
                <c:pt idx="561">
                  <c:v>-4.1578678472486921</c:v>
                </c:pt>
                <c:pt idx="562">
                  <c:v>-4.1685426405325785</c:v>
                </c:pt>
                <c:pt idx="563">
                  <c:v>-4.1792174472452865</c:v>
                </c:pt>
                <c:pt idx="564">
                  <c:v>-4.1898922673865195</c:v>
                </c:pt>
                <c:pt idx="565">
                  <c:v>-4.2005671009559791</c:v>
                </c:pt>
                <c:pt idx="566">
                  <c:v>-4.2112419479533685</c:v>
                </c:pt>
                <c:pt idx="567">
                  <c:v>-4.2219168083783893</c:v>
                </c:pt>
                <c:pt idx="568">
                  <c:v>-4.2325916822307441</c:v>
                </c:pt>
                <c:pt idx="569">
                  <c:v>-4.2432665695101353</c:v>
                </c:pt>
                <c:pt idx="570">
                  <c:v>-4.2539414702162652</c:v>
                </c:pt>
                <c:pt idx="571">
                  <c:v>-4.2646163843488365</c:v>
                </c:pt>
                <c:pt idx="572">
                  <c:v>-4.2752913119075515</c:v>
                </c:pt>
                <c:pt idx="573">
                  <c:v>-4.2859662528921119</c:v>
                </c:pt>
                <c:pt idx="574">
                  <c:v>-4.2966412073022209</c:v>
                </c:pt>
                <c:pt idx="575">
                  <c:v>-4.307316175137581</c:v>
                </c:pt>
                <c:pt idx="576">
                  <c:v>-4.3179911563978939</c:v>
                </c:pt>
                <c:pt idx="577">
                  <c:v>-4.3286661510828619</c:v>
                </c:pt>
                <c:pt idx="578">
                  <c:v>-4.3393411591921884</c:v>
                </c:pt>
                <c:pt idx="579">
                  <c:v>-4.3500161807255751</c:v>
                </c:pt>
                <c:pt idx="580">
                  <c:v>-4.3606912156827242</c:v>
                </c:pt>
                <c:pt idx="581">
                  <c:v>-4.3713662640633384</c:v>
                </c:pt>
                <c:pt idx="582">
                  <c:v>-4.3820413258671209</c:v>
                </c:pt>
                <c:pt idx="583">
                  <c:v>-4.3927164010937734</c:v>
                </c:pt>
                <c:pt idx="584">
                  <c:v>-4.4033914897429982</c:v>
                </c:pt>
                <c:pt idx="585">
                  <c:v>-4.4140665918144979</c:v>
                </c:pt>
                <c:pt idx="586">
                  <c:v>-4.4247417073079749</c:v>
                </c:pt>
                <c:pt idx="587">
                  <c:v>-4.4354168362231317</c:v>
                </c:pt>
                <c:pt idx="588">
                  <c:v>-4.4460919785596706</c:v>
                </c:pt>
                <c:pt idx="589">
                  <c:v>-4.4567671343172943</c:v>
                </c:pt>
                <c:pt idx="590">
                  <c:v>-4.4674423034957051</c:v>
                </c:pt>
                <c:pt idx="591">
                  <c:v>-4.4781174860946056</c:v>
                </c:pt>
                <c:pt idx="592">
                  <c:v>-4.4887926821136972</c:v>
                </c:pt>
                <c:pt idx="593">
                  <c:v>-4.4994678915526833</c:v>
                </c:pt>
                <c:pt idx="594">
                  <c:v>-4.5101431144112665</c:v>
                </c:pt>
                <c:pt idx="595">
                  <c:v>-4.5208183506891491</c:v>
                </c:pt>
                <c:pt idx="596">
                  <c:v>-4.5314936003860335</c:v>
                </c:pt>
                <c:pt idx="597">
                  <c:v>-4.5421688635016224</c:v>
                </c:pt>
                <c:pt idx="598">
                  <c:v>-4.5528441400356181</c:v>
                </c:pt>
                <c:pt idx="599">
                  <c:v>-4.5635194299877231</c:v>
                </c:pt>
                <c:pt idx="600">
                  <c:v>-4.5741947333576398</c:v>
                </c:pt>
                <c:pt idx="601">
                  <c:v>-4.5848700501450708</c:v>
                </c:pt>
                <c:pt idx="602">
                  <c:v>-4.5955453803497184</c:v>
                </c:pt>
                <c:pt idx="603">
                  <c:v>-4.606220723971286</c:v>
                </c:pt>
                <c:pt idx="604">
                  <c:v>-4.6168960810094752</c:v>
                </c:pt>
                <c:pt idx="605">
                  <c:v>-4.6275714514639885</c:v>
                </c:pt>
                <c:pt idx="606">
                  <c:v>-4.6382468353345283</c:v>
                </c:pt>
                <c:pt idx="607">
                  <c:v>-4.648922232620798</c:v>
                </c:pt>
                <c:pt idx="608">
                  <c:v>-4.659597643322499</c:v>
                </c:pt>
                <c:pt idx="609">
                  <c:v>-4.6702730674393349</c:v>
                </c:pt>
                <c:pt idx="610">
                  <c:v>-4.6809485049710071</c:v>
                </c:pt>
                <c:pt idx="611">
                  <c:v>-4.691623955917219</c:v>
                </c:pt>
                <c:pt idx="612">
                  <c:v>-4.7022994202776731</c:v>
                </c:pt>
                <c:pt idx="613">
                  <c:v>-4.7129748980520718</c:v>
                </c:pt>
                <c:pt idx="614">
                  <c:v>-4.7236503892401176</c:v>
                </c:pt>
                <c:pt idx="615">
                  <c:v>-4.7343258938415129</c:v>
                </c:pt>
                <c:pt idx="616">
                  <c:v>-4.7450014118559602</c:v>
                </c:pt>
                <c:pt idx="617">
                  <c:v>-4.755676943283162</c:v>
                </c:pt>
                <c:pt idx="618">
                  <c:v>-4.7663524881228208</c:v>
                </c:pt>
                <c:pt idx="619">
                  <c:v>-4.7770280463746397</c:v>
                </c:pt>
                <c:pt idx="620">
                  <c:v>-4.7877036180383206</c:v>
                </c:pt>
                <c:pt idx="621">
                  <c:v>-4.7983792031135666</c:v>
                </c:pt>
                <c:pt idx="622">
                  <c:v>-4.8090548016000803</c:v>
                </c:pt>
                <c:pt idx="623">
                  <c:v>-4.819730413497564</c:v>
                </c:pt>
                <c:pt idx="624">
                  <c:v>-4.8304060388057204</c:v>
                </c:pt>
                <c:pt idx="625">
                  <c:v>-4.8410816775242518</c:v>
                </c:pt>
                <c:pt idx="626">
                  <c:v>-4.8517573296528607</c:v>
                </c:pt>
                <c:pt idx="627">
                  <c:v>-4.8624329951912504</c:v>
                </c:pt>
                <c:pt idx="628">
                  <c:v>-4.8731086741391225</c:v>
                </c:pt>
                <c:pt idx="629">
                  <c:v>-4.8837843664961804</c:v>
                </c:pt>
                <c:pt idx="630">
                  <c:v>-4.8944600722621265</c:v>
                </c:pt>
                <c:pt idx="631">
                  <c:v>-4.9051357914366633</c:v>
                </c:pt>
                <c:pt idx="632">
                  <c:v>-4.9158115240194933</c:v>
                </c:pt>
                <c:pt idx="633">
                  <c:v>-4.9264872700103197</c:v>
                </c:pt>
                <c:pt idx="634">
                  <c:v>-4.9371630294088442</c:v>
                </c:pt>
                <c:pt idx="635">
                  <c:v>-4.9478388022147701</c:v>
                </c:pt>
                <c:pt idx="636">
                  <c:v>-4.9585145884277999</c:v>
                </c:pt>
                <c:pt idx="637">
                  <c:v>-4.969190388047636</c:v>
                </c:pt>
                <c:pt idx="638">
                  <c:v>-4.9798662010739809</c:v>
                </c:pt>
                <c:pt idx="639">
                  <c:v>-4.990542027506538</c:v>
                </c:pt>
                <c:pt idx="640">
                  <c:v>-5.0012178673450096</c:v>
                </c:pt>
                <c:pt idx="641">
                  <c:v>-5.0118937205890983</c:v>
                </c:pt>
                <c:pt idx="642">
                  <c:v>-5.0225695872385065</c:v>
                </c:pt>
                <c:pt idx="643">
                  <c:v>-5.0332454672929368</c:v>
                </c:pt>
                <c:pt idx="644">
                  <c:v>-5.0439213607520923</c:v>
                </c:pt>
                <c:pt idx="645">
                  <c:v>-5.0545972676156747</c:v>
                </c:pt>
                <c:pt idx="646">
                  <c:v>-5.0652731878833874</c:v>
                </c:pt>
                <c:pt idx="647">
                  <c:v>-5.0759491215549337</c:v>
                </c:pt>
                <c:pt idx="648">
                  <c:v>-5.0866250686300152</c:v>
                </c:pt>
                <c:pt idx="649">
                  <c:v>-5.0973010291083352</c:v>
                </c:pt>
                <c:pt idx="650">
                  <c:v>-5.1079770029895961</c:v>
                </c:pt>
                <c:pt idx="651">
                  <c:v>-5.1186529902735005</c:v>
                </c:pt>
                <c:pt idx="652">
                  <c:v>-5.1293289909597508</c:v>
                </c:pt>
                <c:pt idx="653">
                  <c:v>-5.1400050050480504</c:v>
                </c:pt>
                <c:pt idx="654">
                  <c:v>-5.1506810325381016</c:v>
                </c:pt>
                <c:pt idx="655">
                  <c:v>-5.161357073429607</c:v>
                </c:pt>
                <c:pt idx="656">
                  <c:v>-5.17203312772227</c:v>
                </c:pt>
                <c:pt idx="657">
                  <c:v>-5.182709195415792</c:v>
                </c:pt>
                <c:pt idx="658">
                  <c:v>-5.1933852765098765</c:v>
                </c:pt>
                <c:pt idx="659">
                  <c:v>-5.2040613710042267</c:v>
                </c:pt>
                <c:pt idx="660">
                  <c:v>-5.2147374788985443</c:v>
                </c:pt>
                <c:pt idx="661">
                  <c:v>-5.2254136001925326</c:v>
                </c:pt>
                <c:pt idx="662">
                  <c:v>-5.2360897348858941</c:v>
                </c:pt>
                <c:pt idx="663">
                  <c:v>-5.2467658829783321</c:v>
                </c:pt>
                <c:pt idx="664">
                  <c:v>-5.2574420444695482</c:v>
                </c:pt>
                <c:pt idx="665">
                  <c:v>-5.2681182193592457</c:v>
                </c:pt>
                <c:pt idx="666">
                  <c:v>-5.278794407647128</c:v>
                </c:pt>
                <c:pt idx="667">
                  <c:v>-5.2894706093328967</c:v>
                </c:pt>
                <c:pt idx="668">
                  <c:v>-5.3001468244162551</c:v>
                </c:pt>
                <c:pt idx="669">
                  <c:v>-5.3108230528969065</c:v>
                </c:pt>
                <c:pt idx="670">
                  <c:v>-5.3214992947745525</c:v>
                </c:pt>
                <c:pt idx="671">
                  <c:v>-5.3321755500488965</c:v>
                </c:pt>
                <c:pt idx="672">
                  <c:v>-5.3428518187196419</c:v>
                </c:pt>
                <c:pt idx="673">
                  <c:v>-5.3535281007864901</c:v>
                </c:pt>
                <c:pt idx="674">
                  <c:v>-5.3642043962491446</c:v>
                </c:pt>
                <c:pt idx="675">
                  <c:v>-5.3748807051073078</c:v>
                </c:pt>
                <c:pt idx="676">
                  <c:v>-5.385557027360683</c:v>
                </c:pt>
                <c:pt idx="677">
                  <c:v>-5.3962333630089727</c:v>
                </c:pt>
                <c:pt idx="678">
                  <c:v>-5.4069097120518794</c:v>
                </c:pt>
                <c:pt idx="679">
                  <c:v>-5.4175860744891065</c:v>
                </c:pt>
                <c:pt idx="680">
                  <c:v>-5.4282624503203563</c:v>
                </c:pt>
                <c:pt idx="681">
                  <c:v>-5.4389388395453322</c:v>
                </c:pt>
                <c:pt idx="682">
                  <c:v>-5.4496152421637358</c:v>
                </c:pt>
                <c:pt idx="683">
                  <c:v>-5.4602916581752714</c:v>
                </c:pt>
                <c:pt idx="684">
                  <c:v>-5.4709680875796405</c:v>
                </c:pt>
                <c:pt idx="685">
                  <c:v>-5.4816445303765464</c:v>
                </c:pt>
                <c:pt idx="686">
                  <c:v>-5.4923209865656926</c:v>
                </c:pt>
                <c:pt idx="687">
                  <c:v>-5.5029974561467805</c:v>
                </c:pt>
                <c:pt idx="688">
                  <c:v>-5.5136739391195144</c:v>
                </c:pt>
                <c:pt idx="689">
                  <c:v>-5.5243504354835959</c:v>
                </c:pt>
                <c:pt idx="690">
                  <c:v>-5.5350269452387284</c:v>
                </c:pt>
                <c:pt idx="691">
                  <c:v>-5.5457034683846143</c:v>
                </c:pt>
                <c:pt idx="692">
                  <c:v>-5.5563800049209568</c:v>
                </c:pt>
                <c:pt idx="693">
                  <c:v>-5.5670565548474586</c:v>
                </c:pt>
                <c:pt idx="694">
                  <c:v>-5.577733118163823</c:v>
                </c:pt>
                <c:pt idx="695">
                  <c:v>-5.5884096948697524</c:v>
                </c:pt>
                <c:pt idx="696">
                  <c:v>-5.5990862849649501</c:v>
                </c:pt>
                <c:pt idx="697">
                  <c:v>-5.6097628884491186</c:v>
                </c:pt>
                <c:pt idx="698">
                  <c:v>-5.6204395053219605</c:v>
                </c:pt>
                <c:pt idx="699">
                  <c:v>-5.6311161355831789</c:v>
                </c:pt>
                <c:pt idx="700">
                  <c:v>-5.6417927792324765</c:v>
                </c:pt>
                <c:pt idx="701">
                  <c:v>-5.6524694362695564</c:v>
                </c:pt>
                <c:pt idx="702">
                  <c:v>-5.6631461066941213</c:v>
                </c:pt>
                <c:pt idx="703">
                  <c:v>-5.6738227905058745</c:v>
                </c:pt>
                <c:pt idx="704">
                  <c:v>-5.6844994877045183</c:v>
                </c:pt>
                <c:pt idx="705">
                  <c:v>-5.6951761982897553</c:v>
                </c:pt>
                <c:pt idx="706">
                  <c:v>-5.7058529222612888</c:v>
                </c:pt>
                <c:pt idx="707">
                  <c:v>-5.7165296596188222</c:v>
                </c:pt>
                <c:pt idx="708">
                  <c:v>-5.7272064103620579</c:v>
                </c:pt>
                <c:pt idx="709">
                  <c:v>-5.7378831744906984</c:v>
                </c:pt>
                <c:pt idx="710">
                  <c:v>-5.748559952004447</c:v>
                </c:pt>
                <c:pt idx="711">
                  <c:v>-5.7592367429030071</c:v>
                </c:pt>
                <c:pt idx="712">
                  <c:v>-5.7699135471860812</c:v>
                </c:pt>
                <c:pt idx="713">
                  <c:v>-5.7805903648533716</c:v>
                </c:pt>
                <c:pt idx="714">
                  <c:v>-5.7912671959045818</c:v>
                </c:pt>
                <c:pt idx="715">
                  <c:v>-5.8019440403394151</c:v>
                </c:pt>
                <c:pt idx="716">
                  <c:v>-5.812620898157574</c:v>
                </c:pt>
                <c:pt idx="717">
                  <c:v>-5.8232977693587618</c:v>
                </c:pt>
                <c:pt idx="718">
                  <c:v>-5.8339746539426809</c:v>
                </c:pt>
                <c:pt idx="719">
                  <c:v>-5.8446515519090338</c:v>
                </c:pt>
                <c:pt idx="720">
                  <c:v>-5.855328463257524</c:v>
                </c:pt>
                <c:pt idx="721">
                  <c:v>-5.8660053879878546</c:v>
                </c:pt>
                <c:pt idx="722">
                  <c:v>-5.8766823260997283</c:v>
                </c:pt>
                <c:pt idx="723">
                  <c:v>-5.8873592775928483</c:v>
                </c:pt>
                <c:pt idx="724">
                  <c:v>-5.898036242466917</c:v>
                </c:pt>
                <c:pt idx="725">
                  <c:v>-5.908713220721638</c:v>
                </c:pt>
                <c:pt idx="726">
                  <c:v>-5.9193902123567144</c:v>
                </c:pt>
                <c:pt idx="727">
                  <c:v>-5.9300672173718487</c:v>
                </c:pt>
                <c:pt idx="728">
                  <c:v>-5.9407442357667435</c:v>
                </c:pt>
                <c:pt idx="729">
                  <c:v>-5.951421267541102</c:v>
                </c:pt>
                <c:pt idx="730">
                  <c:v>-5.9620983126946276</c:v>
                </c:pt>
                <c:pt idx="731">
                  <c:v>-5.9727753712270228</c:v>
                </c:pt>
                <c:pt idx="732">
                  <c:v>-5.983452443137991</c:v>
                </c:pt>
                <c:pt idx="733">
                  <c:v>-5.9941295284272345</c:v>
                </c:pt>
                <c:pt idx="734">
                  <c:v>-6.0048066270944576</c:v>
                </c:pt>
                <c:pt idx="735">
                  <c:v>-6.0154837391393619</c:v>
                </c:pt>
                <c:pt idx="736">
                  <c:v>-6.0261608645616507</c:v>
                </c:pt>
                <c:pt idx="737">
                  <c:v>-6.0368380033610274</c:v>
                </c:pt>
                <c:pt idx="738">
                  <c:v>-6.0475151555371953</c:v>
                </c:pt>
                <c:pt idx="739">
                  <c:v>-6.0581923210898569</c:v>
                </c:pt>
                <c:pt idx="740">
                  <c:v>-6.0688695000187147</c:v>
                </c:pt>
                <c:pt idx="741">
                  <c:v>-6.0795466923234729</c:v>
                </c:pt>
                <c:pt idx="742">
                  <c:v>-6.0902238980038339</c:v>
                </c:pt>
                <c:pt idx="743">
                  <c:v>-6.1009011170595002</c:v>
                </c:pt>
                <c:pt idx="744">
                  <c:v>-6.1115783494901752</c:v>
                </c:pt>
                <c:pt idx="745">
                  <c:v>-6.1222555952955622</c:v>
                </c:pt>
                <c:pt idx="746">
                  <c:v>-6.1329328544753645</c:v>
                </c:pt>
                <c:pt idx="747">
                  <c:v>-6.1436101270292847</c:v>
                </c:pt>
                <c:pt idx="748">
                  <c:v>-6.1542874129570251</c:v>
                </c:pt>
                <c:pt idx="749">
                  <c:v>-6.16496471225829</c:v>
                </c:pt>
                <c:pt idx="750">
                  <c:v>-6.1756420249327819</c:v>
                </c:pt>
                <c:pt idx="751">
                  <c:v>-6.1863193509802041</c:v>
                </c:pt>
                <c:pt idx="752">
                  <c:v>-6.1969966904002591</c:v>
                </c:pt>
                <c:pt idx="753">
                  <c:v>-6.2076740431926503</c:v>
                </c:pt>
                <c:pt idx="754">
                  <c:v>-6.2183514093570809</c:v>
                </c:pt>
                <c:pt idx="755">
                  <c:v>-6.2290287888932534</c:v>
                </c:pt>
                <c:pt idx="756">
                  <c:v>-6.2397061818008712</c:v>
                </c:pt>
                <c:pt idx="757">
                  <c:v>-6.2503835880796377</c:v>
                </c:pt>
                <c:pt idx="758">
                  <c:v>-6.2610610077292561</c:v>
                </c:pt>
                <c:pt idx="759">
                  <c:v>-6.271738440749429</c:v>
                </c:pt>
                <c:pt idx="760">
                  <c:v>-6.2824158871398597</c:v>
                </c:pt>
                <c:pt idx="761">
                  <c:v>-6.2930933469002506</c:v>
                </c:pt>
                <c:pt idx="762">
                  <c:v>-6.303770820030306</c:v>
                </c:pt>
                <c:pt idx="763">
                  <c:v>-6.3144483065297283</c:v>
                </c:pt>
                <c:pt idx="764">
                  <c:v>-6.3251258063982201</c:v>
                </c:pt>
                <c:pt idx="765">
                  <c:v>-6.3358033196354855</c:v>
                </c:pt>
                <c:pt idx="766">
                  <c:v>-6.346480846241227</c:v>
                </c:pt>
                <c:pt idx="767">
                  <c:v>-6.3571583862151479</c:v>
                </c:pt>
                <c:pt idx="768">
                  <c:v>-6.3678359395569508</c:v>
                </c:pt>
                <c:pt idx="769">
                  <c:v>-6.3785135062663398</c:v>
                </c:pt>
                <c:pt idx="770">
                  <c:v>-6.3891910863430175</c:v>
                </c:pt>
                <c:pt idx="771">
                  <c:v>-6.3998686797866871</c:v>
                </c:pt>
                <c:pt idx="772">
                  <c:v>-6.4105462865970511</c:v>
                </c:pt>
                <c:pt idx="773">
                  <c:v>-6.4212239067738137</c:v>
                </c:pt>
                <c:pt idx="774">
                  <c:v>-6.4319015403166775</c:v>
                </c:pt>
                <c:pt idx="775">
                  <c:v>-6.4425791872253457</c:v>
                </c:pt>
                <c:pt idx="776">
                  <c:v>-6.4532568474995209</c:v>
                </c:pt>
                <c:pt idx="777">
                  <c:v>-6.4639345211389072</c:v>
                </c:pt>
                <c:pt idx="778">
                  <c:v>-6.4746122081432071</c:v>
                </c:pt>
                <c:pt idx="779">
                  <c:v>-6.4852899085121241</c:v>
                </c:pt>
                <c:pt idx="780">
                  <c:v>-6.4959676222453613</c:v>
                </c:pt>
                <c:pt idx="781">
                  <c:v>-6.5066453493426213</c:v>
                </c:pt>
                <c:pt idx="782">
                  <c:v>-6.5173230898036083</c:v>
                </c:pt>
                <c:pt idx="783">
                  <c:v>-6.5280008436280248</c:v>
                </c:pt>
                <c:pt idx="784">
                  <c:v>-6.5386786108155741</c:v>
                </c:pt>
                <c:pt idx="785">
                  <c:v>-6.5493563913659587</c:v>
                </c:pt>
                <c:pt idx="786">
                  <c:v>-6.5600341852788828</c:v>
                </c:pt>
                <c:pt idx="787">
                  <c:v>-6.5707119925540489</c:v>
                </c:pt>
                <c:pt idx="788">
                  <c:v>-6.5813898131911603</c:v>
                </c:pt>
                <c:pt idx="789">
                  <c:v>-6.5920676471899204</c:v>
                </c:pt>
                <c:pt idx="790">
                  <c:v>-6.6027454945500326</c:v>
                </c:pt>
                <c:pt idx="791">
                  <c:v>-6.6134233552712001</c:v>
                </c:pt>
                <c:pt idx="792">
                  <c:v>-6.6241012293531254</c:v>
                </c:pt>
                <c:pt idx="793">
                  <c:v>-6.6347791167955128</c:v>
                </c:pt>
                <c:pt idx="794">
                  <c:v>-6.6454570175980647</c:v>
                </c:pt>
                <c:pt idx="795">
                  <c:v>-6.6561349317604845</c:v>
                </c:pt>
                <c:pt idx="796">
                  <c:v>-6.6668128592824756</c:v>
                </c:pt>
                <c:pt idx="797">
                  <c:v>-6.6774908001637412</c:v>
                </c:pt>
                <c:pt idx="798">
                  <c:v>-6.6881687544039838</c:v>
                </c:pt>
                <c:pt idx="799">
                  <c:v>-6.6988467220029078</c:v>
                </c:pt>
                <c:pt idx="800">
                  <c:v>-6.7095247029602154</c:v>
                </c:pt>
                <c:pt idx="801">
                  <c:v>-6.7202026972756101</c:v>
                </c:pt>
                <c:pt idx="802">
                  <c:v>-6.7308807049487953</c:v>
                </c:pt>
                <c:pt idx="803">
                  <c:v>-6.7415587259794743</c:v>
                </c:pt>
                <c:pt idx="804">
                  <c:v>-6.7522367603673503</c:v>
                </c:pt>
                <c:pt idx="805">
                  <c:v>-6.7629148081121269</c:v>
                </c:pt>
                <c:pt idx="806">
                  <c:v>-6.7735928692135063</c:v>
                </c:pt>
                <c:pt idx="807">
                  <c:v>-6.784270943671193</c:v>
                </c:pt>
                <c:pt idx="808">
                  <c:v>-6.7949490314848893</c:v>
                </c:pt>
                <c:pt idx="809">
                  <c:v>-6.8056271326542985</c:v>
                </c:pt>
                <c:pt idx="810">
                  <c:v>-6.816305247179125</c:v>
                </c:pt>
                <c:pt idx="811">
                  <c:v>-6.8269833750590712</c:v>
                </c:pt>
                <c:pt idx="812">
                  <c:v>-6.8376615162938403</c:v>
                </c:pt>
                <c:pt idx="813">
                  <c:v>-6.8483396708831359</c:v>
                </c:pt>
                <c:pt idx="814">
                  <c:v>-6.8590178388266612</c:v>
                </c:pt>
                <c:pt idx="815">
                  <c:v>-6.8696960201241186</c:v>
                </c:pt>
                <c:pt idx="816">
                  <c:v>-6.8803742147752125</c:v>
                </c:pt>
                <c:pt idx="817">
                  <c:v>-6.8910524227796461</c:v>
                </c:pt>
                <c:pt idx="818">
                  <c:v>-6.901730644137122</c:v>
                </c:pt>
                <c:pt idx="819">
                  <c:v>-6.9124088788473443</c:v>
                </c:pt>
                <c:pt idx="820">
                  <c:v>-6.9230871269100165</c:v>
                </c:pt>
                <c:pt idx="821">
                  <c:v>-6.9337653883248409</c:v>
                </c:pt>
                <c:pt idx="822">
                  <c:v>-6.9444436630915209</c:v>
                </c:pt>
                <c:pt idx="823">
                  <c:v>-6.9551219512097608</c:v>
                </c:pt>
                <c:pt idx="824">
                  <c:v>-6.9658002526792631</c:v>
                </c:pt>
                <c:pt idx="825">
                  <c:v>-6.9764785674997318</c:v>
                </c:pt>
                <c:pt idx="826">
                  <c:v>-6.9871568956708696</c:v>
                </c:pt>
                <c:pt idx="827">
                  <c:v>-6.9978352371923798</c:v>
                </c:pt>
                <c:pt idx="828">
                  <c:v>-7.0085135920639665</c:v>
                </c:pt>
                <c:pt idx="829">
                  <c:v>-7.0191919602853323</c:v>
                </c:pt>
                <c:pt idx="830">
                  <c:v>-7.0298703418561805</c:v>
                </c:pt>
                <c:pt idx="831">
                  <c:v>-7.0405487367762145</c:v>
                </c:pt>
                <c:pt idx="832">
                  <c:v>-7.0512271450451385</c:v>
                </c:pt>
                <c:pt idx="833">
                  <c:v>-7.0619055666626549</c:v>
                </c:pt>
                <c:pt idx="834">
                  <c:v>-7.0725840016284671</c:v>
                </c:pt>
                <c:pt idx="835">
                  <c:v>-7.0832624499422785</c:v>
                </c:pt>
                <c:pt idx="836">
                  <c:v>-7.0939409116037933</c:v>
                </c:pt>
                <c:pt idx="837">
                  <c:v>-7.1046193866127139</c:v>
                </c:pt>
                <c:pt idx="838">
                  <c:v>-7.1152978749687437</c:v>
                </c:pt>
                <c:pt idx="839">
                  <c:v>-7.1259763766715869</c:v>
                </c:pt>
                <c:pt idx="840">
                  <c:v>-7.136654891720946</c:v>
                </c:pt>
                <c:pt idx="841">
                  <c:v>-7.1473334201165253</c:v>
                </c:pt>
                <c:pt idx="842">
                  <c:v>-7.1580119618580271</c:v>
                </c:pt>
                <c:pt idx="843">
                  <c:v>-7.1686905169451558</c:v>
                </c:pt>
                <c:pt idx="844">
                  <c:v>-7.1793690853776138</c:v>
                </c:pt>
                <c:pt idx="845">
                  <c:v>-7.1900476671551052</c:v>
                </c:pt>
                <c:pt idx="846">
                  <c:v>-7.2007262622773336</c:v>
                </c:pt>
                <c:pt idx="847">
                  <c:v>-7.2114048707440013</c:v>
                </c:pt>
                <c:pt idx="848">
                  <c:v>-7.2220834925548125</c:v>
                </c:pt>
                <c:pt idx="849">
                  <c:v>-7.2327621277094707</c:v>
                </c:pt>
                <c:pt idx="850">
                  <c:v>-7.2434407762076791</c:v>
                </c:pt>
                <c:pt idx="851">
                  <c:v>-7.2541194380491412</c:v>
                </c:pt>
                <c:pt idx="852">
                  <c:v>-7.2647981132335602</c:v>
                </c:pt>
                <c:pt idx="853">
                  <c:v>-7.2754768017606404</c:v>
                </c:pt>
                <c:pt idx="854">
                  <c:v>-7.2861555036300842</c:v>
                </c:pt>
                <c:pt idx="855">
                  <c:v>-7.296834218841596</c:v>
                </c:pt>
                <c:pt idx="856">
                  <c:v>-7.3075129473948781</c:v>
                </c:pt>
                <c:pt idx="857">
                  <c:v>-7.3181916892896348</c:v>
                </c:pt>
                <c:pt idx="858">
                  <c:v>-7.3288704445255686</c:v>
                </c:pt>
                <c:pt idx="859">
                  <c:v>-7.3395492131023836</c:v>
                </c:pt>
                <c:pt idx="860">
                  <c:v>-7.3502279950197833</c:v>
                </c:pt>
                <c:pt idx="861">
                  <c:v>-7.360906790277471</c:v>
                </c:pt>
                <c:pt idx="862">
                  <c:v>-7.3715855988751509</c:v>
                </c:pt>
                <c:pt idx="863">
                  <c:v>-7.3822644208125254</c:v>
                </c:pt>
                <c:pt idx="864">
                  <c:v>-7.3929432560892989</c:v>
                </c:pt>
                <c:pt idx="865">
                  <c:v>-7.4036221047051738</c:v>
                </c:pt>
                <c:pt idx="866">
                  <c:v>-7.4143009666598543</c:v>
                </c:pt>
                <c:pt idx="867">
                  <c:v>-7.4249798419530437</c:v>
                </c:pt>
                <c:pt idx="868">
                  <c:v>-7.4356587305844455</c:v>
                </c:pt>
                <c:pt idx="869">
                  <c:v>-7.4463376325537629</c:v>
                </c:pt>
                <c:pt idx="870">
                  <c:v>-7.4570165478607002</c:v>
                </c:pt>
                <c:pt idx="871">
                  <c:v>-7.4676954765049599</c:v>
                </c:pt>
                <c:pt idx="872">
                  <c:v>-7.4783744184862462</c:v>
                </c:pt>
                <c:pt idx="873">
                  <c:v>-7.4890533738042624</c:v>
                </c:pt>
                <c:pt idx="874">
                  <c:v>-7.4997323424587119</c:v>
                </c:pt>
                <c:pt idx="875">
                  <c:v>-7.510411324449298</c:v>
                </c:pt>
                <c:pt idx="876">
                  <c:v>-7.5210903197757251</c:v>
                </c:pt>
                <c:pt idx="877">
                  <c:v>-7.5317693284376954</c:v>
                </c:pt>
                <c:pt idx="878">
                  <c:v>-7.5424483504349134</c:v>
                </c:pt>
                <c:pt idx="879">
                  <c:v>-7.5531273857670822</c:v>
                </c:pt>
                <c:pt idx="880">
                  <c:v>-7.5638064344339053</c:v>
                </c:pt>
                <c:pt idx="881">
                  <c:v>-7.574485496435087</c:v>
                </c:pt>
                <c:pt idx="882">
                  <c:v>-7.5851645717703295</c:v>
                </c:pt>
                <c:pt idx="883">
                  <c:v>-7.5958436604393373</c:v>
                </c:pt>
                <c:pt idx="884">
                  <c:v>-7.6065227624418137</c:v>
                </c:pt>
                <c:pt idx="885">
                  <c:v>-7.6172018777774619</c:v>
                </c:pt>
                <c:pt idx="886">
                  <c:v>-7.6278810064459863</c:v>
                </c:pt>
                <c:pt idx="887">
                  <c:v>-7.6385601484470902</c:v>
                </c:pt>
                <c:pt idx="888">
                  <c:v>-7.6492393037804769</c:v>
                </c:pt>
                <c:pt idx="889">
                  <c:v>-7.6599184724458498</c:v>
                </c:pt>
                <c:pt idx="890">
                  <c:v>-7.6705976544429122</c:v>
                </c:pt>
                <c:pt idx="891">
                  <c:v>-7.6812768497713684</c:v>
                </c:pt>
                <c:pt idx="892">
                  <c:v>-7.6919560584309217</c:v>
                </c:pt>
                <c:pt idx="893">
                  <c:v>-7.7026352804212754</c:v>
                </c:pt>
                <c:pt idx="894">
                  <c:v>-7.7133145157421339</c:v>
                </c:pt>
                <c:pt idx="895">
                  <c:v>-7.7239937643931995</c:v>
                </c:pt>
                <c:pt idx="896">
                  <c:v>-7.7346730263741774</c:v>
                </c:pt>
                <c:pt idx="897">
                  <c:v>-7.7453523016847701</c:v>
                </c:pt>
                <c:pt idx="898">
                  <c:v>-7.7560315903246808</c:v>
                </c:pt>
                <c:pt idx="899">
                  <c:v>-7.7667108922936139</c:v>
                </c:pt>
                <c:pt idx="900">
                  <c:v>-7.7773902075912726</c:v>
                </c:pt>
                <c:pt idx="901">
                  <c:v>-7.7880695362173613</c:v>
                </c:pt>
                <c:pt idx="902">
                  <c:v>-7.7987488781715824</c:v>
                </c:pt>
                <c:pt idx="903">
                  <c:v>-7.80942823345364</c:v>
                </c:pt>
                <c:pt idx="904">
                  <c:v>-7.8201076020632385</c:v>
                </c:pt>
                <c:pt idx="905">
                  <c:v>-7.8307869840000803</c:v>
                </c:pt>
                <c:pt idx="906">
                  <c:v>-7.8414663792638697</c:v>
                </c:pt>
                <c:pt idx="907">
                  <c:v>-7.8521457878543108</c:v>
                </c:pt>
                <c:pt idx="908">
                  <c:v>-7.8628252097711062</c:v>
                </c:pt>
                <c:pt idx="909">
                  <c:v>-7.8735046450139601</c:v>
                </c:pt>
                <c:pt idx="910">
                  <c:v>-7.8841840935825758</c:v>
                </c:pt>
                <c:pt idx="911">
                  <c:v>-7.8948635554766575</c:v>
                </c:pt>
                <c:pt idx="912">
                  <c:v>-7.9055430306959087</c:v>
                </c:pt>
                <c:pt idx="913">
                  <c:v>-7.9162225192400326</c:v>
                </c:pt>
                <c:pt idx="914">
                  <c:v>-7.9269020211087327</c:v>
                </c:pt>
                <c:pt idx="915">
                  <c:v>-7.937581536301713</c:v>
                </c:pt>
                <c:pt idx="916">
                  <c:v>-7.9482610648186771</c:v>
                </c:pt>
                <c:pt idx="917">
                  <c:v>-7.9589406066593291</c:v>
                </c:pt>
                <c:pt idx="918">
                  <c:v>-7.9696201618233724</c:v>
                </c:pt>
                <c:pt idx="919">
                  <c:v>-7.9802997303105103</c:v>
                </c:pt>
                <c:pt idx="920">
                  <c:v>-7.9909793121204471</c:v>
                </c:pt>
                <c:pt idx="921">
                  <c:v>-8.001658907252887</c:v>
                </c:pt>
                <c:pt idx="922">
                  <c:v>-8.0123385157075315</c:v>
                </c:pt>
                <c:pt idx="923">
                  <c:v>-8.0230181374840868</c:v>
                </c:pt>
                <c:pt idx="924">
                  <c:v>-8.0336977725822543</c:v>
                </c:pt>
                <c:pt idx="925">
                  <c:v>-8.0443774210017391</c:v>
                </c:pt>
                <c:pt idx="926">
                  <c:v>-8.0550570827422447</c:v>
                </c:pt>
                <c:pt idx="927">
                  <c:v>-8.0657367578034744</c:v>
                </c:pt>
                <c:pt idx="928">
                  <c:v>-8.0764164461851333</c:v>
                </c:pt>
                <c:pt idx="929">
                  <c:v>-8.087096147886923</c:v>
                </c:pt>
                <c:pt idx="930">
                  <c:v>-8.0977758629085486</c:v>
                </c:pt>
                <c:pt idx="931">
                  <c:v>-8.1084555912497134</c:v>
                </c:pt>
                <c:pt idx="932">
                  <c:v>-8.1191353329101208</c:v>
                </c:pt>
                <c:pt idx="933">
                  <c:v>-8.1298150878894759</c:v>
                </c:pt>
                <c:pt idx="934">
                  <c:v>-8.1404948561874804</c:v>
                </c:pt>
                <c:pt idx="935">
                  <c:v>-8.1511746378038392</c:v>
                </c:pt>
                <c:pt idx="936">
                  <c:v>-8.1618544327382558</c:v>
                </c:pt>
                <c:pt idx="937">
                  <c:v>-8.1725342409904354</c:v>
                </c:pt>
                <c:pt idx="938">
                  <c:v>-8.1832140625600793</c:v>
                </c:pt>
                <c:pt idx="939">
                  <c:v>-8.1938938974468929</c:v>
                </c:pt>
                <c:pt idx="940">
                  <c:v>-8.2045737456505794</c:v>
                </c:pt>
                <c:pt idx="941">
                  <c:v>-8.2152536071708422</c:v>
                </c:pt>
                <c:pt idx="942">
                  <c:v>-8.2259334820073864</c:v>
                </c:pt>
                <c:pt idx="943">
                  <c:v>-8.2366133701599136</c:v>
                </c:pt>
                <c:pt idx="944">
                  <c:v>-8.2472932716281289</c:v>
                </c:pt>
                <c:pt idx="945">
                  <c:v>-8.2579731864117356</c:v>
                </c:pt>
                <c:pt idx="946">
                  <c:v>-8.2686531145104389</c:v>
                </c:pt>
                <c:pt idx="947">
                  <c:v>-8.2793330559239404</c:v>
                </c:pt>
                <c:pt idx="948">
                  <c:v>-8.2900130106519452</c:v>
                </c:pt>
                <c:pt idx="949">
                  <c:v>-8.3006929786941566</c:v>
                </c:pt>
                <c:pt idx="950">
                  <c:v>-8.3113729600502797</c:v>
                </c:pt>
                <c:pt idx="951">
                  <c:v>-8.3220529547200162</c:v>
                </c:pt>
                <c:pt idx="952">
                  <c:v>-8.3327329627030711</c:v>
                </c:pt>
                <c:pt idx="953">
                  <c:v>-8.3434129839991478</c:v>
                </c:pt>
                <c:pt idx="954">
                  <c:v>-8.3540930186079496</c:v>
                </c:pt>
                <c:pt idx="955">
                  <c:v>-8.3647730665291817</c:v>
                </c:pt>
                <c:pt idx="956">
                  <c:v>-8.3754531277625475</c:v>
                </c:pt>
                <c:pt idx="957">
                  <c:v>-8.3861332023077502</c:v>
                </c:pt>
                <c:pt idx="958">
                  <c:v>-8.3968132901644932</c:v>
                </c:pt>
                <c:pt idx="959">
                  <c:v>-8.4074933913324816</c:v>
                </c:pt>
                <c:pt idx="960">
                  <c:v>-8.4181735058114189</c:v>
                </c:pt>
                <c:pt idx="961">
                  <c:v>-8.4288536336010083</c:v>
                </c:pt>
                <c:pt idx="962">
                  <c:v>-8.4395337747009549</c:v>
                </c:pt>
                <c:pt idx="963">
                  <c:v>-8.4502139291109604</c:v>
                </c:pt>
                <c:pt idx="964">
                  <c:v>-8.4608940968307298</c:v>
                </c:pt>
                <c:pt idx="965">
                  <c:v>-8.4715742778599683</c:v>
                </c:pt>
                <c:pt idx="966">
                  <c:v>-8.4822544721983775</c:v>
                </c:pt>
                <c:pt idx="967">
                  <c:v>-8.4929346798456624</c:v>
                </c:pt>
                <c:pt idx="968">
                  <c:v>-8.5036149008015265</c:v>
                </c:pt>
                <c:pt idx="969">
                  <c:v>-8.5142951350656748</c:v>
                </c:pt>
                <c:pt idx="970">
                  <c:v>-8.524975382637809</c:v>
                </c:pt>
                <c:pt idx="971">
                  <c:v>-8.5356556435176358</c:v>
                </c:pt>
                <c:pt idx="972">
                  <c:v>-8.546335917704857</c:v>
                </c:pt>
                <c:pt idx="973">
                  <c:v>-8.5570162051991758</c:v>
                </c:pt>
                <c:pt idx="974">
                  <c:v>-8.5676965060002974</c:v>
                </c:pt>
                <c:pt idx="975">
                  <c:v>-8.5783768201079251</c:v>
                </c:pt>
                <c:pt idx="976">
                  <c:v>-8.5890571475217641</c:v>
                </c:pt>
                <c:pt idx="977">
                  <c:v>-8.5997374882415176</c:v>
                </c:pt>
                <c:pt idx="978">
                  <c:v>-8.6104178422668891</c:v>
                </c:pt>
                <c:pt idx="979">
                  <c:v>-8.6210982095975819</c:v>
                </c:pt>
                <c:pt idx="980">
                  <c:v>-8.6317785902333011</c:v>
                </c:pt>
                <c:pt idx="981">
                  <c:v>-8.64245898417375</c:v>
                </c:pt>
                <c:pt idx="982">
                  <c:v>-8.6531393914186321</c:v>
                </c:pt>
                <c:pt idx="983">
                  <c:v>-8.6638198119676524</c:v>
                </c:pt>
                <c:pt idx="984">
                  <c:v>-8.6745002458205143</c:v>
                </c:pt>
                <c:pt idx="985">
                  <c:v>-8.6851806929769211</c:v>
                </c:pt>
                <c:pt idx="986">
                  <c:v>-8.695861153436578</c:v>
                </c:pt>
                <c:pt idx="987">
                  <c:v>-8.7065416271991882</c:v>
                </c:pt>
                <c:pt idx="988">
                  <c:v>-8.7172221142644553</c:v>
                </c:pt>
                <c:pt idx="989">
                  <c:v>-8.7279026146320842</c:v>
                </c:pt>
                <c:pt idx="990">
                  <c:v>-8.7385831283017783</c:v>
                </c:pt>
                <c:pt idx="991">
                  <c:v>-8.749263655273241</c:v>
                </c:pt>
                <c:pt idx="992">
                  <c:v>-8.7599441955461774</c:v>
                </c:pt>
                <c:pt idx="993">
                  <c:v>-8.7706247491202909</c:v>
                </c:pt>
                <c:pt idx="994">
                  <c:v>-8.7813053159952847</c:v>
                </c:pt>
                <c:pt idx="995">
                  <c:v>-8.7919858961708623</c:v>
                </c:pt>
                <c:pt idx="996">
                  <c:v>-8.8026664896467288</c:v>
                </c:pt>
                <c:pt idx="997">
                  <c:v>-8.8133470964225893</c:v>
                </c:pt>
                <c:pt idx="998">
                  <c:v>-8.8240277164981453</c:v>
                </c:pt>
                <c:pt idx="999">
                  <c:v>-8.8347083498731021</c:v>
                </c:pt>
                <c:pt idx="1000">
                  <c:v>-8.8453889965471646</c:v>
                </c:pt>
              </c:numCache>
            </c:numRef>
          </c:yVal>
          <c:smooth val="1"/>
          <c:extLst>
            <c:ext xmlns:c16="http://schemas.microsoft.com/office/drawing/2014/chart" uri="{C3380CC4-5D6E-409C-BE32-E72D297353CC}">
              <c16:uniqueId val="{00000001-4C7F-469F-ADED-1B0B28F452E1}"/>
            </c:ext>
          </c:extLst>
        </c:ser>
        <c:ser>
          <c:idx val="1"/>
          <c:order val="2"/>
          <c:tx>
            <c:strRef>
              <c:f>Trajecto!$B$108</c:f>
              <c:strCache>
                <c:ptCount val="1"/>
                <c:pt idx="0">
                  <c:v>Descente balistique</c:v>
                </c:pt>
              </c:strCache>
            </c:strRef>
          </c:tx>
          <c:spPr>
            <a:ln w="12700">
              <a:solidFill>
                <a:srgbClr val="808080"/>
              </a:solidFill>
              <a:prstDash val="sysDash"/>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1.1000000000000008</c:v>
                </c:pt>
                <c:pt idx="102">
                  <c:v>1.2000000000000008</c:v>
                </c:pt>
                <c:pt idx="103">
                  <c:v>1.3000000000000009</c:v>
                </c:pt>
                <c:pt idx="104">
                  <c:v>1.400000000000001</c:v>
                </c:pt>
                <c:pt idx="105">
                  <c:v>1.5000000000000011</c:v>
                </c:pt>
                <c:pt idx="106">
                  <c:v>1.6000000000000012</c:v>
                </c:pt>
                <c:pt idx="107">
                  <c:v>1.7000000000000013</c:v>
                </c:pt>
                <c:pt idx="108">
                  <c:v>1.8000000000000014</c:v>
                </c:pt>
                <c:pt idx="109">
                  <c:v>1.9000000000000015</c:v>
                </c:pt>
                <c:pt idx="110">
                  <c:v>2.0000000000000013</c:v>
                </c:pt>
                <c:pt idx="111">
                  <c:v>2.1000000000000014</c:v>
                </c:pt>
                <c:pt idx="112">
                  <c:v>2.2000000000000015</c:v>
                </c:pt>
                <c:pt idx="113">
                  <c:v>2.3000000000000016</c:v>
                </c:pt>
                <c:pt idx="114">
                  <c:v>2.4000000000000017</c:v>
                </c:pt>
                <c:pt idx="115">
                  <c:v>2.5000000000000018</c:v>
                </c:pt>
                <c:pt idx="116">
                  <c:v>2.6000000000000019</c:v>
                </c:pt>
                <c:pt idx="117">
                  <c:v>2.700000000000002</c:v>
                </c:pt>
                <c:pt idx="118">
                  <c:v>2.800000000000002</c:v>
                </c:pt>
                <c:pt idx="119">
                  <c:v>2.9000000000000021</c:v>
                </c:pt>
                <c:pt idx="120">
                  <c:v>3.0000000000000022</c:v>
                </c:pt>
                <c:pt idx="121">
                  <c:v>3.1000000000000023</c:v>
                </c:pt>
                <c:pt idx="122">
                  <c:v>3.2000000000000024</c:v>
                </c:pt>
                <c:pt idx="123">
                  <c:v>3.3000000000000025</c:v>
                </c:pt>
                <c:pt idx="124">
                  <c:v>3.4000000000000026</c:v>
                </c:pt>
                <c:pt idx="125">
                  <c:v>3.5000000000000027</c:v>
                </c:pt>
                <c:pt idx="126">
                  <c:v>3.6000000000000028</c:v>
                </c:pt>
                <c:pt idx="127">
                  <c:v>3.7000000000000028</c:v>
                </c:pt>
                <c:pt idx="128">
                  <c:v>3.8000000000000029</c:v>
                </c:pt>
                <c:pt idx="129">
                  <c:v>3.900000000000003</c:v>
                </c:pt>
                <c:pt idx="130">
                  <c:v>4.0000000000000027</c:v>
                </c:pt>
                <c:pt idx="131">
                  <c:v>4.1000000000000023</c:v>
                </c:pt>
                <c:pt idx="132">
                  <c:v>4.200000000000002</c:v>
                </c:pt>
                <c:pt idx="133">
                  <c:v>4.3000000000000016</c:v>
                </c:pt>
                <c:pt idx="134">
                  <c:v>4.4000000000000012</c:v>
                </c:pt>
                <c:pt idx="135">
                  <c:v>4.5000000000000009</c:v>
                </c:pt>
                <c:pt idx="136">
                  <c:v>4.6000000000000005</c:v>
                </c:pt>
                <c:pt idx="137">
                  <c:v>4.7</c:v>
                </c:pt>
                <c:pt idx="138">
                  <c:v>4.8</c:v>
                </c:pt>
                <c:pt idx="139">
                  <c:v>4.8999999999999995</c:v>
                </c:pt>
                <c:pt idx="140">
                  <c:v>4.9999999999999991</c:v>
                </c:pt>
                <c:pt idx="141">
                  <c:v>5.0999999999999988</c:v>
                </c:pt>
                <c:pt idx="142">
                  <c:v>5.1999999999999984</c:v>
                </c:pt>
                <c:pt idx="143">
                  <c:v>5.299999999999998</c:v>
                </c:pt>
                <c:pt idx="144">
                  <c:v>5.3999999999999977</c:v>
                </c:pt>
                <c:pt idx="145">
                  <c:v>5.4999999999999973</c:v>
                </c:pt>
                <c:pt idx="146">
                  <c:v>5.599999999999997</c:v>
                </c:pt>
                <c:pt idx="147">
                  <c:v>5.6999999999999966</c:v>
                </c:pt>
                <c:pt idx="148">
                  <c:v>5.7999999999999963</c:v>
                </c:pt>
                <c:pt idx="149">
                  <c:v>5.8999999999999959</c:v>
                </c:pt>
                <c:pt idx="150">
                  <c:v>5.9999999999999956</c:v>
                </c:pt>
                <c:pt idx="151">
                  <c:v>6.0999999999999952</c:v>
                </c:pt>
                <c:pt idx="152">
                  <c:v>6.1999999999999948</c:v>
                </c:pt>
                <c:pt idx="153">
                  <c:v>6.2999999999999945</c:v>
                </c:pt>
                <c:pt idx="154">
                  <c:v>6.3999999999999941</c:v>
                </c:pt>
                <c:pt idx="155">
                  <c:v>6.4999999999999938</c:v>
                </c:pt>
                <c:pt idx="156">
                  <c:v>6.5999999999999934</c:v>
                </c:pt>
                <c:pt idx="157">
                  <c:v>6.6999999999999931</c:v>
                </c:pt>
                <c:pt idx="158">
                  <c:v>6.7999999999999927</c:v>
                </c:pt>
                <c:pt idx="159">
                  <c:v>6.8999999999999924</c:v>
                </c:pt>
                <c:pt idx="160">
                  <c:v>6.999999999999992</c:v>
                </c:pt>
                <c:pt idx="161">
                  <c:v>7.0999999999999917</c:v>
                </c:pt>
                <c:pt idx="162">
                  <c:v>7.1999999999999913</c:v>
                </c:pt>
                <c:pt idx="163">
                  <c:v>7.2999999999999909</c:v>
                </c:pt>
                <c:pt idx="164">
                  <c:v>7.3999999999999906</c:v>
                </c:pt>
                <c:pt idx="165">
                  <c:v>7.4999999999999902</c:v>
                </c:pt>
                <c:pt idx="166">
                  <c:v>7.5999999999999899</c:v>
                </c:pt>
                <c:pt idx="167">
                  <c:v>7.6999999999999895</c:v>
                </c:pt>
                <c:pt idx="168">
                  <c:v>7.7999999999999892</c:v>
                </c:pt>
                <c:pt idx="169">
                  <c:v>7.8999999999999888</c:v>
                </c:pt>
                <c:pt idx="170">
                  <c:v>7.9999999999999885</c:v>
                </c:pt>
                <c:pt idx="171">
                  <c:v>8.099999999999989</c:v>
                </c:pt>
                <c:pt idx="172">
                  <c:v>8.1999999999999886</c:v>
                </c:pt>
                <c:pt idx="173">
                  <c:v>8.2999999999999883</c:v>
                </c:pt>
                <c:pt idx="174">
                  <c:v>8.3999999999999879</c:v>
                </c:pt>
                <c:pt idx="175">
                  <c:v>8.4999999999999876</c:v>
                </c:pt>
                <c:pt idx="176">
                  <c:v>8.5999999999999872</c:v>
                </c:pt>
                <c:pt idx="177">
                  <c:v>8.6999999999999869</c:v>
                </c:pt>
                <c:pt idx="178">
                  <c:v>8.7999999999999865</c:v>
                </c:pt>
                <c:pt idx="179">
                  <c:v>8.8999999999999861</c:v>
                </c:pt>
                <c:pt idx="180">
                  <c:v>8.9999999999999858</c:v>
                </c:pt>
                <c:pt idx="181">
                  <c:v>9.0999999999999854</c:v>
                </c:pt>
                <c:pt idx="182">
                  <c:v>9.1999999999999851</c:v>
                </c:pt>
                <c:pt idx="183">
                  <c:v>9.2999999999999847</c:v>
                </c:pt>
                <c:pt idx="184">
                  <c:v>9.3999999999999844</c:v>
                </c:pt>
                <c:pt idx="185">
                  <c:v>9.499999999999984</c:v>
                </c:pt>
                <c:pt idx="186">
                  <c:v>9.5999999999999837</c:v>
                </c:pt>
                <c:pt idx="187">
                  <c:v>9.6999999999999833</c:v>
                </c:pt>
                <c:pt idx="188">
                  <c:v>9.7999999999999829</c:v>
                </c:pt>
                <c:pt idx="189">
                  <c:v>9.8999999999999826</c:v>
                </c:pt>
                <c:pt idx="190">
                  <c:v>9.9999999999999822</c:v>
                </c:pt>
                <c:pt idx="191">
                  <c:v>10.099999999999982</c:v>
                </c:pt>
                <c:pt idx="192">
                  <c:v>10.199999999999982</c:v>
                </c:pt>
                <c:pt idx="193">
                  <c:v>10.299999999999981</c:v>
                </c:pt>
                <c:pt idx="194">
                  <c:v>10.399999999999981</c:v>
                </c:pt>
                <c:pt idx="195">
                  <c:v>10.49999999999998</c:v>
                </c:pt>
                <c:pt idx="196">
                  <c:v>10.59999999999998</c:v>
                </c:pt>
                <c:pt idx="197">
                  <c:v>10.69999999999998</c:v>
                </c:pt>
                <c:pt idx="198">
                  <c:v>10.799999999999979</c:v>
                </c:pt>
                <c:pt idx="199">
                  <c:v>10.899999999999979</c:v>
                </c:pt>
                <c:pt idx="200">
                  <c:v>10.999999999999979</c:v>
                </c:pt>
                <c:pt idx="201">
                  <c:v>11.099999999999978</c:v>
                </c:pt>
                <c:pt idx="202">
                  <c:v>11.199999999999978</c:v>
                </c:pt>
                <c:pt idx="203">
                  <c:v>11.299999999999978</c:v>
                </c:pt>
                <c:pt idx="204">
                  <c:v>11.399999999999977</c:v>
                </c:pt>
                <c:pt idx="205">
                  <c:v>11.499999999999977</c:v>
                </c:pt>
                <c:pt idx="206">
                  <c:v>11.599999999999977</c:v>
                </c:pt>
                <c:pt idx="207">
                  <c:v>11.699999999999976</c:v>
                </c:pt>
                <c:pt idx="208">
                  <c:v>11.799999999999976</c:v>
                </c:pt>
                <c:pt idx="209">
                  <c:v>11.899999999999975</c:v>
                </c:pt>
                <c:pt idx="210">
                  <c:v>11.999999999999975</c:v>
                </c:pt>
                <c:pt idx="211">
                  <c:v>12.099999999999975</c:v>
                </c:pt>
                <c:pt idx="212">
                  <c:v>12.199999999999974</c:v>
                </c:pt>
                <c:pt idx="213">
                  <c:v>12.299999999999974</c:v>
                </c:pt>
                <c:pt idx="214">
                  <c:v>12.399999999999974</c:v>
                </c:pt>
                <c:pt idx="215">
                  <c:v>12.499999999999973</c:v>
                </c:pt>
                <c:pt idx="216">
                  <c:v>12.599999999999973</c:v>
                </c:pt>
                <c:pt idx="217">
                  <c:v>12.699999999999973</c:v>
                </c:pt>
                <c:pt idx="218">
                  <c:v>12.799999999999972</c:v>
                </c:pt>
                <c:pt idx="219">
                  <c:v>12.899999999999972</c:v>
                </c:pt>
                <c:pt idx="220">
                  <c:v>12.999999999999972</c:v>
                </c:pt>
                <c:pt idx="221">
                  <c:v>13.099999999999971</c:v>
                </c:pt>
                <c:pt idx="222">
                  <c:v>13.199999999999971</c:v>
                </c:pt>
                <c:pt idx="223">
                  <c:v>13.299999999999971</c:v>
                </c:pt>
                <c:pt idx="224">
                  <c:v>13.39999999999997</c:v>
                </c:pt>
                <c:pt idx="225">
                  <c:v>13.49999999999997</c:v>
                </c:pt>
                <c:pt idx="226">
                  <c:v>13.599999999999969</c:v>
                </c:pt>
                <c:pt idx="227">
                  <c:v>13.699999999999969</c:v>
                </c:pt>
                <c:pt idx="228">
                  <c:v>13.799999999999969</c:v>
                </c:pt>
                <c:pt idx="229">
                  <c:v>13.899999999999968</c:v>
                </c:pt>
                <c:pt idx="230">
                  <c:v>13.999999999999968</c:v>
                </c:pt>
                <c:pt idx="231">
                  <c:v>14.099999999999968</c:v>
                </c:pt>
                <c:pt idx="232">
                  <c:v>14.199999999999967</c:v>
                </c:pt>
                <c:pt idx="233">
                  <c:v>14.299999999999967</c:v>
                </c:pt>
                <c:pt idx="234">
                  <c:v>14.399999999999967</c:v>
                </c:pt>
                <c:pt idx="235">
                  <c:v>14.499999999999966</c:v>
                </c:pt>
                <c:pt idx="236">
                  <c:v>14.599999999999966</c:v>
                </c:pt>
                <c:pt idx="237">
                  <c:v>14.699999999999966</c:v>
                </c:pt>
                <c:pt idx="238">
                  <c:v>14.799999999999965</c:v>
                </c:pt>
                <c:pt idx="239">
                  <c:v>14.899999999999965</c:v>
                </c:pt>
                <c:pt idx="240">
                  <c:v>14.999999999999964</c:v>
                </c:pt>
                <c:pt idx="241">
                  <c:v>15.099999999999964</c:v>
                </c:pt>
                <c:pt idx="242">
                  <c:v>15.199999999999964</c:v>
                </c:pt>
                <c:pt idx="243">
                  <c:v>15.299999999999963</c:v>
                </c:pt>
                <c:pt idx="244">
                  <c:v>15.399999999999963</c:v>
                </c:pt>
                <c:pt idx="245">
                  <c:v>15.499999999999963</c:v>
                </c:pt>
                <c:pt idx="246">
                  <c:v>15.599999999999962</c:v>
                </c:pt>
                <c:pt idx="247">
                  <c:v>15.699999999999962</c:v>
                </c:pt>
                <c:pt idx="248">
                  <c:v>15.799999999999962</c:v>
                </c:pt>
                <c:pt idx="249">
                  <c:v>15.899999999999961</c:v>
                </c:pt>
                <c:pt idx="250">
                  <c:v>15.999999999999961</c:v>
                </c:pt>
                <c:pt idx="251">
                  <c:v>16.099999999999962</c:v>
                </c:pt>
                <c:pt idx="252">
                  <c:v>16.199999999999964</c:v>
                </c:pt>
                <c:pt idx="253">
                  <c:v>16.299999999999965</c:v>
                </c:pt>
                <c:pt idx="254">
                  <c:v>16.399999999999967</c:v>
                </c:pt>
                <c:pt idx="255">
                  <c:v>16.499999999999968</c:v>
                </c:pt>
                <c:pt idx="256">
                  <c:v>16.599999999999969</c:v>
                </c:pt>
                <c:pt idx="257">
                  <c:v>16.699999999999971</c:v>
                </c:pt>
                <c:pt idx="258">
                  <c:v>16.799999999999972</c:v>
                </c:pt>
                <c:pt idx="259">
                  <c:v>16.899999999999974</c:v>
                </c:pt>
                <c:pt idx="260">
                  <c:v>16.999999999999975</c:v>
                </c:pt>
                <c:pt idx="261">
                  <c:v>17.099999999999977</c:v>
                </c:pt>
                <c:pt idx="262">
                  <c:v>17.199999999999978</c:v>
                </c:pt>
                <c:pt idx="263">
                  <c:v>17.299999999999979</c:v>
                </c:pt>
                <c:pt idx="264">
                  <c:v>17.399999999999981</c:v>
                </c:pt>
                <c:pt idx="265">
                  <c:v>17.499999999999982</c:v>
                </c:pt>
                <c:pt idx="266">
                  <c:v>17.599999999999984</c:v>
                </c:pt>
                <c:pt idx="267">
                  <c:v>17.699999999999985</c:v>
                </c:pt>
                <c:pt idx="268">
                  <c:v>17.799999999999986</c:v>
                </c:pt>
                <c:pt idx="269">
                  <c:v>17.899999999999988</c:v>
                </c:pt>
                <c:pt idx="270">
                  <c:v>17.999999999999989</c:v>
                </c:pt>
                <c:pt idx="271">
                  <c:v>18.099999999999991</c:v>
                </c:pt>
                <c:pt idx="272">
                  <c:v>18.199999999999992</c:v>
                </c:pt>
                <c:pt idx="273">
                  <c:v>18.299999999999994</c:v>
                </c:pt>
                <c:pt idx="274">
                  <c:v>18.399999999999995</c:v>
                </c:pt>
                <c:pt idx="275">
                  <c:v>18.499999999999996</c:v>
                </c:pt>
                <c:pt idx="276">
                  <c:v>18.599999999999998</c:v>
                </c:pt>
                <c:pt idx="277">
                  <c:v>18.7</c:v>
                </c:pt>
                <c:pt idx="278">
                  <c:v>18.8</c:v>
                </c:pt>
                <c:pt idx="279">
                  <c:v>18.900000000000002</c:v>
                </c:pt>
                <c:pt idx="280">
                  <c:v>19.000000000000004</c:v>
                </c:pt>
                <c:pt idx="281">
                  <c:v>19.100000000000005</c:v>
                </c:pt>
                <c:pt idx="282">
                  <c:v>19.200000000000006</c:v>
                </c:pt>
                <c:pt idx="283">
                  <c:v>19.300000000000008</c:v>
                </c:pt>
                <c:pt idx="284">
                  <c:v>19.400000000000009</c:v>
                </c:pt>
                <c:pt idx="285">
                  <c:v>19.500000000000011</c:v>
                </c:pt>
                <c:pt idx="286">
                  <c:v>19.600000000000012</c:v>
                </c:pt>
                <c:pt idx="287">
                  <c:v>19.700000000000014</c:v>
                </c:pt>
                <c:pt idx="288">
                  <c:v>19.800000000000015</c:v>
                </c:pt>
                <c:pt idx="289">
                  <c:v>19.900000000000016</c:v>
                </c:pt>
                <c:pt idx="290">
                  <c:v>20.000000000000018</c:v>
                </c:pt>
                <c:pt idx="291">
                  <c:v>20.100000000000019</c:v>
                </c:pt>
                <c:pt idx="292">
                  <c:v>20.200000000000021</c:v>
                </c:pt>
                <c:pt idx="293">
                  <c:v>20.300000000000022</c:v>
                </c:pt>
                <c:pt idx="294">
                  <c:v>20.400000000000023</c:v>
                </c:pt>
                <c:pt idx="295">
                  <c:v>20.500000000000025</c:v>
                </c:pt>
                <c:pt idx="296">
                  <c:v>20.600000000000026</c:v>
                </c:pt>
                <c:pt idx="297">
                  <c:v>20.700000000000028</c:v>
                </c:pt>
                <c:pt idx="298">
                  <c:v>20.800000000000029</c:v>
                </c:pt>
                <c:pt idx="299">
                  <c:v>20.900000000000031</c:v>
                </c:pt>
                <c:pt idx="300">
                  <c:v>21.000000000000032</c:v>
                </c:pt>
                <c:pt idx="301">
                  <c:v>21.100000000000033</c:v>
                </c:pt>
                <c:pt idx="302">
                  <c:v>21.200000000000035</c:v>
                </c:pt>
                <c:pt idx="303">
                  <c:v>21.300000000000036</c:v>
                </c:pt>
                <c:pt idx="304">
                  <c:v>21.400000000000038</c:v>
                </c:pt>
                <c:pt idx="305">
                  <c:v>21.500000000000039</c:v>
                </c:pt>
                <c:pt idx="306">
                  <c:v>21.600000000000041</c:v>
                </c:pt>
                <c:pt idx="307">
                  <c:v>21.700000000000042</c:v>
                </c:pt>
                <c:pt idx="308">
                  <c:v>21.800000000000043</c:v>
                </c:pt>
                <c:pt idx="309">
                  <c:v>21.900000000000045</c:v>
                </c:pt>
                <c:pt idx="310">
                  <c:v>22.000000000000046</c:v>
                </c:pt>
                <c:pt idx="311">
                  <c:v>22.100000000000048</c:v>
                </c:pt>
                <c:pt idx="312">
                  <c:v>22.200000000000049</c:v>
                </c:pt>
                <c:pt idx="313">
                  <c:v>22.30000000000005</c:v>
                </c:pt>
                <c:pt idx="314">
                  <c:v>22.400000000000052</c:v>
                </c:pt>
                <c:pt idx="315">
                  <c:v>22.500000000000053</c:v>
                </c:pt>
                <c:pt idx="316">
                  <c:v>22.600000000000055</c:v>
                </c:pt>
                <c:pt idx="317">
                  <c:v>22.700000000000056</c:v>
                </c:pt>
                <c:pt idx="318">
                  <c:v>22.800000000000058</c:v>
                </c:pt>
                <c:pt idx="319">
                  <c:v>22.900000000000059</c:v>
                </c:pt>
                <c:pt idx="320">
                  <c:v>23.00000000000006</c:v>
                </c:pt>
                <c:pt idx="321">
                  <c:v>23.100000000000062</c:v>
                </c:pt>
                <c:pt idx="322">
                  <c:v>23.200000000000063</c:v>
                </c:pt>
                <c:pt idx="323">
                  <c:v>23.300000000000065</c:v>
                </c:pt>
                <c:pt idx="324">
                  <c:v>23.400000000000066</c:v>
                </c:pt>
                <c:pt idx="325">
                  <c:v>23.500000000000068</c:v>
                </c:pt>
                <c:pt idx="326">
                  <c:v>23.600000000000069</c:v>
                </c:pt>
                <c:pt idx="327">
                  <c:v>23.70000000000007</c:v>
                </c:pt>
                <c:pt idx="328">
                  <c:v>23.800000000000072</c:v>
                </c:pt>
                <c:pt idx="329">
                  <c:v>23.900000000000073</c:v>
                </c:pt>
                <c:pt idx="330">
                  <c:v>24.000000000000075</c:v>
                </c:pt>
                <c:pt idx="331">
                  <c:v>24.100000000000076</c:v>
                </c:pt>
                <c:pt idx="332">
                  <c:v>24.200000000000077</c:v>
                </c:pt>
                <c:pt idx="333">
                  <c:v>24.300000000000079</c:v>
                </c:pt>
                <c:pt idx="334">
                  <c:v>24.40000000000008</c:v>
                </c:pt>
                <c:pt idx="335">
                  <c:v>24.500000000000082</c:v>
                </c:pt>
                <c:pt idx="336">
                  <c:v>24.600000000000083</c:v>
                </c:pt>
                <c:pt idx="337">
                  <c:v>24.700000000000085</c:v>
                </c:pt>
                <c:pt idx="338">
                  <c:v>24.800000000000086</c:v>
                </c:pt>
                <c:pt idx="339">
                  <c:v>24.900000000000087</c:v>
                </c:pt>
                <c:pt idx="340">
                  <c:v>25.000000000000089</c:v>
                </c:pt>
                <c:pt idx="341">
                  <c:v>25.10000000000009</c:v>
                </c:pt>
                <c:pt idx="342">
                  <c:v>25.200000000000092</c:v>
                </c:pt>
                <c:pt idx="343">
                  <c:v>25.300000000000093</c:v>
                </c:pt>
                <c:pt idx="344">
                  <c:v>25.400000000000095</c:v>
                </c:pt>
                <c:pt idx="345">
                  <c:v>25.500000000000096</c:v>
                </c:pt>
                <c:pt idx="346">
                  <c:v>25.600000000000097</c:v>
                </c:pt>
                <c:pt idx="347">
                  <c:v>25.700000000000099</c:v>
                </c:pt>
                <c:pt idx="348">
                  <c:v>25.8000000000001</c:v>
                </c:pt>
                <c:pt idx="349">
                  <c:v>25.900000000000102</c:v>
                </c:pt>
                <c:pt idx="350">
                  <c:v>26.000000000000103</c:v>
                </c:pt>
                <c:pt idx="351">
                  <c:v>26.100000000000104</c:v>
                </c:pt>
                <c:pt idx="352">
                  <c:v>26.200000000000106</c:v>
                </c:pt>
                <c:pt idx="353">
                  <c:v>26.300000000000107</c:v>
                </c:pt>
                <c:pt idx="354">
                  <c:v>26.400000000000109</c:v>
                </c:pt>
                <c:pt idx="355">
                  <c:v>26.50000000000011</c:v>
                </c:pt>
                <c:pt idx="356">
                  <c:v>26.600000000000112</c:v>
                </c:pt>
                <c:pt idx="357">
                  <c:v>26.700000000000113</c:v>
                </c:pt>
                <c:pt idx="358">
                  <c:v>26.800000000000114</c:v>
                </c:pt>
                <c:pt idx="359">
                  <c:v>26.900000000000116</c:v>
                </c:pt>
                <c:pt idx="360">
                  <c:v>27.000000000000117</c:v>
                </c:pt>
                <c:pt idx="361">
                  <c:v>27.100000000000119</c:v>
                </c:pt>
                <c:pt idx="362">
                  <c:v>27.20000000000012</c:v>
                </c:pt>
                <c:pt idx="363">
                  <c:v>27.300000000000122</c:v>
                </c:pt>
                <c:pt idx="364">
                  <c:v>27.400000000000123</c:v>
                </c:pt>
                <c:pt idx="365">
                  <c:v>27.500000000000124</c:v>
                </c:pt>
                <c:pt idx="366">
                  <c:v>27.600000000000126</c:v>
                </c:pt>
                <c:pt idx="367">
                  <c:v>27.700000000000127</c:v>
                </c:pt>
                <c:pt idx="368">
                  <c:v>27.800000000000129</c:v>
                </c:pt>
                <c:pt idx="369">
                  <c:v>27.90000000000013</c:v>
                </c:pt>
                <c:pt idx="370">
                  <c:v>28.000000000000131</c:v>
                </c:pt>
                <c:pt idx="371">
                  <c:v>28.100000000000133</c:v>
                </c:pt>
                <c:pt idx="372">
                  <c:v>28.200000000000134</c:v>
                </c:pt>
                <c:pt idx="373">
                  <c:v>28.300000000000136</c:v>
                </c:pt>
                <c:pt idx="374">
                  <c:v>28.400000000000137</c:v>
                </c:pt>
                <c:pt idx="375">
                  <c:v>28.500000000000139</c:v>
                </c:pt>
                <c:pt idx="376">
                  <c:v>28.60000000000014</c:v>
                </c:pt>
                <c:pt idx="377">
                  <c:v>28.700000000000141</c:v>
                </c:pt>
                <c:pt idx="378">
                  <c:v>28.800000000000143</c:v>
                </c:pt>
                <c:pt idx="379">
                  <c:v>28.900000000000144</c:v>
                </c:pt>
                <c:pt idx="380">
                  <c:v>29.000000000000146</c:v>
                </c:pt>
                <c:pt idx="381">
                  <c:v>29.100000000000147</c:v>
                </c:pt>
                <c:pt idx="382">
                  <c:v>29.200000000000149</c:v>
                </c:pt>
                <c:pt idx="383">
                  <c:v>29.200100000000148</c:v>
                </c:pt>
                <c:pt idx="384">
                  <c:v>29.200200000000148</c:v>
                </c:pt>
                <c:pt idx="385">
                  <c:v>29.200300000000148</c:v>
                </c:pt>
                <c:pt idx="386">
                  <c:v>29.200400000000148</c:v>
                </c:pt>
                <c:pt idx="387">
                  <c:v>29.200500000000147</c:v>
                </c:pt>
                <c:pt idx="388">
                  <c:v>29.200600000000147</c:v>
                </c:pt>
                <c:pt idx="389">
                  <c:v>29.200700000000147</c:v>
                </c:pt>
                <c:pt idx="390">
                  <c:v>29.200800000000147</c:v>
                </c:pt>
                <c:pt idx="391">
                  <c:v>29.200900000000146</c:v>
                </c:pt>
                <c:pt idx="392">
                  <c:v>29.201000000000146</c:v>
                </c:pt>
                <c:pt idx="393">
                  <c:v>29.201100000000146</c:v>
                </c:pt>
                <c:pt idx="394">
                  <c:v>29.201200000000146</c:v>
                </c:pt>
                <c:pt idx="395">
                  <c:v>29.201300000000145</c:v>
                </c:pt>
                <c:pt idx="396">
                  <c:v>29.201400000000145</c:v>
                </c:pt>
                <c:pt idx="397">
                  <c:v>29.201500000000145</c:v>
                </c:pt>
                <c:pt idx="398">
                  <c:v>29.201600000000145</c:v>
                </c:pt>
                <c:pt idx="399">
                  <c:v>29.201700000000145</c:v>
                </c:pt>
                <c:pt idx="400">
                  <c:v>29.201800000000144</c:v>
                </c:pt>
                <c:pt idx="401">
                  <c:v>29.201900000000144</c:v>
                </c:pt>
                <c:pt idx="402">
                  <c:v>29.202000000000144</c:v>
                </c:pt>
                <c:pt idx="403">
                  <c:v>29.202100000000144</c:v>
                </c:pt>
                <c:pt idx="404">
                  <c:v>29.202200000000143</c:v>
                </c:pt>
                <c:pt idx="405">
                  <c:v>29.202300000000143</c:v>
                </c:pt>
                <c:pt idx="406">
                  <c:v>29.202400000000143</c:v>
                </c:pt>
                <c:pt idx="407">
                  <c:v>29.202500000000143</c:v>
                </c:pt>
                <c:pt idx="408">
                  <c:v>29.202600000000142</c:v>
                </c:pt>
                <c:pt idx="409">
                  <c:v>29.202700000000142</c:v>
                </c:pt>
                <c:pt idx="410">
                  <c:v>29.202800000000142</c:v>
                </c:pt>
                <c:pt idx="411">
                  <c:v>29.202900000000142</c:v>
                </c:pt>
                <c:pt idx="412">
                  <c:v>29.203000000000142</c:v>
                </c:pt>
                <c:pt idx="413">
                  <c:v>29.203100000000141</c:v>
                </c:pt>
                <c:pt idx="414">
                  <c:v>29.203200000000141</c:v>
                </c:pt>
                <c:pt idx="415">
                  <c:v>29.203300000000141</c:v>
                </c:pt>
                <c:pt idx="416">
                  <c:v>29.203400000000141</c:v>
                </c:pt>
                <c:pt idx="417">
                  <c:v>29.20350000000014</c:v>
                </c:pt>
                <c:pt idx="418">
                  <c:v>29.20360000000014</c:v>
                </c:pt>
                <c:pt idx="419">
                  <c:v>29.20370000000014</c:v>
                </c:pt>
                <c:pt idx="420">
                  <c:v>29.20380000000014</c:v>
                </c:pt>
                <c:pt idx="421">
                  <c:v>29.203900000000139</c:v>
                </c:pt>
                <c:pt idx="422">
                  <c:v>29.204000000000139</c:v>
                </c:pt>
                <c:pt idx="423">
                  <c:v>29.204100000000139</c:v>
                </c:pt>
                <c:pt idx="424">
                  <c:v>29.204200000000139</c:v>
                </c:pt>
                <c:pt idx="425">
                  <c:v>29.204300000000138</c:v>
                </c:pt>
                <c:pt idx="426">
                  <c:v>29.204400000000138</c:v>
                </c:pt>
                <c:pt idx="427">
                  <c:v>29.204500000000138</c:v>
                </c:pt>
                <c:pt idx="428">
                  <c:v>29.204600000000138</c:v>
                </c:pt>
                <c:pt idx="429">
                  <c:v>29.204700000000138</c:v>
                </c:pt>
                <c:pt idx="430">
                  <c:v>29.204800000000137</c:v>
                </c:pt>
                <c:pt idx="431">
                  <c:v>29.204900000000137</c:v>
                </c:pt>
                <c:pt idx="432">
                  <c:v>29.205000000000137</c:v>
                </c:pt>
                <c:pt idx="433">
                  <c:v>29.205100000000137</c:v>
                </c:pt>
                <c:pt idx="434">
                  <c:v>29.205200000000136</c:v>
                </c:pt>
                <c:pt idx="435">
                  <c:v>29.205300000000136</c:v>
                </c:pt>
                <c:pt idx="436">
                  <c:v>29.205400000000136</c:v>
                </c:pt>
                <c:pt idx="437">
                  <c:v>29.205500000000136</c:v>
                </c:pt>
                <c:pt idx="438">
                  <c:v>29.205600000000135</c:v>
                </c:pt>
                <c:pt idx="439">
                  <c:v>29.205700000000135</c:v>
                </c:pt>
                <c:pt idx="440">
                  <c:v>29.205800000000135</c:v>
                </c:pt>
                <c:pt idx="441">
                  <c:v>29.205900000000135</c:v>
                </c:pt>
                <c:pt idx="442">
                  <c:v>29.206000000000135</c:v>
                </c:pt>
                <c:pt idx="443">
                  <c:v>29.206100000000134</c:v>
                </c:pt>
                <c:pt idx="444">
                  <c:v>29.206200000000134</c:v>
                </c:pt>
                <c:pt idx="445">
                  <c:v>29.206300000000134</c:v>
                </c:pt>
                <c:pt idx="446">
                  <c:v>29.206400000000134</c:v>
                </c:pt>
                <c:pt idx="447">
                  <c:v>29.206500000000133</c:v>
                </c:pt>
                <c:pt idx="448">
                  <c:v>29.206600000000133</c:v>
                </c:pt>
                <c:pt idx="449">
                  <c:v>29.206700000000133</c:v>
                </c:pt>
                <c:pt idx="450">
                  <c:v>29.206800000000133</c:v>
                </c:pt>
                <c:pt idx="451">
                  <c:v>29.206900000000132</c:v>
                </c:pt>
                <c:pt idx="452">
                  <c:v>29.207000000000132</c:v>
                </c:pt>
                <c:pt idx="453">
                  <c:v>29.207100000000132</c:v>
                </c:pt>
                <c:pt idx="454">
                  <c:v>29.207200000000132</c:v>
                </c:pt>
                <c:pt idx="455">
                  <c:v>29.207300000000131</c:v>
                </c:pt>
                <c:pt idx="456">
                  <c:v>29.207400000000131</c:v>
                </c:pt>
                <c:pt idx="457">
                  <c:v>29.207500000000131</c:v>
                </c:pt>
                <c:pt idx="458">
                  <c:v>29.207600000000131</c:v>
                </c:pt>
                <c:pt idx="459">
                  <c:v>29.207700000000131</c:v>
                </c:pt>
                <c:pt idx="460">
                  <c:v>29.20780000000013</c:v>
                </c:pt>
                <c:pt idx="461">
                  <c:v>29.20790000000013</c:v>
                </c:pt>
                <c:pt idx="462">
                  <c:v>29.20800000000013</c:v>
                </c:pt>
                <c:pt idx="463">
                  <c:v>29.20810000000013</c:v>
                </c:pt>
                <c:pt idx="464">
                  <c:v>29.208200000000129</c:v>
                </c:pt>
                <c:pt idx="465">
                  <c:v>29.208300000000129</c:v>
                </c:pt>
                <c:pt idx="466">
                  <c:v>29.208400000000129</c:v>
                </c:pt>
                <c:pt idx="467">
                  <c:v>29.208500000000129</c:v>
                </c:pt>
                <c:pt idx="468">
                  <c:v>29.208600000000128</c:v>
                </c:pt>
                <c:pt idx="469">
                  <c:v>29.208700000000128</c:v>
                </c:pt>
                <c:pt idx="470">
                  <c:v>29.208800000000128</c:v>
                </c:pt>
                <c:pt idx="471">
                  <c:v>29.208900000000128</c:v>
                </c:pt>
                <c:pt idx="472">
                  <c:v>29.209000000000128</c:v>
                </c:pt>
                <c:pt idx="473">
                  <c:v>29.209100000000127</c:v>
                </c:pt>
                <c:pt idx="474">
                  <c:v>29.209200000000127</c:v>
                </c:pt>
                <c:pt idx="475">
                  <c:v>29.209300000000127</c:v>
                </c:pt>
                <c:pt idx="476">
                  <c:v>29.209400000000127</c:v>
                </c:pt>
                <c:pt idx="477">
                  <c:v>29.209500000000126</c:v>
                </c:pt>
                <c:pt idx="478">
                  <c:v>29.209600000000126</c:v>
                </c:pt>
                <c:pt idx="479">
                  <c:v>29.209700000000126</c:v>
                </c:pt>
                <c:pt idx="480">
                  <c:v>29.209800000000126</c:v>
                </c:pt>
                <c:pt idx="481">
                  <c:v>29.209900000000125</c:v>
                </c:pt>
                <c:pt idx="482">
                  <c:v>29.210000000000125</c:v>
                </c:pt>
                <c:pt idx="483">
                  <c:v>29.210100000000125</c:v>
                </c:pt>
                <c:pt idx="484">
                  <c:v>29.210200000000125</c:v>
                </c:pt>
                <c:pt idx="485">
                  <c:v>29.210300000000124</c:v>
                </c:pt>
                <c:pt idx="486">
                  <c:v>29.210400000000124</c:v>
                </c:pt>
                <c:pt idx="487">
                  <c:v>29.210500000000124</c:v>
                </c:pt>
                <c:pt idx="488">
                  <c:v>29.210600000000124</c:v>
                </c:pt>
                <c:pt idx="489">
                  <c:v>29.210700000000124</c:v>
                </c:pt>
                <c:pt idx="490">
                  <c:v>29.210800000000123</c:v>
                </c:pt>
                <c:pt idx="491">
                  <c:v>29.210900000000123</c:v>
                </c:pt>
                <c:pt idx="492">
                  <c:v>29.211000000000123</c:v>
                </c:pt>
                <c:pt idx="493">
                  <c:v>29.211100000000123</c:v>
                </c:pt>
                <c:pt idx="494">
                  <c:v>29.211200000000122</c:v>
                </c:pt>
                <c:pt idx="495">
                  <c:v>29.211300000000122</c:v>
                </c:pt>
                <c:pt idx="496">
                  <c:v>29.211400000000122</c:v>
                </c:pt>
                <c:pt idx="497">
                  <c:v>29.211500000000122</c:v>
                </c:pt>
                <c:pt idx="498">
                  <c:v>29.211600000000121</c:v>
                </c:pt>
                <c:pt idx="499">
                  <c:v>29.211700000000121</c:v>
                </c:pt>
                <c:pt idx="500">
                  <c:v>29.211800000000121</c:v>
                </c:pt>
                <c:pt idx="501">
                  <c:v>29.211900000000121</c:v>
                </c:pt>
                <c:pt idx="502">
                  <c:v>29.212000000000121</c:v>
                </c:pt>
                <c:pt idx="503">
                  <c:v>29.21210000000012</c:v>
                </c:pt>
                <c:pt idx="504">
                  <c:v>29.21220000000012</c:v>
                </c:pt>
                <c:pt idx="505">
                  <c:v>29.21230000000012</c:v>
                </c:pt>
                <c:pt idx="506">
                  <c:v>29.21240000000012</c:v>
                </c:pt>
                <c:pt idx="507">
                  <c:v>29.212500000000119</c:v>
                </c:pt>
                <c:pt idx="508">
                  <c:v>29.212600000000119</c:v>
                </c:pt>
                <c:pt idx="509">
                  <c:v>29.212700000000119</c:v>
                </c:pt>
                <c:pt idx="510">
                  <c:v>29.212800000000119</c:v>
                </c:pt>
                <c:pt idx="511">
                  <c:v>29.212900000000118</c:v>
                </c:pt>
                <c:pt idx="512">
                  <c:v>29.213000000000118</c:v>
                </c:pt>
                <c:pt idx="513">
                  <c:v>29.213100000000118</c:v>
                </c:pt>
                <c:pt idx="514">
                  <c:v>29.213200000000118</c:v>
                </c:pt>
                <c:pt idx="515">
                  <c:v>29.213300000000118</c:v>
                </c:pt>
                <c:pt idx="516">
                  <c:v>29.213400000000117</c:v>
                </c:pt>
                <c:pt idx="517">
                  <c:v>29.213500000000117</c:v>
                </c:pt>
                <c:pt idx="518">
                  <c:v>29.213600000000117</c:v>
                </c:pt>
                <c:pt idx="519">
                  <c:v>29.213700000000117</c:v>
                </c:pt>
                <c:pt idx="520">
                  <c:v>29.213800000000116</c:v>
                </c:pt>
                <c:pt idx="521">
                  <c:v>29.213900000000116</c:v>
                </c:pt>
                <c:pt idx="522">
                  <c:v>29.214000000000116</c:v>
                </c:pt>
                <c:pt idx="523">
                  <c:v>29.214100000000116</c:v>
                </c:pt>
                <c:pt idx="524">
                  <c:v>29.214200000000115</c:v>
                </c:pt>
                <c:pt idx="525">
                  <c:v>29.214300000000115</c:v>
                </c:pt>
                <c:pt idx="526">
                  <c:v>29.214400000000115</c:v>
                </c:pt>
                <c:pt idx="527">
                  <c:v>29.214500000000115</c:v>
                </c:pt>
                <c:pt idx="528">
                  <c:v>29.214600000000114</c:v>
                </c:pt>
                <c:pt idx="529">
                  <c:v>29.214700000000114</c:v>
                </c:pt>
                <c:pt idx="530">
                  <c:v>29.214800000000114</c:v>
                </c:pt>
                <c:pt idx="531">
                  <c:v>29.214900000000114</c:v>
                </c:pt>
                <c:pt idx="532">
                  <c:v>29.215000000000114</c:v>
                </c:pt>
                <c:pt idx="533">
                  <c:v>29.215100000000113</c:v>
                </c:pt>
                <c:pt idx="534">
                  <c:v>29.215200000000113</c:v>
                </c:pt>
                <c:pt idx="535">
                  <c:v>29.215300000000113</c:v>
                </c:pt>
                <c:pt idx="536">
                  <c:v>29.215400000000113</c:v>
                </c:pt>
                <c:pt idx="537">
                  <c:v>29.215500000000112</c:v>
                </c:pt>
                <c:pt idx="538">
                  <c:v>29.215600000000112</c:v>
                </c:pt>
                <c:pt idx="539">
                  <c:v>29.215700000000112</c:v>
                </c:pt>
                <c:pt idx="540">
                  <c:v>29.215800000000112</c:v>
                </c:pt>
                <c:pt idx="541">
                  <c:v>29.215900000000111</c:v>
                </c:pt>
                <c:pt idx="542">
                  <c:v>29.216000000000111</c:v>
                </c:pt>
                <c:pt idx="543">
                  <c:v>29.216100000000111</c:v>
                </c:pt>
                <c:pt idx="544">
                  <c:v>29.216200000000111</c:v>
                </c:pt>
                <c:pt idx="545">
                  <c:v>29.216300000000111</c:v>
                </c:pt>
                <c:pt idx="546">
                  <c:v>29.21640000000011</c:v>
                </c:pt>
                <c:pt idx="547">
                  <c:v>29.21650000000011</c:v>
                </c:pt>
                <c:pt idx="548">
                  <c:v>29.21660000000011</c:v>
                </c:pt>
                <c:pt idx="549">
                  <c:v>29.21670000000011</c:v>
                </c:pt>
                <c:pt idx="550">
                  <c:v>29.216800000000109</c:v>
                </c:pt>
                <c:pt idx="551">
                  <c:v>29.216900000000109</c:v>
                </c:pt>
                <c:pt idx="552">
                  <c:v>29.217000000000109</c:v>
                </c:pt>
                <c:pt idx="553">
                  <c:v>29.217100000000109</c:v>
                </c:pt>
                <c:pt idx="554">
                  <c:v>29.217200000000108</c:v>
                </c:pt>
                <c:pt idx="555">
                  <c:v>29.217300000000108</c:v>
                </c:pt>
                <c:pt idx="556">
                  <c:v>29.217400000000108</c:v>
                </c:pt>
                <c:pt idx="557">
                  <c:v>29.217500000000108</c:v>
                </c:pt>
                <c:pt idx="558">
                  <c:v>29.217600000000107</c:v>
                </c:pt>
                <c:pt idx="559">
                  <c:v>29.217700000000107</c:v>
                </c:pt>
                <c:pt idx="560">
                  <c:v>29.217800000000107</c:v>
                </c:pt>
                <c:pt idx="561">
                  <c:v>29.217900000000107</c:v>
                </c:pt>
                <c:pt idx="562">
                  <c:v>29.218000000000107</c:v>
                </c:pt>
                <c:pt idx="563">
                  <c:v>29.218100000000106</c:v>
                </c:pt>
                <c:pt idx="564">
                  <c:v>29.218200000000106</c:v>
                </c:pt>
                <c:pt idx="565">
                  <c:v>29.218300000000106</c:v>
                </c:pt>
                <c:pt idx="566">
                  <c:v>29.218400000000106</c:v>
                </c:pt>
                <c:pt idx="567">
                  <c:v>29.218500000000105</c:v>
                </c:pt>
                <c:pt idx="568">
                  <c:v>29.218600000000105</c:v>
                </c:pt>
                <c:pt idx="569">
                  <c:v>29.218700000000105</c:v>
                </c:pt>
                <c:pt idx="570">
                  <c:v>29.218800000000105</c:v>
                </c:pt>
                <c:pt idx="571">
                  <c:v>29.218900000000104</c:v>
                </c:pt>
                <c:pt idx="572">
                  <c:v>29.219000000000104</c:v>
                </c:pt>
                <c:pt idx="573">
                  <c:v>29.219100000000104</c:v>
                </c:pt>
                <c:pt idx="574">
                  <c:v>29.219200000000104</c:v>
                </c:pt>
                <c:pt idx="575">
                  <c:v>29.219300000000104</c:v>
                </c:pt>
                <c:pt idx="576">
                  <c:v>29.219400000000103</c:v>
                </c:pt>
                <c:pt idx="577">
                  <c:v>29.219500000000103</c:v>
                </c:pt>
                <c:pt idx="578">
                  <c:v>29.219600000000103</c:v>
                </c:pt>
                <c:pt idx="579">
                  <c:v>29.219700000000103</c:v>
                </c:pt>
                <c:pt idx="580">
                  <c:v>29.219800000000102</c:v>
                </c:pt>
                <c:pt idx="581">
                  <c:v>29.219900000000102</c:v>
                </c:pt>
                <c:pt idx="582">
                  <c:v>29.220000000000102</c:v>
                </c:pt>
                <c:pt idx="583">
                  <c:v>29.220100000000102</c:v>
                </c:pt>
                <c:pt idx="584">
                  <c:v>29.220200000000101</c:v>
                </c:pt>
                <c:pt idx="585">
                  <c:v>29.220300000000101</c:v>
                </c:pt>
                <c:pt idx="586">
                  <c:v>29.220400000000101</c:v>
                </c:pt>
                <c:pt idx="587">
                  <c:v>29.220500000000101</c:v>
                </c:pt>
                <c:pt idx="588">
                  <c:v>29.2206000000001</c:v>
                </c:pt>
                <c:pt idx="589">
                  <c:v>29.2207000000001</c:v>
                </c:pt>
                <c:pt idx="590">
                  <c:v>29.2208000000001</c:v>
                </c:pt>
                <c:pt idx="591">
                  <c:v>29.2209000000001</c:v>
                </c:pt>
                <c:pt idx="592">
                  <c:v>29.2210000000001</c:v>
                </c:pt>
                <c:pt idx="593">
                  <c:v>29.221100000000099</c:v>
                </c:pt>
                <c:pt idx="594">
                  <c:v>29.221200000000099</c:v>
                </c:pt>
                <c:pt idx="595">
                  <c:v>29.221300000000099</c:v>
                </c:pt>
                <c:pt idx="596">
                  <c:v>29.221400000000099</c:v>
                </c:pt>
                <c:pt idx="597">
                  <c:v>29.221500000000098</c:v>
                </c:pt>
                <c:pt idx="598">
                  <c:v>29.221600000000098</c:v>
                </c:pt>
                <c:pt idx="599">
                  <c:v>29.221700000000098</c:v>
                </c:pt>
                <c:pt idx="600">
                  <c:v>29.221800000000098</c:v>
                </c:pt>
                <c:pt idx="601">
                  <c:v>29.221900000000097</c:v>
                </c:pt>
                <c:pt idx="602">
                  <c:v>29.222000000000097</c:v>
                </c:pt>
                <c:pt idx="603">
                  <c:v>29.222100000000097</c:v>
                </c:pt>
                <c:pt idx="604">
                  <c:v>29.222200000000097</c:v>
                </c:pt>
                <c:pt idx="605">
                  <c:v>29.222300000000097</c:v>
                </c:pt>
                <c:pt idx="606">
                  <c:v>29.222400000000096</c:v>
                </c:pt>
                <c:pt idx="607">
                  <c:v>29.222500000000096</c:v>
                </c:pt>
                <c:pt idx="608">
                  <c:v>29.222600000000096</c:v>
                </c:pt>
                <c:pt idx="609">
                  <c:v>29.222700000000096</c:v>
                </c:pt>
                <c:pt idx="610">
                  <c:v>29.222800000000095</c:v>
                </c:pt>
                <c:pt idx="611">
                  <c:v>29.222900000000095</c:v>
                </c:pt>
                <c:pt idx="612">
                  <c:v>29.223000000000095</c:v>
                </c:pt>
                <c:pt idx="613">
                  <c:v>29.223100000000095</c:v>
                </c:pt>
                <c:pt idx="614">
                  <c:v>29.223200000000094</c:v>
                </c:pt>
                <c:pt idx="615">
                  <c:v>29.223300000000094</c:v>
                </c:pt>
                <c:pt idx="616">
                  <c:v>29.223400000000094</c:v>
                </c:pt>
                <c:pt idx="617">
                  <c:v>29.223500000000094</c:v>
                </c:pt>
                <c:pt idx="618">
                  <c:v>29.223600000000094</c:v>
                </c:pt>
                <c:pt idx="619">
                  <c:v>29.223700000000093</c:v>
                </c:pt>
                <c:pt idx="620">
                  <c:v>29.223800000000093</c:v>
                </c:pt>
                <c:pt idx="621">
                  <c:v>29.223900000000093</c:v>
                </c:pt>
                <c:pt idx="622">
                  <c:v>29.224000000000093</c:v>
                </c:pt>
                <c:pt idx="623">
                  <c:v>29.224100000000092</c:v>
                </c:pt>
                <c:pt idx="624">
                  <c:v>29.224200000000092</c:v>
                </c:pt>
                <c:pt idx="625">
                  <c:v>29.224300000000092</c:v>
                </c:pt>
                <c:pt idx="626">
                  <c:v>29.224400000000092</c:v>
                </c:pt>
                <c:pt idx="627">
                  <c:v>29.224500000000091</c:v>
                </c:pt>
                <c:pt idx="628">
                  <c:v>29.224600000000091</c:v>
                </c:pt>
                <c:pt idx="629">
                  <c:v>29.224700000000091</c:v>
                </c:pt>
                <c:pt idx="630">
                  <c:v>29.224800000000091</c:v>
                </c:pt>
                <c:pt idx="631">
                  <c:v>29.22490000000009</c:v>
                </c:pt>
                <c:pt idx="632">
                  <c:v>29.22500000000009</c:v>
                </c:pt>
                <c:pt idx="633">
                  <c:v>29.22510000000009</c:v>
                </c:pt>
                <c:pt idx="634">
                  <c:v>29.22520000000009</c:v>
                </c:pt>
                <c:pt idx="635">
                  <c:v>29.22530000000009</c:v>
                </c:pt>
                <c:pt idx="636">
                  <c:v>29.225400000000089</c:v>
                </c:pt>
                <c:pt idx="637">
                  <c:v>29.225500000000089</c:v>
                </c:pt>
                <c:pt idx="638">
                  <c:v>29.225600000000089</c:v>
                </c:pt>
                <c:pt idx="639">
                  <c:v>29.225700000000089</c:v>
                </c:pt>
                <c:pt idx="640">
                  <c:v>29.225800000000088</c:v>
                </c:pt>
                <c:pt idx="641">
                  <c:v>29.225900000000088</c:v>
                </c:pt>
                <c:pt idx="642">
                  <c:v>29.226000000000088</c:v>
                </c:pt>
                <c:pt idx="643">
                  <c:v>29.226100000000088</c:v>
                </c:pt>
                <c:pt idx="644">
                  <c:v>29.226200000000087</c:v>
                </c:pt>
                <c:pt idx="645">
                  <c:v>29.226300000000087</c:v>
                </c:pt>
                <c:pt idx="646">
                  <c:v>29.226400000000087</c:v>
                </c:pt>
                <c:pt idx="647">
                  <c:v>29.226500000000087</c:v>
                </c:pt>
                <c:pt idx="648">
                  <c:v>29.226600000000087</c:v>
                </c:pt>
                <c:pt idx="649">
                  <c:v>29.226700000000086</c:v>
                </c:pt>
                <c:pt idx="650">
                  <c:v>29.226800000000086</c:v>
                </c:pt>
                <c:pt idx="651">
                  <c:v>29.226900000000086</c:v>
                </c:pt>
                <c:pt idx="652">
                  <c:v>29.227000000000086</c:v>
                </c:pt>
                <c:pt idx="653">
                  <c:v>29.227100000000085</c:v>
                </c:pt>
                <c:pt idx="654">
                  <c:v>29.227200000000085</c:v>
                </c:pt>
                <c:pt idx="655">
                  <c:v>29.227300000000085</c:v>
                </c:pt>
                <c:pt idx="656">
                  <c:v>29.227400000000085</c:v>
                </c:pt>
                <c:pt idx="657">
                  <c:v>29.227500000000084</c:v>
                </c:pt>
                <c:pt idx="658">
                  <c:v>29.227600000000084</c:v>
                </c:pt>
                <c:pt idx="659">
                  <c:v>29.227700000000084</c:v>
                </c:pt>
                <c:pt idx="660">
                  <c:v>29.227800000000084</c:v>
                </c:pt>
                <c:pt idx="661">
                  <c:v>29.227900000000083</c:v>
                </c:pt>
                <c:pt idx="662">
                  <c:v>29.228000000000083</c:v>
                </c:pt>
                <c:pt idx="663">
                  <c:v>29.228100000000083</c:v>
                </c:pt>
                <c:pt idx="664">
                  <c:v>29.228200000000083</c:v>
                </c:pt>
                <c:pt idx="665">
                  <c:v>29.228300000000083</c:v>
                </c:pt>
                <c:pt idx="666">
                  <c:v>29.228400000000082</c:v>
                </c:pt>
                <c:pt idx="667">
                  <c:v>29.228500000000082</c:v>
                </c:pt>
                <c:pt idx="668">
                  <c:v>29.228600000000082</c:v>
                </c:pt>
                <c:pt idx="669">
                  <c:v>29.228700000000082</c:v>
                </c:pt>
                <c:pt idx="670">
                  <c:v>29.228800000000081</c:v>
                </c:pt>
                <c:pt idx="671">
                  <c:v>29.228900000000081</c:v>
                </c:pt>
                <c:pt idx="672">
                  <c:v>29.229000000000081</c:v>
                </c:pt>
                <c:pt idx="673">
                  <c:v>29.229100000000081</c:v>
                </c:pt>
                <c:pt idx="674">
                  <c:v>29.22920000000008</c:v>
                </c:pt>
                <c:pt idx="675">
                  <c:v>29.22930000000008</c:v>
                </c:pt>
                <c:pt idx="676">
                  <c:v>29.22940000000008</c:v>
                </c:pt>
                <c:pt idx="677">
                  <c:v>29.22950000000008</c:v>
                </c:pt>
                <c:pt idx="678">
                  <c:v>29.22960000000008</c:v>
                </c:pt>
                <c:pt idx="679">
                  <c:v>29.229700000000079</c:v>
                </c:pt>
                <c:pt idx="680">
                  <c:v>29.229800000000079</c:v>
                </c:pt>
                <c:pt idx="681">
                  <c:v>29.229900000000079</c:v>
                </c:pt>
                <c:pt idx="682">
                  <c:v>29.230000000000079</c:v>
                </c:pt>
                <c:pt idx="683">
                  <c:v>29.230100000000078</c:v>
                </c:pt>
                <c:pt idx="684">
                  <c:v>29.230200000000078</c:v>
                </c:pt>
                <c:pt idx="685">
                  <c:v>29.230300000000078</c:v>
                </c:pt>
                <c:pt idx="686">
                  <c:v>29.230400000000078</c:v>
                </c:pt>
                <c:pt idx="687">
                  <c:v>29.230500000000077</c:v>
                </c:pt>
                <c:pt idx="688">
                  <c:v>29.230600000000077</c:v>
                </c:pt>
                <c:pt idx="689">
                  <c:v>29.230700000000077</c:v>
                </c:pt>
                <c:pt idx="690">
                  <c:v>29.230800000000077</c:v>
                </c:pt>
                <c:pt idx="691">
                  <c:v>29.230900000000076</c:v>
                </c:pt>
                <c:pt idx="692">
                  <c:v>29.231000000000076</c:v>
                </c:pt>
                <c:pt idx="693">
                  <c:v>29.231100000000076</c:v>
                </c:pt>
                <c:pt idx="694">
                  <c:v>29.231200000000076</c:v>
                </c:pt>
                <c:pt idx="695">
                  <c:v>29.231300000000076</c:v>
                </c:pt>
                <c:pt idx="696">
                  <c:v>29.231400000000075</c:v>
                </c:pt>
                <c:pt idx="697">
                  <c:v>29.231500000000075</c:v>
                </c:pt>
                <c:pt idx="698">
                  <c:v>29.231600000000075</c:v>
                </c:pt>
                <c:pt idx="699">
                  <c:v>29.231700000000075</c:v>
                </c:pt>
                <c:pt idx="700">
                  <c:v>29.231800000000074</c:v>
                </c:pt>
                <c:pt idx="701">
                  <c:v>29.231900000000074</c:v>
                </c:pt>
                <c:pt idx="702">
                  <c:v>29.232000000000074</c:v>
                </c:pt>
                <c:pt idx="703">
                  <c:v>29.232100000000074</c:v>
                </c:pt>
                <c:pt idx="704">
                  <c:v>29.232200000000073</c:v>
                </c:pt>
                <c:pt idx="705">
                  <c:v>29.232300000000073</c:v>
                </c:pt>
                <c:pt idx="706">
                  <c:v>29.232400000000073</c:v>
                </c:pt>
                <c:pt idx="707">
                  <c:v>29.232500000000073</c:v>
                </c:pt>
                <c:pt idx="708">
                  <c:v>29.232600000000073</c:v>
                </c:pt>
                <c:pt idx="709">
                  <c:v>29.232700000000072</c:v>
                </c:pt>
                <c:pt idx="710">
                  <c:v>29.232800000000072</c:v>
                </c:pt>
                <c:pt idx="711">
                  <c:v>29.232900000000072</c:v>
                </c:pt>
                <c:pt idx="712">
                  <c:v>29.233000000000072</c:v>
                </c:pt>
                <c:pt idx="713">
                  <c:v>29.233100000000071</c:v>
                </c:pt>
                <c:pt idx="714">
                  <c:v>29.233200000000071</c:v>
                </c:pt>
                <c:pt idx="715">
                  <c:v>29.233300000000071</c:v>
                </c:pt>
                <c:pt idx="716">
                  <c:v>29.233400000000071</c:v>
                </c:pt>
                <c:pt idx="717">
                  <c:v>29.23350000000007</c:v>
                </c:pt>
                <c:pt idx="718">
                  <c:v>29.23360000000007</c:v>
                </c:pt>
                <c:pt idx="719">
                  <c:v>29.23370000000007</c:v>
                </c:pt>
                <c:pt idx="720">
                  <c:v>29.23380000000007</c:v>
                </c:pt>
                <c:pt idx="721">
                  <c:v>29.233900000000069</c:v>
                </c:pt>
                <c:pt idx="722">
                  <c:v>29.234000000000069</c:v>
                </c:pt>
                <c:pt idx="723">
                  <c:v>29.234100000000069</c:v>
                </c:pt>
                <c:pt idx="724">
                  <c:v>29.234200000000069</c:v>
                </c:pt>
                <c:pt idx="725">
                  <c:v>29.234300000000069</c:v>
                </c:pt>
                <c:pt idx="726">
                  <c:v>29.234400000000068</c:v>
                </c:pt>
                <c:pt idx="727">
                  <c:v>29.234500000000068</c:v>
                </c:pt>
                <c:pt idx="728">
                  <c:v>29.234600000000068</c:v>
                </c:pt>
                <c:pt idx="729">
                  <c:v>29.234700000000068</c:v>
                </c:pt>
                <c:pt idx="730">
                  <c:v>29.234800000000067</c:v>
                </c:pt>
                <c:pt idx="731">
                  <c:v>29.234900000000067</c:v>
                </c:pt>
                <c:pt idx="732">
                  <c:v>29.235000000000067</c:v>
                </c:pt>
                <c:pt idx="733">
                  <c:v>29.235100000000067</c:v>
                </c:pt>
                <c:pt idx="734">
                  <c:v>29.235200000000066</c:v>
                </c:pt>
                <c:pt idx="735">
                  <c:v>29.235300000000066</c:v>
                </c:pt>
                <c:pt idx="736">
                  <c:v>29.235400000000066</c:v>
                </c:pt>
                <c:pt idx="737">
                  <c:v>29.235500000000066</c:v>
                </c:pt>
                <c:pt idx="738">
                  <c:v>29.235600000000066</c:v>
                </c:pt>
                <c:pt idx="739">
                  <c:v>29.235700000000065</c:v>
                </c:pt>
                <c:pt idx="740">
                  <c:v>29.235800000000065</c:v>
                </c:pt>
                <c:pt idx="741">
                  <c:v>29.235900000000065</c:v>
                </c:pt>
                <c:pt idx="742">
                  <c:v>29.236000000000065</c:v>
                </c:pt>
                <c:pt idx="743">
                  <c:v>29.236100000000064</c:v>
                </c:pt>
                <c:pt idx="744">
                  <c:v>29.236200000000064</c:v>
                </c:pt>
                <c:pt idx="745">
                  <c:v>29.236300000000064</c:v>
                </c:pt>
                <c:pt idx="746">
                  <c:v>29.236400000000064</c:v>
                </c:pt>
                <c:pt idx="747">
                  <c:v>29.236500000000063</c:v>
                </c:pt>
                <c:pt idx="748">
                  <c:v>29.236600000000063</c:v>
                </c:pt>
                <c:pt idx="749">
                  <c:v>29.236700000000063</c:v>
                </c:pt>
                <c:pt idx="750">
                  <c:v>29.236800000000063</c:v>
                </c:pt>
                <c:pt idx="751">
                  <c:v>29.236900000000063</c:v>
                </c:pt>
                <c:pt idx="752">
                  <c:v>29.237000000000062</c:v>
                </c:pt>
                <c:pt idx="753">
                  <c:v>29.237100000000062</c:v>
                </c:pt>
                <c:pt idx="754">
                  <c:v>29.237200000000062</c:v>
                </c:pt>
                <c:pt idx="755">
                  <c:v>29.237300000000062</c:v>
                </c:pt>
                <c:pt idx="756">
                  <c:v>29.237400000000061</c:v>
                </c:pt>
                <c:pt idx="757">
                  <c:v>29.237500000000061</c:v>
                </c:pt>
                <c:pt idx="758">
                  <c:v>29.237600000000061</c:v>
                </c:pt>
                <c:pt idx="759">
                  <c:v>29.237700000000061</c:v>
                </c:pt>
                <c:pt idx="760">
                  <c:v>29.23780000000006</c:v>
                </c:pt>
                <c:pt idx="761">
                  <c:v>29.23790000000006</c:v>
                </c:pt>
                <c:pt idx="762">
                  <c:v>29.23800000000006</c:v>
                </c:pt>
                <c:pt idx="763">
                  <c:v>29.23810000000006</c:v>
                </c:pt>
                <c:pt idx="764">
                  <c:v>29.238200000000059</c:v>
                </c:pt>
                <c:pt idx="765">
                  <c:v>29.238300000000059</c:v>
                </c:pt>
                <c:pt idx="766">
                  <c:v>29.238400000000059</c:v>
                </c:pt>
                <c:pt idx="767">
                  <c:v>29.238500000000059</c:v>
                </c:pt>
                <c:pt idx="768">
                  <c:v>29.238600000000059</c:v>
                </c:pt>
                <c:pt idx="769">
                  <c:v>29.238700000000058</c:v>
                </c:pt>
                <c:pt idx="770">
                  <c:v>29.238800000000058</c:v>
                </c:pt>
                <c:pt idx="771">
                  <c:v>29.238900000000058</c:v>
                </c:pt>
                <c:pt idx="772">
                  <c:v>29.239000000000058</c:v>
                </c:pt>
                <c:pt idx="773">
                  <c:v>29.239100000000057</c:v>
                </c:pt>
                <c:pt idx="774">
                  <c:v>29.239200000000057</c:v>
                </c:pt>
                <c:pt idx="775">
                  <c:v>29.239300000000057</c:v>
                </c:pt>
                <c:pt idx="776">
                  <c:v>29.239400000000057</c:v>
                </c:pt>
                <c:pt idx="777">
                  <c:v>29.239500000000056</c:v>
                </c:pt>
                <c:pt idx="778">
                  <c:v>29.239600000000056</c:v>
                </c:pt>
                <c:pt idx="779">
                  <c:v>29.239700000000056</c:v>
                </c:pt>
                <c:pt idx="780">
                  <c:v>29.239800000000056</c:v>
                </c:pt>
                <c:pt idx="781">
                  <c:v>29.239900000000056</c:v>
                </c:pt>
                <c:pt idx="782">
                  <c:v>29.240000000000055</c:v>
                </c:pt>
                <c:pt idx="783">
                  <c:v>29.240100000000055</c:v>
                </c:pt>
                <c:pt idx="784">
                  <c:v>29.240200000000055</c:v>
                </c:pt>
                <c:pt idx="785">
                  <c:v>29.240300000000055</c:v>
                </c:pt>
                <c:pt idx="786">
                  <c:v>29.240400000000054</c:v>
                </c:pt>
                <c:pt idx="787">
                  <c:v>29.240500000000054</c:v>
                </c:pt>
                <c:pt idx="788">
                  <c:v>29.240600000000054</c:v>
                </c:pt>
                <c:pt idx="789">
                  <c:v>29.240700000000054</c:v>
                </c:pt>
                <c:pt idx="790">
                  <c:v>29.240800000000053</c:v>
                </c:pt>
                <c:pt idx="791">
                  <c:v>29.240900000000053</c:v>
                </c:pt>
                <c:pt idx="792">
                  <c:v>29.241000000000053</c:v>
                </c:pt>
                <c:pt idx="793">
                  <c:v>29.241100000000053</c:v>
                </c:pt>
                <c:pt idx="794">
                  <c:v>29.241200000000052</c:v>
                </c:pt>
                <c:pt idx="795">
                  <c:v>29.241300000000052</c:v>
                </c:pt>
                <c:pt idx="796">
                  <c:v>29.241400000000052</c:v>
                </c:pt>
                <c:pt idx="797">
                  <c:v>29.241500000000052</c:v>
                </c:pt>
                <c:pt idx="798">
                  <c:v>29.241600000000052</c:v>
                </c:pt>
                <c:pt idx="799">
                  <c:v>29.241700000000051</c:v>
                </c:pt>
                <c:pt idx="800">
                  <c:v>29.241800000000051</c:v>
                </c:pt>
                <c:pt idx="801">
                  <c:v>29.241900000000051</c:v>
                </c:pt>
                <c:pt idx="802">
                  <c:v>29.242000000000051</c:v>
                </c:pt>
                <c:pt idx="803">
                  <c:v>29.24210000000005</c:v>
                </c:pt>
                <c:pt idx="804">
                  <c:v>29.24220000000005</c:v>
                </c:pt>
                <c:pt idx="805">
                  <c:v>29.24230000000005</c:v>
                </c:pt>
                <c:pt idx="806">
                  <c:v>29.24240000000005</c:v>
                </c:pt>
                <c:pt idx="807">
                  <c:v>29.242500000000049</c:v>
                </c:pt>
                <c:pt idx="808">
                  <c:v>29.242600000000049</c:v>
                </c:pt>
                <c:pt idx="809">
                  <c:v>29.242700000000049</c:v>
                </c:pt>
                <c:pt idx="810">
                  <c:v>29.242800000000049</c:v>
                </c:pt>
                <c:pt idx="811">
                  <c:v>29.242900000000049</c:v>
                </c:pt>
                <c:pt idx="812">
                  <c:v>29.243000000000048</c:v>
                </c:pt>
                <c:pt idx="813">
                  <c:v>29.243100000000048</c:v>
                </c:pt>
                <c:pt idx="814">
                  <c:v>29.243200000000048</c:v>
                </c:pt>
                <c:pt idx="815">
                  <c:v>29.243300000000048</c:v>
                </c:pt>
                <c:pt idx="816">
                  <c:v>29.243400000000047</c:v>
                </c:pt>
                <c:pt idx="817">
                  <c:v>29.243500000000047</c:v>
                </c:pt>
                <c:pt idx="818">
                  <c:v>29.243600000000047</c:v>
                </c:pt>
                <c:pt idx="819">
                  <c:v>29.243700000000047</c:v>
                </c:pt>
                <c:pt idx="820">
                  <c:v>29.243800000000046</c:v>
                </c:pt>
                <c:pt idx="821">
                  <c:v>29.243900000000046</c:v>
                </c:pt>
                <c:pt idx="822">
                  <c:v>29.244000000000046</c:v>
                </c:pt>
                <c:pt idx="823">
                  <c:v>29.244100000000046</c:v>
                </c:pt>
                <c:pt idx="824">
                  <c:v>29.244200000000045</c:v>
                </c:pt>
                <c:pt idx="825">
                  <c:v>29.244300000000045</c:v>
                </c:pt>
                <c:pt idx="826">
                  <c:v>29.244400000000045</c:v>
                </c:pt>
                <c:pt idx="827">
                  <c:v>29.244500000000045</c:v>
                </c:pt>
                <c:pt idx="828">
                  <c:v>29.244600000000045</c:v>
                </c:pt>
                <c:pt idx="829">
                  <c:v>29.244700000000044</c:v>
                </c:pt>
                <c:pt idx="830">
                  <c:v>29.244800000000044</c:v>
                </c:pt>
                <c:pt idx="831">
                  <c:v>29.244900000000044</c:v>
                </c:pt>
                <c:pt idx="832">
                  <c:v>29.245000000000044</c:v>
                </c:pt>
                <c:pt idx="833">
                  <c:v>29.245100000000043</c:v>
                </c:pt>
                <c:pt idx="834">
                  <c:v>29.245200000000043</c:v>
                </c:pt>
                <c:pt idx="835">
                  <c:v>29.245300000000043</c:v>
                </c:pt>
                <c:pt idx="836">
                  <c:v>29.245400000000043</c:v>
                </c:pt>
                <c:pt idx="837">
                  <c:v>29.245500000000042</c:v>
                </c:pt>
                <c:pt idx="838">
                  <c:v>29.245600000000042</c:v>
                </c:pt>
                <c:pt idx="839">
                  <c:v>29.245700000000042</c:v>
                </c:pt>
                <c:pt idx="840">
                  <c:v>29.245800000000042</c:v>
                </c:pt>
                <c:pt idx="841">
                  <c:v>29.245900000000042</c:v>
                </c:pt>
                <c:pt idx="842">
                  <c:v>29.246000000000041</c:v>
                </c:pt>
                <c:pt idx="843">
                  <c:v>29.246100000000041</c:v>
                </c:pt>
                <c:pt idx="844">
                  <c:v>29.246200000000041</c:v>
                </c:pt>
                <c:pt idx="845">
                  <c:v>29.246300000000041</c:v>
                </c:pt>
                <c:pt idx="846">
                  <c:v>29.24640000000004</c:v>
                </c:pt>
                <c:pt idx="847">
                  <c:v>29.24650000000004</c:v>
                </c:pt>
                <c:pt idx="848">
                  <c:v>29.24660000000004</c:v>
                </c:pt>
                <c:pt idx="849">
                  <c:v>29.24670000000004</c:v>
                </c:pt>
                <c:pt idx="850">
                  <c:v>29.246800000000039</c:v>
                </c:pt>
                <c:pt idx="851">
                  <c:v>29.246900000000039</c:v>
                </c:pt>
                <c:pt idx="852">
                  <c:v>29.247000000000039</c:v>
                </c:pt>
                <c:pt idx="853">
                  <c:v>29.247100000000039</c:v>
                </c:pt>
                <c:pt idx="854">
                  <c:v>29.247200000000039</c:v>
                </c:pt>
                <c:pt idx="855">
                  <c:v>29.247300000000038</c:v>
                </c:pt>
                <c:pt idx="856">
                  <c:v>29.247400000000038</c:v>
                </c:pt>
                <c:pt idx="857">
                  <c:v>29.247500000000038</c:v>
                </c:pt>
                <c:pt idx="858">
                  <c:v>29.247600000000038</c:v>
                </c:pt>
                <c:pt idx="859">
                  <c:v>29.247700000000037</c:v>
                </c:pt>
                <c:pt idx="860">
                  <c:v>29.247800000000037</c:v>
                </c:pt>
                <c:pt idx="861">
                  <c:v>29.247900000000037</c:v>
                </c:pt>
                <c:pt idx="862">
                  <c:v>29.248000000000037</c:v>
                </c:pt>
                <c:pt idx="863">
                  <c:v>29.248100000000036</c:v>
                </c:pt>
                <c:pt idx="864">
                  <c:v>29.248200000000036</c:v>
                </c:pt>
                <c:pt idx="865">
                  <c:v>29.248300000000036</c:v>
                </c:pt>
                <c:pt idx="866">
                  <c:v>29.248400000000036</c:v>
                </c:pt>
                <c:pt idx="867">
                  <c:v>29.248500000000035</c:v>
                </c:pt>
                <c:pt idx="868">
                  <c:v>29.248600000000035</c:v>
                </c:pt>
                <c:pt idx="869">
                  <c:v>29.248700000000035</c:v>
                </c:pt>
                <c:pt idx="870">
                  <c:v>29.248800000000035</c:v>
                </c:pt>
                <c:pt idx="871">
                  <c:v>29.248900000000035</c:v>
                </c:pt>
                <c:pt idx="872">
                  <c:v>29.249000000000034</c:v>
                </c:pt>
                <c:pt idx="873">
                  <c:v>29.249100000000034</c:v>
                </c:pt>
                <c:pt idx="874">
                  <c:v>29.249200000000034</c:v>
                </c:pt>
                <c:pt idx="875">
                  <c:v>29.249300000000034</c:v>
                </c:pt>
                <c:pt idx="876">
                  <c:v>29.249400000000033</c:v>
                </c:pt>
                <c:pt idx="877">
                  <c:v>29.249500000000033</c:v>
                </c:pt>
                <c:pt idx="878">
                  <c:v>29.249600000000033</c:v>
                </c:pt>
                <c:pt idx="879">
                  <c:v>29.249700000000033</c:v>
                </c:pt>
                <c:pt idx="880">
                  <c:v>29.249800000000032</c:v>
                </c:pt>
                <c:pt idx="881">
                  <c:v>29.249900000000032</c:v>
                </c:pt>
                <c:pt idx="882">
                  <c:v>29.250000000000032</c:v>
                </c:pt>
                <c:pt idx="883">
                  <c:v>29.250100000000032</c:v>
                </c:pt>
                <c:pt idx="884">
                  <c:v>29.250200000000032</c:v>
                </c:pt>
                <c:pt idx="885">
                  <c:v>29.250300000000031</c:v>
                </c:pt>
                <c:pt idx="886">
                  <c:v>29.250400000000031</c:v>
                </c:pt>
                <c:pt idx="887">
                  <c:v>29.250500000000031</c:v>
                </c:pt>
                <c:pt idx="888">
                  <c:v>29.250600000000031</c:v>
                </c:pt>
                <c:pt idx="889">
                  <c:v>29.25070000000003</c:v>
                </c:pt>
                <c:pt idx="890">
                  <c:v>29.25080000000003</c:v>
                </c:pt>
                <c:pt idx="891">
                  <c:v>29.25090000000003</c:v>
                </c:pt>
                <c:pt idx="892">
                  <c:v>29.25100000000003</c:v>
                </c:pt>
                <c:pt idx="893">
                  <c:v>29.251100000000029</c:v>
                </c:pt>
                <c:pt idx="894">
                  <c:v>29.251200000000029</c:v>
                </c:pt>
                <c:pt idx="895">
                  <c:v>29.251300000000029</c:v>
                </c:pt>
                <c:pt idx="896">
                  <c:v>29.251400000000029</c:v>
                </c:pt>
                <c:pt idx="897">
                  <c:v>29.251500000000028</c:v>
                </c:pt>
                <c:pt idx="898">
                  <c:v>29.251600000000028</c:v>
                </c:pt>
                <c:pt idx="899">
                  <c:v>29.251700000000028</c:v>
                </c:pt>
                <c:pt idx="900">
                  <c:v>29.251800000000028</c:v>
                </c:pt>
                <c:pt idx="901">
                  <c:v>29.251900000000028</c:v>
                </c:pt>
                <c:pt idx="902">
                  <c:v>29.252000000000027</c:v>
                </c:pt>
                <c:pt idx="903">
                  <c:v>29.252100000000027</c:v>
                </c:pt>
                <c:pt idx="904">
                  <c:v>29.252200000000027</c:v>
                </c:pt>
                <c:pt idx="905">
                  <c:v>29.252300000000027</c:v>
                </c:pt>
                <c:pt idx="906">
                  <c:v>29.252400000000026</c:v>
                </c:pt>
                <c:pt idx="907">
                  <c:v>29.252500000000026</c:v>
                </c:pt>
                <c:pt idx="908">
                  <c:v>29.252600000000026</c:v>
                </c:pt>
                <c:pt idx="909">
                  <c:v>29.252700000000026</c:v>
                </c:pt>
                <c:pt idx="910">
                  <c:v>29.252800000000025</c:v>
                </c:pt>
                <c:pt idx="911">
                  <c:v>29.252900000000025</c:v>
                </c:pt>
                <c:pt idx="912">
                  <c:v>29.253000000000025</c:v>
                </c:pt>
                <c:pt idx="913">
                  <c:v>29.253100000000025</c:v>
                </c:pt>
                <c:pt idx="914">
                  <c:v>29.253200000000025</c:v>
                </c:pt>
                <c:pt idx="915">
                  <c:v>29.253300000000024</c:v>
                </c:pt>
                <c:pt idx="916">
                  <c:v>29.253400000000024</c:v>
                </c:pt>
                <c:pt idx="917">
                  <c:v>29.253500000000024</c:v>
                </c:pt>
                <c:pt idx="918">
                  <c:v>29.253600000000024</c:v>
                </c:pt>
                <c:pt idx="919">
                  <c:v>29.253700000000023</c:v>
                </c:pt>
                <c:pt idx="920">
                  <c:v>29.253800000000023</c:v>
                </c:pt>
                <c:pt idx="921">
                  <c:v>29.253900000000023</c:v>
                </c:pt>
                <c:pt idx="922">
                  <c:v>29.254000000000023</c:v>
                </c:pt>
                <c:pt idx="923">
                  <c:v>29.254100000000022</c:v>
                </c:pt>
                <c:pt idx="924">
                  <c:v>29.254200000000022</c:v>
                </c:pt>
                <c:pt idx="925">
                  <c:v>29.254300000000022</c:v>
                </c:pt>
                <c:pt idx="926">
                  <c:v>29.254400000000022</c:v>
                </c:pt>
                <c:pt idx="927">
                  <c:v>29.254500000000021</c:v>
                </c:pt>
                <c:pt idx="928">
                  <c:v>29.254600000000021</c:v>
                </c:pt>
                <c:pt idx="929">
                  <c:v>29.254700000000021</c:v>
                </c:pt>
                <c:pt idx="930">
                  <c:v>29.254800000000021</c:v>
                </c:pt>
                <c:pt idx="931">
                  <c:v>29.254900000000021</c:v>
                </c:pt>
                <c:pt idx="932">
                  <c:v>29.25500000000002</c:v>
                </c:pt>
                <c:pt idx="933">
                  <c:v>29.25510000000002</c:v>
                </c:pt>
                <c:pt idx="934">
                  <c:v>29.25520000000002</c:v>
                </c:pt>
                <c:pt idx="935">
                  <c:v>29.25530000000002</c:v>
                </c:pt>
                <c:pt idx="936">
                  <c:v>29.255400000000019</c:v>
                </c:pt>
                <c:pt idx="937">
                  <c:v>29.255500000000019</c:v>
                </c:pt>
                <c:pt idx="938">
                  <c:v>29.255600000000019</c:v>
                </c:pt>
                <c:pt idx="939">
                  <c:v>29.255700000000019</c:v>
                </c:pt>
                <c:pt idx="940">
                  <c:v>29.255800000000018</c:v>
                </c:pt>
                <c:pt idx="941">
                  <c:v>29.255900000000018</c:v>
                </c:pt>
                <c:pt idx="942">
                  <c:v>29.256000000000018</c:v>
                </c:pt>
                <c:pt idx="943">
                  <c:v>29.256100000000018</c:v>
                </c:pt>
                <c:pt idx="944">
                  <c:v>29.256200000000018</c:v>
                </c:pt>
                <c:pt idx="945">
                  <c:v>29.256300000000017</c:v>
                </c:pt>
                <c:pt idx="946">
                  <c:v>29.256400000000017</c:v>
                </c:pt>
                <c:pt idx="947">
                  <c:v>29.256500000000017</c:v>
                </c:pt>
                <c:pt idx="948">
                  <c:v>29.256600000000017</c:v>
                </c:pt>
                <c:pt idx="949">
                  <c:v>29.256700000000016</c:v>
                </c:pt>
                <c:pt idx="950">
                  <c:v>29.256800000000016</c:v>
                </c:pt>
                <c:pt idx="951">
                  <c:v>29.256900000000016</c:v>
                </c:pt>
                <c:pt idx="952">
                  <c:v>29.257000000000016</c:v>
                </c:pt>
                <c:pt idx="953">
                  <c:v>29.257100000000015</c:v>
                </c:pt>
                <c:pt idx="954">
                  <c:v>29.257200000000015</c:v>
                </c:pt>
                <c:pt idx="955">
                  <c:v>29.257300000000015</c:v>
                </c:pt>
                <c:pt idx="956">
                  <c:v>29.257400000000015</c:v>
                </c:pt>
                <c:pt idx="957">
                  <c:v>29.257500000000014</c:v>
                </c:pt>
                <c:pt idx="958">
                  <c:v>29.257600000000014</c:v>
                </c:pt>
                <c:pt idx="959">
                  <c:v>29.257700000000014</c:v>
                </c:pt>
                <c:pt idx="960">
                  <c:v>29.257800000000014</c:v>
                </c:pt>
                <c:pt idx="961">
                  <c:v>29.257900000000014</c:v>
                </c:pt>
                <c:pt idx="962">
                  <c:v>29.258000000000013</c:v>
                </c:pt>
                <c:pt idx="963">
                  <c:v>29.258100000000013</c:v>
                </c:pt>
                <c:pt idx="964">
                  <c:v>29.258200000000013</c:v>
                </c:pt>
                <c:pt idx="965">
                  <c:v>29.258300000000013</c:v>
                </c:pt>
                <c:pt idx="966">
                  <c:v>29.258400000000012</c:v>
                </c:pt>
                <c:pt idx="967">
                  <c:v>29.258500000000012</c:v>
                </c:pt>
                <c:pt idx="968">
                  <c:v>29.258600000000012</c:v>
                </c:pt>
                <c:pt idx="969">
                  <c:v>29.258700000000012</c:v>
                </c:pt>
                <c:pt idx="970">
                  <c:v>29.258800000000011</c:v>
                </c:pt>
                <c:pt idx="971">
                  <c:v>29.258900000000011</c:v>
                </c:pt>
                <c:pt idx="972">
                  <c:v>29.259000000000011</c:v>
                </c:pt>
                <c:pt idx="973">
                  <c:v>29.259100000000011</c:v>
                </c:pt>
                <c:pt idx="974">
                  <c:v>29.259200000000011</c:v>
                </c:pt>
                <c:pt idx="975">
                  <c:v>29.25930000000001</c:v>
                </c:pt>
                <c:pt idx="976">
                  <c:v>29.25940000000001</c:v>
                </c:pt>
                <c:pt idx="977">
                  <c:v>29.25950000000001</c:v>
                </c:pt>
                <c:pt idx="978">
                  <c:v>29.25960000000001</c:v>
                </c:pt>
                <c:pt idx="979">
                  <c:v>29.259700000000009</c:v>
                </c:pt>
                <c:pt idx="980">
                  <c:v>29.259800000000009</c:v>
                </c:pt>
                <c:pt idx="981">
                  <c:v>29.259900000000009</c:v>
                </c:pt>
                <c:pt idx="982">
                  <c:v>29.260000000000009</c:v>
                </c:pt>
                <c:pt idx="983">
                  <c:v>29.260100000000008</c:v>
                </c:pt>
                <c:pt idx="984">
                  <c:v>29.260200000000008</c:v>
                </c:pt>
                <c:pt idx="985">
                  <c:v>29.260300000000008</c:v>
                </c:pt>
                <c:pt idx="986">
                  <c:v>29.260400000000008</c:v>
                </c:pt>
                <c:pt idx="987">
                  <c:v>29.260500000000008</c:v>
                </c:pt>
                <c:pt idx="988">
                  <c:v>29.260600000000007</c:v>
                </c:pt>
                <c:pt idx="989">
                  <c:v>29.260700000000007</c:v>
                </c:pt>
                <c:pt idx="990">
                  <c:v>29.260800000000007</c:v>
                </c:pt>
                <c:pt idx="991">
                  <c:v>29.260900000000007</c:v>
                </c:pt>
                <c:pt idx="992">
                  <c:v>29.261000000000006</c:v>
                </c:pt>
                <c:pt idx="993">
                  <c:v>29.261100000000006</c:v>
                </c:pt>
                <c:pt idx="994">
                  <c:v>29.261200000000006</c:v>
                </c:pt>
                <c:pt idx="995">
                  <c:v>29.261300000000006</c:v>
                </c:pt>
                <c:pt idx="996">
                  <c:v>29.261400000000005</c:v>
                </c:pt>
                <c:pt idx="997">
                  <c:v>29.261500000000005</c:v>
                </c:pt>
                <c:pt idx="998">
                  <c:v>29.261600000000005</c:v>
                </c:pt>
                <c:pt idx="999">
                  <c:v>29.261700000000005</c:v>
                </c:pt>
                <c:pt idx="1000">
                  <c:v>29.261800000000004</c:v>
                </c:pt>
              </c:numCache>
            </c:numRef>
          </c:xVal>
          <c:yVal>
            <c:numRef>
              <c:f>Calculs!$K$4:$K$1004</c:f>
              <c:numCache>
                <c:formatCode>0.00</c:formatCode>
                <c:ptCount val="1001"/>
                <c:pt idx="0">
                  <c:v>574.95818926659933</c:v>
                </c:pt>
                <c:pt idx="1">
                  <c:v>576.4607643084081</c:v>
                </c:pt>
                <c:pt idx="2">
                  <c:v>577.96072910699593</c:v>
                </c:pt>
                <c:pt idx="3">
                  <c:v>579.45808951357935</c:v>
                </c:pt>
                <c:pt idx="4">
                  <c:v>580.95285135471443</c:v>
                </c:pt>
                <c:pt idx="5">
                  <c:v>582.44502043243335</c:v>
                </c:pt>
                <c:pt idx="6">
                  <c:v>583.93460252438092</c:v>
                </c:pt>
                <c:pt idx="7">
                  <c:v>585.42160338394922</c:v>
                </c:pt>
                <c:pt idx="8">
                  <c:v>586.90602874041213</c:v>
                </c:pt>
                <c:pt idx="9">
                  <c:v>588.38788429905833</c:v>
                </c:pt>
                <c:pt idx="10">
                  <c:v>589.86717574132354</c:v>
                </c:pt>
                <c:pt idx="11">
                  <c:v>591.34390871555877</c:v>
                </c:pt>
                <c:pt idx="12">
                  <c:v>592.81808882797088</c:v>
                </c:pt>
                <c:pt idx="13">
                  <c:v>594.28972165246091</c:v>
                </c:pt>
                <c:pt idx="14">
                  <c:v>595.75881274028313</c:v>
                </c:pt>
                <c:pt idx="15">
                  <c:v>597.22536762016443</c:v>
                </c:pt>
                <c:pt idx="16">
                  <c:v>598.68939179842289</c:v>
                </c:pt>
                <c:pt idx="17">
                  <c:v>600.15089075908588</c:v>
                </c:pt>
                <c:pt idx="18">
                  <c:v>601.60986996400663</c:v>
                </c:pt>
                <c:pt idx="19">
                  <c:v>603.06633485298096</c:v>
                </c:pt>
                <c:pt idx="20">
                  <c:v>604.52029084386231</c:v>
                </c:pt>
                <c:pt idx="21">
                  <c:v>605.97174333735904</c:v>
                </c:pt>
                <c:pt idx="22">
                  <c:v>607.42069772174682</c:v>
                </c:pt>
                <c:pt idx="23">
                  <c:v>608.86715936813198</c:v>
                </c:pt>
                <c:pt idx="24">
                  <c:v>610.31113362580095</c:v>
                </c:pt>
                <c:pt idx="25">
                  <c:v>611.75262582233609</c:v>
                </c:pt>
                <c:pt idx="26">
                  <c:v>613.19164126373039</c:v>
                </c:pt>
                <c:pt idx="27">
                  <c:v>614.62818523450153</c:v>
                </c:pt>
                <c:pt idx="28">
                  <c:v>616.06226299780565</c:v>
                </c:pt>
                <c:pt idx="29">
                  <c:v>617.49387979554967</c:v>
                </c:pt>
                <c:pt idx="30">
                  <c:v>618.92304084850332</c:v>
                </c:pt>
                <c:pt idx="31">
                  <c:v>620.34975135641002</c:v>
                </c:pt>
                <c:pt idx="32">
                  <c:v>621.77401649809769</c:v>
                </c:pt>
                <c:pt idx="33">
                  <c:v>623.19584143158795</c:v>
                </c:pt>
                <c:pt idx="34">
                  <c:v>624.6152312942055</c:v>
                </c:pt>
                <c:pt idx="35">
                  <c:v>626.03219120268602</c:v>
                </c:pt>
                <c:pt idx="36">
                  <c:v>627.44672625328383</c:v>
                </c:pt>
                <c:pt idx="37">
                  <c:v>628.8588415218785</c:v>
                </c:pt>
                <c:pt idx="38">
                  <c:v>630.26854206408109</c:v>
                </c:pt>
                <c:pt idx="39">
                  <c:v>631.67583291533936</c:v>
                </c:pt>
                <c:pt idx="40">
                  <c:v>633.08071909104274</c:v>
                </c:pt>
                <c:pt idx="41">
                  <c:v>634.48320558662613</c:v>
                </c:pt>
                <c:pt idx="42">
                  <c:v>635.8832973776731</c:v>
                </c:pt>
                <c:pt idx="43">
                  <c:v>637.2809994200187</c:v>
                </c:pt>
                <c:pt idx="44">
                  <c:v>638.6763166498514</c:v>
                </c:pt>
                <c:pt idx="45">
                  <c:v>640.06925398381429</c:v>
                </c:pt>
                <c:pt idx="46">
                  <c:v>641.45981631910593</c:v>
                </c:pt>
                <c:pt idx="47">
                  <c:v>642.84800853358001</c:v>
                </c:pt>
                <c:pt idx="48">
                  <c:v>644.23383548584502</c:v>
                </c:pt>
                <c:pt idx="49">
                  <c:v>645.61730201536272</c:v>
                </c:pt>
                <c:pt idx="50">
                  <c:v>646.998412942546</c:v>
                </c:pt>
                <c:pt idx="51">
                  <c:v>648.37717306885679</c:v>
                </c:pt>
                <c:pt idx="52">
                  <c:v>649.75358717690233</c:v>
                </c:pt>
                <c:pt idx="53">
                  <c:v>651.12766003053162</c:v>
                </c:pt>
                <c:pt idx="54">
                  <c:v>652.49939637493071</c:v>
                </c:pt>
                <c:pt idx="55">
                  <c:v>653.86880093671789</c:v>
                </c:pt>
                <c:pt idx="56">
                  <c:v>655.23587842403765</c:v>
                </c:pt>
                <c:pt idx="57">
                  <c:v>656.60063352665475</c:v>
                </c:pt>
                <c:pt idx="58">
                  <c:v>657.96307091604695</c:v>
                </c:pt>
                <c:pt idx="59">
                  <c:v>659.32319524549769</c:v>
                </c:pt>
                <c:pt idx="60">
                  <c:v>660.68101115018783</c:v>
                </c:pt>
                <c:pt idx="61">
                  <c:v>662.03652324728705</c:v>
                </c:pt>
                <c:pt idx="62">
                  <c:v>663.3897361360448</c:v>
                </c:pt>
                <c:pt idx="63">
                  <c:v>664.74065439787989</c:v>
                </c:pt>
                <c:pt idx="64">
                  <c:v>666.08928259647064</c:v>
                </c:pt>
                <c:pt idx="65">
                  <c:v>667.43562527784343</c:v>
                </c:pt>
                <c:pt idx="66">
                  <c:v>668.7796869704614</c:v>
                </c:pt>
                <c:pt idx="67">
                  <c:v>670.12147218531209</c:v>
                </c:pt>
                <c:pt idx="68">
                  <c:v>671.46098541599486</c:v>
                </c:pt>
                <c:pt idx="69">
                  <c:v>672.79823113880786</c:v>
                </c:pt>
                <c:pt idx="70">
                  <c:v>674.13321381283379</c:v>
                </c:pt>
                <c:pt idx="71">
                  <c:v>675.46593788002588</c:v>
                </c:pt>
                <c:pt idx="72">
                  <c:v>676.796407765293</c:v>
                </c:pt>
                <c:pt idx="73">
                  <c:v>678.12462787658399</c:v>
                </c:pt>
                <c:pt idx="74">
                  <c:v>679.45060260497189</c:v>
                </c:pt>
                <c:pt idx="75">
                  <c:v>680.77433632473753</c:v>
                </c:pt>
                <c:pt idx="76">
                  <c:v>682.09583339345238</c:v>
                </c:pt>
                <c:pt idx="77">
                  <c:v>683.41509815206109</c:v>
                </c:pt>
                <c:pt idx="78">
                  <c:v>684.73213492496325</c:v>
                </c:pt>
                <c:pt idx="79">
                  <c:v>686.04694802009521</c:v>
                </c:pt>
                <c:pt idx="80">
                  <c:v>687.35954172901086</c:v>
                </c:pt>
                <c:pt idx="81">
                  <c:v>688.66992032696169</c:v>
                </c:pt>
                <c:pt idx="82">
                  <c:v>689.97808807297724</c:v>
                </c:pt>
                <c:pt idx="83">
                  <c:v>691.28404920994433</c:v>
                </c:pt>
                <c:pt idx="84">
                  <c:v>692.58780796468591</c:v>
                </c:pt>
                <c:pt idx="85">
                  <c:v>693.88936854803956</c:v>
                </c:pt>
                <c:pt idx="86">
                  <c:v>695.18873515493533</c:v>
                </c:pt>
                <c:pt idx="87">
                  <c:v>696.48591196447353</c:v>
                </c:pt>
                <c:pt idx="88">
                  <c:v>697.78090314000133</c:v>
                </c:pt>
                <c:pt idx="89">
                  <c:v>699.07371282918962</c:v>
                </c:pt>
                <c:pt idx="90">
                  <c:v>700.36434516410873</c:v>
                </c:pt>
                <c:pt idx="91">
                  <c:v>701.65280426130437</c:v>
                </c:pt>
                <c:pt idx="92">
                  <c:v>702.93909422187232</c:v>
                </c:pt>
                <c:pt idx="93">
                  <c:v>704.22321913153348</c:v>
                </c:pt>
                <c:pt idx="94">
                  <c:v>705.50518306070762</c:v>
                </c:pt>
                <c:pt idx="95">
                  <c:v>706.78499006458765</c:v>
                </c:pt>
                <c:pt idx="96">
                  <c:v>708.06264418321234</c:v>
                </c:pt>
                <c:pt idx="97">
                  <c:v>709.3381494415396</c:v>
                </c:pt>
                <c:pt idx="98">
                  <c:v>710.6115098495186</c:v>
                </c:pt>
                <c:pt idx="99">
                  <c:v>711.88272940216177</c:v>
                </c:pt>
                <c:pt idx="100">
                  <c:v>713.15181207961643</c:v>
                </c:pt>
                <c:pt idx="101">
                  <c:v>725.72541786762235</c:v>
                </c:pt>
                <c:pt idx="102">
                  <c:v>738.08788525748264</c:v>
                </c:pt>
                <c:pt idx="103">
                  <c:v>750.2430521902437</c:v>
                </c:pt>
                <c:pt idx="104">
                  <c:v>762.1946170601999</c:v>
                </c:pt>
                <c:pt idx="105">
                  <c:v>773.94614515619912</c:v>
                </c:pt>
                <c:pt idx="106">
                  <c:v>785.50107472710852</c:v>
                </c:pt>
                <c:pt idx="107">
                  <c:v>796.8627226974711</c:v>
                </c:pt>
                <c:pt idx="108">
                  <c:v>808.03429005729367</c:v>
                </c:pt>
                <c:pt idx="109">
                  <c:v>819.01886694800919</c:v>
                </c:pt>
                <c:pt idx="110">
                  <c:v>829.81943746492709</c:v>
                </c:pt>
                <c:pt idx="111">
                  <c:v>840.43888419490906</c:v>
                </c:pt>
                <c:pt idx="112">
                  <c:v>850.87999250657367</c:v>
                </c:pt>
                <c:pt idx="113">
                  <c:v>861.14545460901888</c:v>
                </c:pt>
                <c:pt idx="114">
                  <c:v>871.2378733938541</c:v>
                </c:pt>
                <c:pt idx="115">
                  <c:v>881.15976607423579</c:v>
                </c:pt>
                <c:pt idx="116">
                  <c:v>890.91356763359624</c:v>
                </c:pt>
                <c:pt idx="117">
                  <c:v>900.50163409583297</c:v>
                </c:pt>
                <c:pt idx="118">
                  <c:v>909.92624562788183</c:v>
                </c:pt>
                <c:pt idx="119">
                  <c:v>919.18960948482049</c:v>
                </c:pt>
                <c:pt idx="120">
                  <c:v>928.29386280693427</c:v>
                </c:pt>
                <c:pt idx="121">
                  <c:v>937.24107527751994</c:v>
                </c:pt>
                <c:pt idx="122">
                  <c:v>946.0332516495987</c:v>
                </c:pt>
                <c:pt idx="123">
                  <c:v>954.67233414915154</c:v>
                </c:pt>
                <c:pt idx="124">
                  <c:v>963.16020476197571</c:v>
                </c:pt>
                <c:pt idx="125">
                  <c:v>971.49868741078672</c:v>
                </c:pt>
                <c:pt idx="126">
                  <c:v>979.689550028751</c:v>
                </c:pt>
                <c:pt idx="127">
                  <c:v>987.73450653522946</c:v>
                </c:pt>
                <c:pt idx="128">
                  <c:v>995.63521871913645</c:v>
                </c:pt>
                <c:pt idx="129">
                  <c:v>1003.3932980349711</c:v>
                </c:pt>
                <c:pt idx="130">
                  <c:v>1011.0103073162556</c:v>
                </c:pt>
                <c:pt idx="131">
                  <c:v>1018.4877624108186</c:v>
                </c:pt>
                <c:pt idx="132">
                  <c:v>1025.8271337420806</c:v>
                </c:pt>
                <c:pt idx="133">
                  <c:v>1033.0298478002455</c:v>
                </c:pt>
                <c:pt idx="134">
                  <c:v>1040.0972885670628</c:v>
                </c:pt>
                <c:pt idx="135">
                  <c:v>1047.0307988775985</c:v>
                </c:pt>
                <c:pt idx="136">
                  <c:v>1053.8316817222535</c:v>
                </c:pt>
                <c:pt idx="137">
                  <c:v>1060.5012014920705</c:v>
                </c:pt>
                <c:pt idx="138">
                  <c:v>1067.040585170196</c:v>
                </c:pt>
                <c:pt idx="139">
                  <c:v>1073.451023472192</c:v>
                </c:pt>
                <c:pt idx="140">
                  <c:v>1079.7336719377458</c:v>
                </c:pt>
                <c:pt idx="141">
                  <c:v>1085.8896519761738</c:v>
                </c:pt>
                <c:pt idx="142">
                  <c:v>1091.9200518679845</c:v>
                </c:pt>
                <c:pt idx="143">
                  <c:v>1097.825927724643</c:v>
                </c:pt>
                <c:pt idx="144">
                  <c:v>1103.6083044085585</c:v>
                </c:pt>
                <c:pt idx="145">
                  <c:v>1109.2681764152117</c:v>
                </c:pt>
                <c:pt idx="146">
                  <c:v>1114.8065087192344</c:v>
                </c:pt>
                <c:pt idx="147">
                  <c:v>1120.2242375861679</c:v>
                </c:pt>
                <c:pt idx="148">
                  <c:v>1125.5222713515259</c:v>
                </c:pt>
                <c:pt idx="149">
                  <c:v>1130.7014911687254</c:v>
                </c:pt>
                <c:pt idx="150">
                  <c:v>1135.7627517273568</c:v>
                </c:pt>
                <c:pt idx="151">
                  <c:v>1140.7068819432088</c:v>
                </c:pt>
                <c:pt idx="152">
                  <c:v>1145.5346856213951</c:v>
                </c:pt>
                <c:pt idx="153">
                  <c:v>1150.2469420938705</c:v>
                </c:pt>
                <c:pt idx="154">
                  <c:v>1154.8444068325782</c:v>
                </c:pt>
                <c:pt idx="155">
                  <c:v>1159.3278120394136</c:v>
                </c:pt>
                <c:pt idx="156">
                  <c:v>1163.6978672141579</c:v>
                </c:pt>
                <c:pt idx="157">
                  <c:v>1167.9552597014863</c:v>
                </c:pt>
                <c:pt idx="158">
                  <c:v>1172.100655218135</c:v>
                </c:pt>
                <c:pt idx="159">
                  <c:v>1176.1346983612727</c:v>
                </c:pt>
                <c:pt idx="160">
                  <c:v>1180.0580130991107</c:v>
                </c:pt>
                <c:pt idx="161">
                  <c:v>1183.8712032447586</c:v>
                </c:pt>
                <c:pt idx="162">
                  <c:v>1187.574852914332</c:v>
                </c:pt>
                <c:pt idx="163">
                  <c:v>1191.1695269703032</c:v>
                </c:pt>
                <c:pt idx="164">
                  <c:v>1194.6557714510941</c:v>
                </c:pt>
                <c:pt idx="165">
                  <c:v>1198.0341139879129</c:v>
                </c:pt>
                <c:pt idx="166">
                  <c:v>1201.3050642098508</c:v>
                </c:pt>
                <c:pt idx="167">
                  <c:v>1204.469114138278</c:v>
                </c:pt>
                <c:pt idx="168">
                  <c:v>1207.5267385716029</c:v>
                </c:pt>
                <c:pt idx="169">
                  <c:v>1210.4783954614975</c:v>
                </c:pt>
                <c:pt idx="170">
                  <c:v>1213.3245262817375</c:v>
                </c:pt>
                <c:pt idx="171">
                  <c:v>1216.0655563908572</c:v>
                </c:pt>
                <c:pt idx="172">
                  <c:v>1218.7018953898848</c:v>
                </c:pt>
                <c:pt idx="173">
                  <c:v>1221.2339374764977</c:v>
                </c:pt>
                <c:pt idx="174">
                  <c:v>1223.6620617970166</c:v>
                </c:pt>
                <c:pt idx="175">
                  <c:v>1225.986632797755</c:v>
                </c:pt>
                <c:pt idx="176">
                  <c:v>1228.2080005773382</c:v>
                </c:pt>
                <c:pt idx="177">
                  <c:v>1230.3265012417176</c:v>
                </c:pt>
                <c:pt idx="178">
                  <c:v>1232.3424572637227</c:v>
                </c:pt>
                <c:pt idx="179">
                  <c:v>1234.2561778491124</c:v>
                </c:pt>
                <c:pt idx="180">
                  <c:v>1236.0679593112077</c:v>
                </c:pt>
                <c:pt idx="181">
                  <c:v>1237.7780854563041</c:v>
                </c:pt>
                <c:pt idx="182">
                  <c:v>1239.3868279821681</c:v>
                </c:pt>
                <c:pt idx="183">
                  <c:v>1240.894446892004</c:v>
                </c:pt>
                <c:pt idx="184">
                  <c:v>1242.30119092634</c:v>
                </c:pt>
                <c:pt idx="185">
                  <c:v>1243.607298015294</c:v>
                </c:pt>
                <c:pt idx="186">
                  <c:v>1244.8129957536416</c:v>
                </c:pt>
                <c:pt idx="187">
                  <c:v>1245.9185019010076</c:v>
                </c:pt>
                <c:pt idx="188">
                  <c:v>1246.9240249093009</c:v>
                </c:pt>
                <c:pt idx="189">
                  <c:v>1247.8297644792301</c:v>
                </c:pt>
                <c:pt idx="190">
                  <c:v>1248.6359121473317</c:v>
                </c:pt>
                <c:pt idx="191">
                  <c:v>1249.3426519044181</c:v>
                </c:pt>
                <c:pt idx="192">
                  <c:v>1249.9501608457081</c:v>
                </c:pt>
                <c:pt idx="193">
                  <c:v>1250.4586098521379</c:v>
                </c:pt>
                <c:pt idx="194">
                  <c:v>1250.8681643014875</c:v>
                </c:pt>
                <c:pt idx="195">
                  <c:v>1251.1789848070164</c:v>
                </c:pt>
                <c:pt idx="196">
                  <c:v>1251.3912279803328</c:v>
                </c:pt>
                <c:pt idx="197">
                  <c:v>1251.5050472142614</c:v>
                </c:pt>
                <c:pt idx="198">
                  <c:v>1251.5205934805861</c:v>
                </c:pt>
                <c:pt idx="199">
                  <c:v>1251.4380161367837</c:v>
                </c:pt>
                <c:pt idx="200">
                  <c:v>1251.2574637352866</c:v>
                </c:pt>
                <c:pt idx="201">
                  <c:v>1250.9790848284513</c:v>
                </c:pt>
                <c:pt idx="202">
                  <c:v>1250.6030287623121</c:v>
                </c:pt>
                <c:pt idx="203">
                  <c:v>1250.1294464523469</c:v>
                </c:pt>
                <c:pt idx="204">
                  <c:v>1249.5584911348919</c:v>
                </c:pt>
                <c:pt idx="205">
                  <c:v>1248.8903190884614</c:v>
                </c:pt>
                <c:pt idx="206">
                  <c:v>1248.1250903200237</c:v>
                </c:pt>
                <c:pt idx="207">
                  <c:v>1247.2629692121948</c:v>
                </c:pt>
                <c:pt idx="208">
                  <c:v>1246.304125128288</c:v>
                </c:pt>
                <c:pt idx="209">
                  <c:v>1245.2487329731259</c:v>
                </c:pt>
                <c:pt idx="210">
                  <c:v>1244.0969737084629</c:v>
                </c:pt>
                <c:pt idx="211">
                  <c:v>1242.8490348227042</c:v>
                </c:pt>
                <c:pt idx="212">
                  <c:v>1241.5051107553631</c:v>
                </c:pt>
                <c:pt idx="213">
                  <c:v>1240.0654032773039</c:v>
                </c:pt>
                <c:pt idx="214">
                  <c:v>1238.5301218283196</c:v>
                </c:pt>
                <c:pt idx="215">
                  <c:v>1236.8994838139611</c:v>
                </c:pt>
                <c:pt idx="216">
                  <c:v>1235.1737148637885</c:v>
                </c:pt>
                <c:pt idx="217">
                  <c:v>1233.3530490533772</c:v>
                </c:pt>
                <c:pt idx="218">
                  <c:v>1231.4377290924838</c:v>
                </c:pt>
                <c:pt idx="219">
                  <c:v>1229.4280064817851</c:v>
                </c:pt>
                <c:pt idx="220">
                  <c:v>1227.3241416405558</c:v>
                </c:pt>
                <c:pt idx="221">
                  <c:v>1225.1264040075689</c:v>
                </c:pt>
                <c:pt idx="222">
                  <c:v>1222.8350721173897</c:v>
                </c:pt>
                <c:pt idx="223">
                  <c:v>1220.4504336541058</c:v>
                </c:pt>
                <c:pt idx="224">
                  <c:v>1217.9727854843968</c:v>
                </c:pt>
                <c:pt idx="225">
                  <c:v>1215.4024336717055</c:v>
                </c:pt>
                <c:pt idx="226">
                  <c:v>1212.7396934731328</c:v>
                </c:pt>
                <c:pt idx="227">
                  <c:v>1209.9848893205415</c:v>
                </c:pt>
                <c:pt idx="228">
                  <c:v>1207.1383547872249</c:v>
                </c:pt>
                <c:pt idx="229">
                  <c:v>1204.2004325413748</c:v>
                </c:pt>
                <c:pt idx="230">
                  <c:v>1201.1714742874713</c:v>
                </c:pt>
                <c:pt idx="231">
                  <c:v>1198.0518406966148</c:v>
                </c:pt>
                <c:pt idx="232">
                  <c:v>1194.8419013267237</c:v>
                </c:pt>
                <c:pt idx="233">
                  <c:v>1191.5420345334394</c:v>
                </c:pt>
                <c:pt idx="234">
                  <c:v>1188.1526273725015</c:v>
                </c:pt>
                <c:pt idx="235">
                  <c:v>1184.6740754942884</c:v>
                </c:pt>
                <c:pt idx="236">
                  <c:v>1181.1067830311554</c:v>
                </c:pt>
                <c:pt idx="237">
                  <c:v>1177.4511624781483</c:v>
                </c:pt>
                <c:pt idx="238">
                  <c:v>1173.7076345676226</c:v>
                </c:pt>
                <c:pt idx="239">
                  <c:v>1169.8766281382507</c:v>
                </c:pt>
                <c:pt idx="240">
                  <c:v>1165.9585799988668</c:v>
                </c:pt>
                <c:pt idx="241">
                  <c:v>1161.9539347875575</c:v>
                </c:pt>
                <c:pt idx="242">
                  <c:v>1157.8631448263832</c:v>
                </c:pt>
                <c:pt idx="243">
                  <c:v>1153.6866699720788</c:v>
                </c:pt>
                <c:pt idx="244">
                  <c:v>1149.4249774630684</c:v>
                </c:pt>
                <c:pt idx="245">
                  <c:v>1145.0785417630982</c:v>
                </c:pt>
                <c:pt idx="246">
                  <c:v>1140.6478444017757</c:v>
                </c:pt>
                <c:pt idx="247">
                  <c:v>1136.1333738122892</c:v>
                </c:pt>
                <c:pt idx="248">
                  <c:v>1131.5356251665596</c:v>
                </c:pt>
                <c:pt idx="249">
                  <c:v>1126.8551002080681</c:v>
                </c:pt>
                <c:pt idx="250">
                  <c:v>1122.0923070825875</c:v>
                </c:pt>
                <c:pt idx="251">
                  <c:v>1117.2477601670366</c:v>
                </c:pt>
                <c:pt idx="252">
                  <c:v>1112.3219798966618</c:v>
                </c:pt>
                <c:pt idx="253">
                  <c:v>1107.3154925907465</c:v>
                </c:pt>
                <c:pt idx="254">
                  <c:v>1102.2288302770373</c:v>
                </c:pt>
                <c:pt idx="255">
                  <c:v>1097.0625305150661</c:v>
                </c:pt>
                <c:pt idx="256">
                  <c:v>1091.8171362185449</c:v>
                </c:pt>
                <c:pt idx="257">
                  <c:v>1086.4931954769988</c:v>
                </c:pt>
                <c:pt idx="258">
                  <c:v>1081.0912613767996</c:v>
                </c:pt>
                <c:pt idx="259">
                  <c:v>1075.6118918217528</c:v>
                </c:pt>
                <c:pt idx="260">
                  <c:v>1070.0556493533909</c:v>
                </c:pt>
                <c:pt idx="261">
                  <c:v>1064.4231009711141</c:v>
                </c:pt>
                <c:pt idx="262">
                  <c:v>1058.714817952319</c:v>
                </c:pt>
                <c:pt idx="263">
                  <c:v>1052.9313756726506</c:v>
                </c:pt>
                <c:pt idx="264">
                  <c:v>1047.0733534265064</c:v>
                </c:pt>
                <c:pt idx="265">
                  <c:v>1041.1413342479179</c:v>
                </c:pt>
                <c:pt idx="266">
                  <c:v>1035.135904731932</c:v>
                </c:pt>
                <c:pt idx="267">
                  <c:v>1029.0576548566089</c:v>
                </c:pt>
                <c:pt idx="268">
                  <c:v>1022.9071778057489</c:v>
                </c:pt>
                <c:pt idx="269">
                  <c:v>1016.685069792459</c:v>
                </c:pt>
                <c:pt idx="270">
                  <c:v>1010.3919298836631</c:v>
                </c:pt>
                <c:pt idx="271">
                  <c:v>1004.0283598256586</c:v>
                </c:pt>
                <c:pt idx="272">
                  <c:v>997.59496387081708</c:v>
                </c:pt>
                <c:pt idx="273">
                  <c:v>991.09234860552283</c:v>
                </c:pt>
                <c:pt idx="274">
                  <c:v>984.52112277944161</c:v>
                </c:pt>
                <c:pt idx="275">
                  <c:v>977.88189713620557</c:v>
                </c:pt>
                <c:pt idx="276">
                  <c:v>971.17528424559862</c:v>
                </c:pt>
                <c:pt idx="277">
                  <c:v>964.40189833732336</c:v>
                </c:pt>
                <c:pt idx="278">
                  <c:v>957.56235513642582</c:v>
                </c:pt>
                <c:pt idx="279">
                  <c:v>950.65727170045216</c:v>
                </c:pt>
                <c:pt idx="280">
                  <c:v>943.68726625840804</c:v>
                </c:pt>
                <c:pt idx="281">
                  <c:v>936.65295805158758</c:v>
                </c:pt>
                <c:pt idx="282">
                  <c:v>929.55496717633605</c:v>
                </c:pt>
                <c:pt idx="283">
                  <c:v>922.39391442880708</c:v>
                </c:pt>
                <c:pt idx="284">
                  <c:v>915.17042115177196</c:v>
                </c:pt>
                <c:pt idx="285">
                  <c:v>907.88510908353646</c:v>
                </c:pt>
                <c:pt idx="286">
                  <c:v>900.53860020901504</c:v>
                </c:pt>
                <c:pt idx="287">
                  <c:v>893.13151661301288</c:v>
                </c:pt>
                <c:pt idx="288">
                  <c:v>885.66448033575966</c:v>
                </c:pt>
                <c:pt idx="289">
                  <c:v>878.13811323073867</c:v>
                </c:pt>
                <c:pt idx="290">
                  <c:v>870.55303682485089</c:v>
                </c:pt>
                <c:pt idx="291">
                  <c:v>862.90987218094995</c:v>
                </c:pt>
                <c:pt idx="292">
                  <c:v>855.20923976278334</c:v>
                </c:pt>
                <c:pt idx="293">
                  <c:v>847.45175930237019</c:v>
                </c:pt>
                <c:pt idx="294">
                  <c:v>839.63804966984435</c:v>
                </c:pt>
                <c:pt idx="295">
                  <c:v>831.7687287457893</c:v>
                </c:pt>
                <c:pt idx="296">
                  <c:v>823.84441329608705</c:v>
                </c:pt>
                <c:pt idx="297">
                  <c:v>815.86571884930288</c:v>
                </c:pt>
                <c:pt idx="298">
                  <c:v>807.83325957662373</c:v>
                </c:pt>
                <c:pt idx="299">
                  <c:v>799.74764817436551</c:v>
                </c:pt>
                <c:pt idx="300">
                  <c:v>791.60949574906363</c:v>
                </c:pt>
                <c:pt idx="301">
                  <c:v>783.41941170515702</c:v>
                </c:pt>
                <c:pt idx="302">
                  <c:v>775.17800363527499</c:v>
                </c:pt>
                <c:pt idx="303">
                  <c:v>766.88587721313297</c:v>
                </c:pt>
                <c:pt idx="304">
                  <c:v>758.54363608904168</c:v>
                </c:pt>
                <c:pt idx="305">
                  <c:v>750.15188178803203</c:v>
                </c:pt>
                <c:pt idx="306">
                  <c:v>741.71121361059613</c:v>
                </c:pt>
                <c:pt idx="307">
                  <c:v>733.22222853604183</c:v>
                </c:pt>
                <c:pt idx="308">
                  <c:v>724.68552112845816</c:v>
                </c:pt>
                <c:pt idx="309">
                  <c:v>716.10168344528552</c:v>
                </c:pt>
                <c:pt idx="310">
                  <c:v>707.47130494848273</c:v>
                </c:pt>
                <c:pt idx="311">
                  <c:v>698.79497241828267</c:v>
                </c:pt>
                <c:pt idx="312">
                  <c:v>690.07326986952512</c:v>
                </c:pt>
                <c:pt idx="313">
                  <c:v>681.30677847055483</c:v>
                </c:pt>
                <c:pt idx="314">
                  <c:v>672.49607646466973</c:v>
                </c:pt>
                <c:pt idx="315">
                  <c:v>663.64173909410499</c:v>
                </c:pt>
                <c:pt idx="316">
                  <c:v>654.7443385265351</c:v>
                </c:pt>
                <c:pt idx="317">
                  <c:v>645.80444378407583</c:v>
                </c:pt>
                <c:pt idx="318">
                  <c:v>636.82262067476665</c:v>
                </c:pt>
                <c:pt idx="319">
                  <c:v>627.7994317265119</c:v>
                </c:pt>
                <c:pt idx="320">
                  <c:v>618.73543612345918</c:v>
                </c:pt>
                <c:pt idx="321">
                  <c:v>609.63118964479133</c:v>
                </c:pt>
                <c:pt idx="322">
                  <c:v>600.4872446059079</c:v>
                </c:pt>
                <c:pt idx="323">
                  <c:v>591.30414980196986</c:v>
                </c:pt>
                <c:pt idx="324">
                  <c:v>582.0824504537818</c:v>
                </c:pt>
                <c:pt idx="325">
                  <c:v>572.822688155984</c:v>
                </c:pt>
                <c:pt idx="326">
                  <c:v>563.52540082752614</c:v>
                </c:pt>
                <c:pt idx="327">
                  <c:v>554.19112266439345</c:v>
                </c:pt>
                <c:pt idx="328">
                  <c:v>544.82038409455527</c:v>
                </c:pt>
                <c:pt idx="329">
                  <c:v>535.41371173510618</c:v>
                </c:pt>
                <c:pt idx="330">
                  <c:v>525.97162835156757</c:v>
                </c:pt>
                <c:pt idx="331">
                  <c:v>516.49465281931816</c:v>
                </c:pt>
                <c:pt idx="332">
                  <c:v>506.98330008712117</c:v>
                </c:pt>
                <c:pt idx="333">
                  <c:v>497.43808114271519</c:v>
                </c:pt>
                <c:pt idx="334">
                  <c:v>487.85950298043497</c:v>
                </c:pt>
                <c:pt idx="335">
                  <c:v>478.24806857082871</c:v>
                </c:pt>
                <c:pt idx="336">
                  <c:v>468.60427683223708</c:v>
                </c:pt>
                <c:pt idx="337">
                  <c:v>458.92862260430007</c:v>
                </c:pt>
                <c:pt idx="338">
                  <c:v>449.22159662335622</c:v>
                </c:pt>
                <c:pt idx="339">
                  <c:v>439.48368549969922</c:v>
                </c:pt>
                <c:pt idx="340">
                  <c:v>429.71537169665658</c:v>
                </c:pt>
                <c:pt idx="341">
                  <c:v>419.91713351145478</c:v>
                </c:pt>
                <c:pt idx="342">
                  <c:v>410.08944505783529</c:v>
                </c:pt>
                <c:pt idx="343">
                  <c:v>400.23277625038526</c:v>
                </c:pt>
                <c:pt idx="344">
                  <c:v>390.34759279054737</c:v>
                </c:pt>
                <c:pt idx="345">
                  <c:v>380.4343561542729</c:v>
                </c:pt>
                <c:pt idx="346">
                  <c:v>370.49352358128175</c:v>
                </c:pt>
                <c:pt idx="347">
                  <c:v>360.52554806589353</c:v>
                </c:pt>
                <c:pt idx="348">
                  <c:v>350.5308783493943</c:v>
                </c:pt>
                <c:pt idx="349">
                  <c:v>340.50995891390244</c:v>
                </c:pt>
                <c:pt idx="350">
                  <c:v>330.4632299776984</c:v>
                </c:pt>
                <c:pt idx="351">
                  <c:v>320.39112749198267</c:v>
                </c:pt>
                <c:pt idx="352">
                  <c:v>310.29408313902638</c:v>
                </c:pt>
                <c:pt idx="353">
                  <c:v>300.1725243316796</c:v>
                </c:pt>
                <c:pt idx="354">
                  <c:v>290.02687421420183</c:v>
                </c:pt>
                <c:pt idx="355">
                  <c:v>279.85755166438025</c:v>
                </c:pt>
                <c:pt idx="356">
                  <c:v>269.66497129690117</c:v>
                </c:pt>
                <c:pt idx="357">
                  <c:v>259.44954346793992</c:v>
                </c:pt>
                <c:pt idx="358">
                  <c:v>249.21167428093585</c:v>
                </c:pt>
                <c:pt idx="359">
                  <c:v>238.95176559351791</c:v>
                </c:pt>
                <c:pt idx="360">
                  <c:v>228.67021502554812</c:v>
                </c:pt>
                <c:pt idx="361">
                  <c:v>218.36741596824947</c:v>
                </c:pt>
                <c:pt idx="362">
                  <c:v>208.04375759438562</c:v>
                </c:pt>
                <c:pt idx="363">
                  <c:v>197.69962486946</c:v>
                </c:pt>
                <c:pt idx="364">
                  <c:v>187.3353985639024</c:v>
                </c:pt>
                <c:pt idx="365">
                  <c:v>176.95145526621147</c:v>
                </c:pt>
                <c:pt idx="366">
                  <c:v>166.54816739702179</c:v>
                </c:pt>
                <c:pt idx="367">
                  <c:v>156.12590322406481</c:v>
                </c:pt>
                <c:pt idx="368">
                  <c:v>145.68502687799347</c:v>
                </c:pt>
                <c:pt idx="369">
                  <c:v>135.2258983690401</c:v>
                </c:pt>
                <c:pt idx="370">
                  <c:v>124.74887360447867</c:v>
                </c:pt>
                <c:pt idx="371">
                  <c:v>114.25430440686191</c:v>
                </c:pt>
                <c:pt idx="372">
                  <c:v>103.74253853300476</c:v>
                </c:pt>
                <c:pt idx="373">
                  <c:v>93.213919693686307</c:v>
                </c:pt>
                <c:pt idx="374">
                  <c:v>82.668787574042028</c:v>
                </c:pt>
                <c:pt idx="375">
                  <c:v>72.107477854619532</c:v>
                </c:pt>
                <c:pt idx="376">
                  <c:v>61.530322233070812</c:v>
                </c:pt>
                <c:pt idx="377">
                  <c:v>50.937648446454865</c:v>
                </c:pt>
                <c:pt idx="378">
                  <c:v>40.329780294124731</c:v>
                </c:pt>
                <c:pt idx="379">
                  <c:v>29.7070376611738</c:v>
                </c:pt>
                <c:pt idx="380">
                  <c:v>19.069736542416365</c:v>
                </c:pt>
                <c:pt idx="381">
                  <c:v>8.418189066878238</c:v>
                </c:pt>
                <c:pt idx="382">
                  <c:v>-2.247296477226616</c:v>
                </c:pt>
                <c:pt idx="383">
                  <c:v>-2.2579688619526315</c:v>
                </c:pt>
                <c:pt idx="384">
                  <c:v>-2.2686412601608077</c:v>
                </c:pt>
                <c:pt idx="385">
                  <c:v>-2.2793136718508462</c:v>
                </c:pt>
                <c:pt idx="386">
                  <c:v>-2.289986097022449</c:v>
                </c:pt>
                <c:pt idx="387">
                  <c:v>-2.3006585356753178</c:v>
                </c:pt>
                <c:pt idx="388">
                  <c:v>-2.3113309878091539</c:v>
                </c:pt>
                <c:pt idx="389">
                  <c:v>-2.3220034534236591</c:v>
                </c:pt>
                <c:pt idx="390">
                  <c:v>-2.3326759325185353</c:v>
                </c:pt>
                <c:pt idx="391">
                  <c:v>-2.3433484250934842</c:v>
                </c:pt>
                <c:pt idx="392">
                  <c:v>-2.3540209311482077</c:v>
                </c:pt>
                <c:pt idx="393">
                  <c:v>-2.3646934506824073</c:v>
                </c:pt>
                <c:pt idx="394">
                  <c:v>-2.3753659836957848</c:v>
                </c:pt>
                <c:pt idx="395">
                  <c:v>-2.3860385301880416</c:v>
                </c:pt>
                <c:pt idx="396">
                  <c:v>-2.3967110901588797</c:v>
                </c:pt>
                <c:pt idx="397">
                  <c:v>-2.4073836636080008</c:v>
                </c:pt>
                <c:pt idx="398">
                  <c:v>-2.4180562505351069</c:v>
                </c:pt>
                <c:pt idx="399">
                  <c:v>-2.4287288509398994</c:v>
                </c:pt>
                <c:pt idx="400">
                  <c:v>-2.4394014648220801</c:v>
                </c:pt>
                <c:pt idx="401">
                  <c:v>-2.4500740921813509</c:v>
                </c:pt>
                <c:pt idx="402">
                  <c:v>-2.4607467330174133</c:v>
                </c:pt>
                <c:pt idx="403">
                  <c:v>-2.4714193873299695</c:v>
                </c:pt>
                <c:pt idx="404">
                  <c:v>-2.4820920551187209</c:v>
                </c:pt>
                <c:pt idx="405">
                  <c:v>-2.4927647363833692</c:v>
                </c:pt>
                <c:pt idx="406">
                  <c:v>-2.5034374311236163</c:v>
                </c:pt>
                <c:pt idx="407">
                  <c:v>-2.5141101393391638</c:v>
                </c:pt>
                <c:pt idx="408">
                  <c:v>-2.5247828610297138</c:v>
                </c:pt>
                <c:pt idx="409">
                  <c:v>-2.5354555961949679</c:v>
                </c:pt>
                <c:pt idx="410">
                  <c:v>-2.5461283448346279</c:v>
                </c:pt>
                <c:pt idx="411">
                  <c:v>-2.5568011069483956</c:v>
                </c:pt>
                <c:pt idx="412">
                  <c:v>-2.5674738825359724</c:v>
                </c:pt>
                <c:pt idx="413">
                  <c:v>-2.5781466715970605</c:v>
                </c:pt>
                <c:pt idx="414">
                  <c:v>-2.5888194741313617</c:v>
                </c:pt>
                <c:pt idx="415">
                  <c:v>-2.5994922901385777</c:v>
                </c:pt>
                <c:pt idx="416">
                  <c:v>-2.6101651196184106</c:v>
                </c:pt>
                <c:pt idx="417">
                  <c:v>-2.6208379625705618</c:v>
                </c:pt>
                <c:pt idx="418">
                  <c:v>-2.6315108189947334</c:v>
                </c:pt>
                <c:pt idx="419">
                  <c:v>-2.6421836888906269</c:v>
                </c:pt>
                <c:pt idx="420">
                  <c:v>-2.6528565722579445</c:v>
                </c:pt>
                <c:pt idx="421">
                  <c:v>-2.6635294690963875</c:v>
                </c:pt>
                <c:pt idx="422">
                  <c:v>-2.6742023794056582</c:v>
                </c:pt>
                <c:pt idx="423">
                  <c:v>-2.6848753031854584</c:v>
                </c:pt>
                <c:pt idx="424">
                  <c:v>-2.6955482404354898</c:v>
                </c:pt>
                <c:pt idx="425">
                  <c:v>-2.7062211911554543</c:v>
                </c:pt>
                <c:pt idx="426">
                  <c:v>-2.7168941553450536</c:v>
                </c:pt>
                <c:pt idx="427">
                  <c:v>-2.7275671330039897</c:v>
                </c:pt>
                <c:pt idx="428">
                  <c:v>-2.738240124131964</c:v>
                </c:pt>
                <c:pt idx="429">
                  <c:v>-2.7489131287286792</c:v>
                </c:pt>
                <c:pt idx="430">
                  <c:v>-2.7595861467938367</c:v>
                </c:pt>
                <c:pt idx="431">
                  <c:v>-2.7702591783271382</c:v>
                </c:pt>
                <c:pt idx="432">
                  <c:v>-2.7809322233282856</c:v>
                </c:pt>
                <c:pt idx="433">
                  <c:v>-2.791605281796981</c:v>
                </c:pt>
                <c:pt idx="434">
                  <c:v>-2.8022783537329259</c:v>
                </c:pt>
                <c:pt idx="435">
                  <c:v>-2.8129514391358228</c:v>
                </c:pt>
                <c:pt idx="436">
                  <c:v>-2.8236245380053728</c:v>
                </c:pt>
                <c:pt idx="437">
                  <c:v>-2.8342976503412785</c:v>
                </c:pt>
                <c:pt idx="438">
                  <c:v>-2.8449707761432412</c:v>
                </c:pt>
                <c:pt idx="439">
                  <c:v>-2.8556439154109632</c:v>
                </c:pt>
                <c:pt idx="440">
                  <c:v>-2.8663170681441463</c:v>
                </c:pt>
                <c:pt idx="441">
                  <c:v>-2.8769902343424922</c:v>
                </c:pt>
                <c:pt idx="442">
                  <c:v>-2.8876634140057029</c:v>
                </c:pt>
                <c:pt idx="443">
                  <c:v>-2.8983366071334804</c:v>
                </c:pt>
                <c:pt idx="444">
                  <c:v>-2.9090098137255267</c:v>
                </c:pt>
                <c:pt idx="445">
                  <c:v>-2.9196830337815434</c:v>
                </c:pt>
                <c:pt idx="446">
                  <c:v>-2.9303562673012329</c:v>
                </c:pt>
                <c:pt idx="447">
                  <c:v>-2.9410295142842968</c:v>
                </c:pt>
                <c:pt idx="448">
                  <c:v>-2.9517027747304367</c:v>
                </c:pt>
                <c:pt idx="449">
                  <c:v>-2.9623760486393551</c:v>
                </c:pt>
                <c:pt idx="450">
                  <c:v>-2.9730493360107535</c:v>
                </c:pt>
                <c:pt idx="451">
                  <c:v>-2.9837226368443339</c:v>
                </c:pt>
                <c:pt idx="452">
                  <c:v>-2.9943959511397984</c:v>
                </c:pt>
                <c:pt idx="453">
                  <c:v>-3.0050692788968489</c:v>
                </c:pt>
                <c:pt idx="454">
                  <c:v>-3.0157426201151876</c:v>
                </c:pt>
                <c:pt idx="455">
                  <c:v>-3.0264159747945159</c:v>
                </c:pt>
                <c:pt idx="456">
                  <c:v>-3.0370893429345363</c:v>
                </c:pt>
                <c:pt idx="457">
                  <c:v>-3.0477627245349503</c:v>
                </c:pt>
                <c:pt idx="458">
                  <c:v>-3.0584361195954601</c:v>
                </c:pt>
                <c:pt idx="459">
                  <c:v>-3.0691095281157676</c:v>
                </c:pt>
                <c:pt idx="460">
                  <c:v>-3.0797829500955749</c:v>
                </c:pt>
                <c:pt idx="461">
                  <c:v>-3.0904563855345839</c:v>
                </c:pt>
                <c:pt idx="462">
                  <c:v>-3.1011298344324962</c:v>
                </c:pt>
                <c:pt idx="463">
                  <c:v>-3.1118032967890144</c:v>
                </c:pt>
                <c:pt idx="464">
                  <c:v>-3.1224767726038403</c:v>
                </c:pt>
                <c:pt idx="465">
                  <c:v>-3.1331502618766756</c:v>
                </c:pt>
                <c:pt idx="466">
                  <c:v>-3.1438237646072222</c:v>
                </c:pt>
                <c:pt idx="467">
                  <c:v>-3.1544972807951828</c:v>
                </c:pt>
                <c:pt idx="468">
                  <c:v>-3.1651708104402587</c:v>
                </c:pt>
                <c:pt idx="469">
                  <c:v>-3.1758443535421521</c:v>
                </c:pt>
                <c:pt idx="470">
                  <c:v>-3.1865179101005654</c:v>
                </c:pt>
                <c:pt idx="471">
                  <c:v>-3.1971914801152002</c:v>
                </c:pt>
                <c:pt idx="472">
                  <c:v>-3.2078650635857584</c:v>
                </c:pt>
                <c:pt idx="473">
                  <c:v>-3.2185386605119422</c:v>
                </c:pt>
                <c:pt idx="474">
                  <c:v>-3.2292122708934539</c:v>
                </c:pt>
                <c:pt idx="475">
                  <c:v>-3.2398858947299951</c:v>
                </c:pt>
                <c:pt idx="476">
                  <c:v>-3.2505595320212679</c:v>
                </c:pt>
                <c:pt idx="477">
                  <c:v>-3.2612331827669743</c:v>
                </c:pt>
                <c:pt idx="478">
                  <c:v>-3.2719068469668167</c:v>
                </c:pt>
                <c:pt idx="479">
                  <c:v>-3.2825805246204967</c:v>
                </c:pt>
                <c:pt idx="480">
                  <c:v>-3.2932542157277163</c:v>
                </c:pt>
                <c:pt idx="481">
                  <c:v>-3.3039279202881779</c:v>
                </c:pt>
                <c:pt idx="482">
                  <c:v>-3.3146016383015837</c:v>
                </c:pt>
                <c:pt idx="483">
                  <c:v>-3.3252753697676352</c:v>
                </c:pt>
                <c:pt idx="484">
                  <c:v>-3.3359491146860347</c:v>
                </c:pt>
                <c:pt idx="485">
                  <c:v>-3.3466228730564844</c:v>
                </c:pt>
                <c:pt idx="486">
                  <c:v>-3.3572966448786863</c:v>
                </c:pt>
                <c:pt idx="487">
                  <c:v>-3.3679704301523423</c:v>
                </c:pt>
                <c:pt idx="488">
                  <c:v>-3.3786442288771545</c:v>
                </c:pt>
                <c:pt idx="489">
                  <c:v>-3.389318041052825</c:v>
                </c:pt>
                <c:pt idx="490">
                  <c:v>-3.3999918666790561</c:v>
                </c:pt>
                <c:pt idx="491">
                  <c:v>-3.4106657057555494</c:v>
                </c:pt>
                <c:pt idx="492">
                  <c:v>-3.4213395582820074</c:v>
                </c:pt>
                <c:pt idx="493">
                  <c:v>-3.4320134242581322</c:v>
                </c:pt>
                <c:pt idx="494">
                  <c:v>-3.4426873036836256</c:v>
                </c:pt>
                <c:pt idx="495">
                  <c:v>-3.4533611965581903</c:v>
                </c:pt>
                <c:pt idx="496">
                  <c:v>-3.4640351028815277</c:v>
                </c:pt>
                <c:pt idx="497">
                  <c:v>-3.4747090226533404</c:v>
                </c:pt>
                <c:pt idx="498">
                  <c:v>-3.4853829558733302</c:v>
                </c:pt>
                <c:pt idx="499">
                  <c:v>-3.4960569025411994</c:v>
                </c:pt>
                <c:pt idx="500">
                  <c:v>-3.5067308626566498</c:v>
                </c:pt>
                <c:pt idx="501">
                  <c:v>-3.5174048362193839</c:v>
                </c:pt>
                <c:pt idx="502">
                  <c:v>-3.5280788232291038</c:v>
                </c:pt>
                <c:pt idx="503">
                  <c:v>-3.5387528236855115</c:v>
                </c:pt>
                <c:pt idx="504">
                  <c:v>-3.5494268375883089</c:v>
                </c:pt>
                <c:pt idx="505">
                  <c:v>-3.5601008649371986</c:v>
                </c:pt>
                <c:pt idx="506">
                  <c:v>-3.5707749057318821</c:v>
                </c:pt>
                <c:pt idx="507">
                  <c:v>-3.5814489599720623</c:v>
                </c:pt>
                <c:pt idx="508">
                  <c:v>-3.5921230276574407</c:v>
                </c:pt>
                <c:pt idx="509">
                  <c:v>-3.60279710878772</c:v>
                </c:pt>
                <c:pt idx="510">
                  <c:v>-3.613471203362602</c:v>
                </c:pt>
                <c:pt idx="511">
                  <c:v>-3.6241453113817887</c:v>
                </c:pt>
                <c:pt idx="512">
                  <c:v>-3.6348194328449828</c:v>
                </c:pt>
                <c:pt idx="513">
                  <c:v>-3.645493567751886</c:v>
                </c:pt>
                <c:pt idx="514">
                  <c:v>-3.6561677161022006</c:v>
                </c:pt>
                <c:pt idx="515">
                  <c:v>-3.6668418778956289</c:v>
                </c:pt>
                <c:pt idx="516">
                  <c:v>-3.6775160531318729</c:v>
                </c:pt>
                <c:pt idx="517">
                  <c:v>-3.6881902418106352</c:v>
                </c:pt>
                <c:pt idx="518">
                  <c:v>-3.6988644439316172</c:v>
                </c:pt>
                <c:pt idx="519">
                  <c:v>-3.7095386594945219</c:v>
                </c:pt>
                <c:pt idx="520">
                  <c:v>-3.7202128884990509</c:v>
                </c:pt>
                <c:pt idx="521">
                  <c:v>-3.7308871309449065</c:v>
                </c:pt>
                <c:pt idx="522">
                  <c:v>-3.7415613868317914</c:v>
                </c:pt>
                <c:pt idx="523">
                  <c:v>-3.752235656159407</c:v>
                </c:pt>
                <c:pt idx="524">
                  <c:v>-3.7629099389274563</c:v>
                </c:pt>
                <c:pt idx="525">
                  <c:v>-3.7735842351356408</c:v>
                </c:pt>
                <c:pt idx="526">
                  <c:v>-3.784258544783663</c:v>
                </c:pt>
                <c:pt idx="527">
                  <c:v>-3.7949328678712253</c:v>
                </c:pt>
                <c:pt idx="528">
                  <c:v>-3.8056072043980298</c:v>
                </c:pt>
                <c:pt idx="529">
                  <c:v>-3.8162815543637789</c:v>
                </c:pt>
                <c:pt idx="530">
                  <c:v>-3.8269559177681747</c:v>
                </c:pt>
                <c:pt idx="531">
                  <c:v>-3.8376302946109191</c:v>
                </c:pt>
                <c:pt idx="532">
                  <c:v>-3.8483046848917146</c:v>
                </c:pt>
                <c:pt idx="533">
                  <c:v>-3.8589790886102633</c:v>
                </c:pt>
                <c:pt idx="534">
                  <c:v>-3.8696535057662675</c:v>
                </c:pt>
                <c:pt idx="535">
                  <c:v>-3.8803279363594299</c:v>
                </c:pt>
                <c:pt idx="536">
                  <c:v>-3.8910023803894522</c:v>
                </c:pt>
                <c:pt idx="537">
                  <c:v>-3.9016768378560367</c:v>
                </c:pt>
                <c:pt idx="538">
                  <c:v>-3.9123513087588861</c:v>
                </c:pt>
                <c:pt idx="539">
                  <c:v>-3.9230257930977022</c:v>
                </c:pt>
                <c:pt idx="540">
                  <c:v>-3.9337002908721872</c:v>
                </c:pt>
                <c:pt idx="541">
                  <c:v>-3.9443748020820437</c:v>
                </c:pt>
                <c:pt idx="542">
                  <c:v>-3.9550493267269742</c:v>
                </c:pt>
                <c:pt idx="543">
                  <c:v>-3.9657238648066802</c:v>
                </c:pt>
                <c:pt idx="544">
                  <c:v>-3.9763984163208645</c:v>
                </c:pt>
                <c:pt idx="545">
                  <c:v>-3.9870729812692294</c:v>
                </c:pt>
                <c:pt idx="546">
                  <c:v>-3.9977475596514771</c:v>
                </c:pt>
                <c:pt idx="547">
                  <c:v>-4.0084221514673102</c:v>
                </c:pt>
                <c:pt idx="548">
                  <c:v>-4.0190967567164302</c:v>
                </c:pt>
                <c:pt idx="549">
                  <c:v>-4.02977137539854</c:v>
                </c:pt>
                <c:pt idx="550">
                  <c:v>-4.0404460075133422</c:v>
                </c:pt>
                <c:pt idx="551">
                  <c:v>-4.0511206530605381</c:v>
                </c:pt>
                <c:pt idx="552">
                  <c:v>-4.0617953120398305</c:v>
                </c:pt>
                <c:pt idx="553">
                  <c:v>-4.0724699844509216</c:v>
                </c:pt>
                <c:pt idx="554">
                  <c:v>-4.0831446702935139</c:v>
                </c:pt>
                <c:pt idx="555">
                  <c:v>-4.09381936956731</c:v>
                </c:pt>
                <c:pt idx="556">
                  <c:v>-4.1044940822720122</c:v>
                </c:pt>
                <c:pt idx="557">
                  <c:v>-4.1151688084073221</c:v>
                </c:pt>
                <c:pt idx="558">
                  <c:v>-4.1258435479729432</c:v>
                </c:pt>
                <c:pt idx="559">
                  <c:v>-4.1365183009685769</c:v>
                </c:pt>
                <c:pt idx="560">
                  <c:v>-4.1471930673939257</c:v>
                </c:pt>
                <c:pt idx="561">
                  <c:v>-4.1578678472486921</c:v>
                </c:pt>
                <c:pt idx="562">
                  <c:v>-4.1685426405325785</c:v>
                </c:pt>
                <c:pt idx="563">
                  <c:v>-4.1792174472452865</c:v>
                </c:pt>
                <c:pt idx="564">
                  <c:v>-4.1898922673865195</c:v>
                </c:pt>
                <c:pt idx="565">
                  <c:v>-4.2005671009559791</c:v>
                </c:pt>
                <c:pt idx="566">
                  <c:v>-4.2112419479533685</c:v>
                </c:pt>
                <c:pt idx="567">
                  <c:v>-4.2219168083783893</c:v>
                </c:pt>
                <c:pt idx="568">
                  <c:v>-4.2325916822307441</c:v>
                </c:pt>
                <c:pt idx="569">
                  <c:v>-4.2432665695101353</c:v>
                </c:pt>
                <c:pt idx="570">
                  <c:v>-4.2539414702162652</c:v>
                </c:pt>
                <c:pt idx="571">
                  <c:v>-4.2646163843488365</c:v>
                </c:pt>
                <c:pt idx="572">
                  <c:v>-4.2752913119075515</c:v>
                </c:pt>
                <c:pt idx="573">
                  <c:v>-4.2859662528921119</c:v>
                </c:pt>
                <c:pt idx="574">
                  <c:v>-4.2966412073022209</c:v>
                </c:pt>
                <c:pt idx="575">
                  <c:v>-4.307316175137581</c:v>
                </c:pt>
                <c:pt idx="576">
                  <c:v>-4.3179911563978939</c:v>
                </c:pt>
                <c:pt idx="577">
                  <c:v>-4.3286661510828619</c:v>
                </c:pt>
                <c:pt idx="578">
                  <c:v>-4.3393411591921884</c:v>
                </c:pt>
                <c:pt idx="579">
                  <c:v>-4.3500161807255751</c:v>
                </c:pt>
                <c:pt idx="580">
                  <c:v>-4.3606912156827242</c:v>
                </c:pt>
                <c:pt idx="581">
                  <c:v>-4.3713662640633384</c:v>
                </c:pt>
                <c:pt idx="582">
                  <c:v>-4.3820413258671209</c:v>
                </c:pt>
                <c:pt idx="583">
                  <c:v>-4.3927164010937734</c:v>
                </c:pt>
                <c:pt idx="584">
                  <c:v>-4.4033914897429982</c:v>
                </c:pt>
                <c:pt idx="585">
                  <c:v>-4.4140665918144979</c:v>
                </c:pt>
                <c:pt idx="586">
                  <c:v>-4.4247417073079749</c:v>
                </c:pt>
                <c:pt idx="587">
                  <c:v>-4.4354168362231317</c:v>
                </c:pt>
                <c:pt idx="588">
                  <c:v>-4.4460919785596706</c:v>
                </c:pt>
                <c:pt idx="589">
                  <c:v>-4.4567671343172943</c:v>
                </c:pt>
                <c:pt idx="590">
                  <c:v>-4.4674423034957051</c:v>
                </c:pt>
                <c:pt idx="591">
                  <c:v>-4.4781174860946056</c:v>
                </c:pt>
                <c:pt idx="592">
                  <c:v>-4.4887926821136972</c:v>
                </c:pt>
                <c:pt idx="593">
                  <c:v>-4.4994678915526833</c:v>
                </c:pt>
                <c:pt idx="594">
                  <c:v>-4.5101431144112665</c:v>
                </c:pt>
                <c:pt idx="595">
                  <c:v>-4.5208183506891491</c:v>
                </c:pt>
                <c:pt idx="596">
                  <c:v>-4.5314936003860335</c:v>
                </c:pt>
                <c:pt idx="597">
                  <c:v>-4.5421688635016224</c:v>
                </c:pt>
                <c:pt idx="598">
                  <c:v>-4.5528441400356181</c:v>
                </c:pt>
                <c:pt idx="599">
                  <c:v>-4.5635194299877231</c:v>
                </c:pt>
                <c:pt idx="600">
                  <c:v>-4.5741947333576398</c:v>
                </c:pt>
                <c:pt idx="601">
                  <c:v>-4.5848700501450708</c:v>
                </c:pt>
                <c:pt idx="602">
                  <c:v>-4.5955453803497184</c:v>
                </c:pt>
                <c:pt idx="603">
                  <c:v>-4.606220723971286</c:v>
                </c:pt>
                <c:pt idx="604">
                  <c:v>-4.6168960810094752</c:v>
                </c:pt>
                <c:pt idx="605">
                  <c:v>-4.6275714514639885</c:v>
                </c:pt>
                <c:pt idx="606">
                  <c:v>-4.6382468353345283</c:v>
                </c:pt>
                <c:pt idx="607">
                  <c:v>-4.648922232620798</c:v>
                </c:pt>
                <c:pt idx="608">
                  <c:v>-4.659597643322499</c:v>
                </c:pt>
                <c:pt idx="609">
                  <c:v>-4.6702730674393349</c:v>
                </c:pt>
                <c:pt idx="610">
                  <c:v>-4.6809485049710071</c:v>
                </c:pt>
                <c:pt idx="611">
                  <c:v>-4.691623955917219</c:v>
                </c:pt>
                <c:pt idx="612">
                  <c:v>-4.7022994202776731</c:v>
                </c:pt>
                <c:pt idx="613">
                  <c:v>-4.7129748980520718</c:v>
                </c:pt>
                <c:pt idx="614">
                  <c:v>-4.7236503892401176</c:v>
                </c:pt>
                <c:pt idx="615">
                  <c:v>-4.7343258938415129</c:v>
                </c:pt>
                <c:pt idx="616">
                  <c:v>-4.7450014118559602</c:v>
                </c:pt>
                <c:pt idx="617">
                  <c:v>-4.755676943283162</c:v>
                </c:pt>
                <c:pt idx="618">
                  <c:v>-4.7663524881228208</c:v>
                </c:pt>
                <c:pt idx="619">
                  <c:v>-4.7770280463746397</c:v>
                </c:pt>
                <c:pt idx="620">
                  <c:v>-4.7877036180383206</c:v>
                </c:pt>
                <c:pt idx="621">
                  <c:v>-4.7983792031135666</c:v>
                </c:pt>
                <c:pt idx="622">
                  <c:v>-4.8090548016000803</c:v>
                </c:pt>
                <c:pt idx="623">
                  <c:v>-4.819730413497564</c:v>
                </c:pt>
                <c:pt idx="624">
                  <c:v>-4.8304060388057204</c:v>
                </c:pt>
                <c:pt idx="625">
                  <c:v>-4.8410816775242518</c:v>
                </c:pt>
                <c:pt idx="626">
                  <c:v>-4.8517573296528607</c:v>
                </c:pt>
                <c:pt idx="627">
                  <c:v>-4.8624329951912504</c:v>
                </c:pt>
                <c:pt idx="628">
                  <c:v>-4.8731086741391225</c:v>
                </c:pt>
                <c:pt idx="629">
                  <c:v>-4.8837843664961804</c:v>
                </c:pt>
                <c:pt idx="630">
                  <c:v>-4.8944600722621265</c:v>
                </c:pt>
                <c:pt idx="631">
                  <c:v>-4.9051357914366633</c:v>
                </c:pt>
                <c:pt idx="632">
                  <c:v>-4.9158115240194933</c:v>
                </c:pt>
                <c:pt idx="633">
                  <c:v>-4.9264872700103197</c:v>
                </c:pt>
                <c:pt idx="634">
                  <c:v>-4.9371630294088442</c:v>
                </c:pt>
                <c:pt idx="635">
                  <c:v>-4.9478388022147701</c:v>
                </c:pt>
                <c:pt idx="636">
                  <c:v>-4.9585145884277999</c:v>
                </c:pt>
                <c:pt idx="637">
                  <c:v>-4.969190388047636</c:v>
                </c:pt>
                <c:pt idx="638">
                  <c:v>-4.9798662010739809</c:v>
                </c:pt>
                <c:pt idx="639">
                  <c:v>-4.990542027506538</c:v>
                </c:pt>
                <c:pt idx="640">
                  <c:v>-5.0012178673450096</c:v>
                </c:pt>
                <c:pt idx="641">
                  <c:v>-5.0118937205890983</c:v>
                </c:pt>
                <c:pt idx="642">
                  <c:v>-5.0225695872385065</c:v>
                </c:pt>
                <c:pt idx="643">
                  <c:v>-5.0332454672929368</c:v>
                </c:pt>
                <c:pt idx="644">
                  <c:v>-5.0439213607520923</c:v>
                </c:pt>
                <c:pt idx="645">
                  <c:v>-5.0545972676156747</c:v>
                </c:pt>
                <c:pt idx="646">
                  <c:v>-5.0652731878833874</c:v>
                </c:pt>
                <c:pt idx="647">
                  <c:v>-5.0759491215549337</c:v>
                </c:pt>
                <c:pt idx="648">
                  <c:v>-5.0866250686300152</c:v>
                </c:pt>
                <c:pt idx="649">
                  <c:v>-5.0973010291083352</c:v>
                </c:pt>
                <c:pt idx="650">
                  <c:v>-5.1079770029895961</c:v>
                </c:pt>
                <c:pt idx="651">
                  <c:v>-5.1186529902735005</c:v>
                </c:pt>
                <c:pt idx="652">
                  <c:v>-5.1293289909597508</c:v>
                </c:pt>
                <c:pt idx="653">
                  <c:v>-5.1400050050480504</c:v>
                </c:pt>
                <c:pt idx="654">
                  <c:v>-5.1506810325381016</c:v>
                </c:pt>
                <c:pt idx="655">
                  <c:v>-5.161357073429607</c:v>
                </c:pt>
                <c:pt idx="656">
                  <c:v>-5.17203312772227</c:v>
                </c:pt>
                <c:pt idx="657">
                  <c:v>-5.182709195415792</c:v>
                </c:pt>
                <c:pt idx="658">
                  <c:v>-5.1933852765098765</c:v>
                </c:pt>
                <c:pt idx="659">
                  <c:v>-5.2040613710042267</c:v>
                </c:pt>
                <c:pt idx="660">
                  <c:v>-5.2147374788985443</c:v>
                </c:pt>
                <c:pt idx="661">
                  <c:v>-5.2254136001925326</c:v>
                </c:pt>
                <c:pt idx="662">
                  <c:v>-5.2360897348858941</c:v>
                </c:pt>
                <c:pt idx="663">
                  <c:v>-5.2467658829783321</c:v>
                </c:pt>
                <c:pt idx="664">
                  <c:v>-5.2574420444695482</c:v>
                </c:pt>
                <c:pt idx="665">
                  <c:v>-5.2681182193592457</c:v>
                </c:pt>
                <c:pt idx="666">
                  <c:v>-5.278794407647128</c:v>
                </c:pt>
                <c:pt idx="667">
                  <c:v>-5.2894706093328967</c:v>
                </c:pt>
                <c:pt idx="668">
                  <c:v>-5.3001468244162551</c:v>
                </c:pt>
                <c:pt idx="669">
                  <c:v>-5.3108230528969065</c:v>
                </c:pt>
                <c:pt idx="670">
                  <c:v>-5.3214992947745525</c:v>
                </c:pt>
                <c:pt idx="671">
                  <c:v>-5.3321755500488965</c:v>
                </c:pt>
                <c:pt idx="672">
                  <c:v>-5.3428518187196419</c:v>
                </c:pt>
                <c:pt idx="673">
                  <c:v>-5.3535281007864901</c:v>
                </c:pt>
                <c:pt idx="674">
                  <c:v>-5.3642043962491446</c:v>
                </c:pt>
                <c:pt idx="675">
                  <c:v>-5.3748807051073078</c:v>
                </c:pt>
                <c:pt idx="676">
                  <c:v>-5.385557027360683</c:v>
                </c:pt>
                <c:pt idx="677">
                  <c:v>-5.3962333630089727</c:v>
                </c:pt>
                <c:pt idx="678">
                  <c:v>-5.4069097120518794</c:v>
                </c:pt>
                <c:pt idx="679">
                  <c:v>-5.4175860744891065</c:v>
                </c:pt>
                <c:pt idx="680">
                  <c:v>-5.4282624503203563</c:v>
                </c:pt>
                <c:pt idx="681">
                  <c:v>-5.4389388395453322</c:v>
                </c:pt>
                <c:pt idx="682">
                  <c:v>-5.4496152421637358</c:v>
                </c:pt>
                <c:pt idx="683">
                  <c:v>-5.4602916581752714</c:v>
                </c:pt>
                <c:pt idx="684">
                  <c:v>-5.4709680875796405</c:v>
                </c:pt>
                <c:pt idx="685">
                  <c:v>-5.4816445303765464</c:v>
                </c:pt>
                <c:pt idx="686">
                  <c:v>-5.4923209865656926</c:v>
                </c:pt>
                <c:pt idx="687">
                  <c:v>-5.5029974561467805</c:v>
                </c:pt>
                <c:pt idx="688">
                  <c:v>-5.5136739391195144</c:v>
                </c:pt>
                <c:pt idx="689">
                  <c:v>-5.5243504354835959</c:v>
                </c:pt>
                <c:pt idx="690">
                  <c:v>-5.5350269452387284</c:v>
                </c:pt>
                <c:pt idx="691">
                  <c:v>-5.5457034683846143</c:v>
                </c:pt>
                <c:pt idx="692">
                  <c:v>-5.5563800049209568</c:v>
                </c:pt>
                <c:pt idx="693">
                  <c:v>-5.5670565548474586</c:v>
                </c:pt>
                <c:pt idx="694">
                  <c:v>-5.577733118163823</c:v>
                </c:pt>
                <c:pt idx="695">
                  <c:v>-5.5884096948697524</c:v>
                </c:pt>
                <c:pt idx="696">
                  <c:v>-5.5990862849649501</c:v>
                </c:pt>
                <c:pt idx="697">
                  <c:v>-5.6097628884491186</c:v>
                </c:pt>
                <c:pt idx="698">
                  <c:v>-5.6204395053219605</c:v>
                </c:pt>
                <c:pt idx="699">
                  <c:v>-5.6311161355831789</c:v>
                </c:pt>
                <c:pt idx="700">
                  <c:v>-5.6417927792324765</c:v>
                </c:pt>
                <c:pt idx="701">
                  <c:v>-5.6524694362695564</c:v>
                </c:pt>
                <c:pt idx="702">
                  <c:v>-5.6631461066941213</c:v>
                </c:pt>
                <c:pt idx="703">
                  <c:v>-5.6738227905058745</c:v>
                </c:pt>
                <c:pt idx="704">
                  <c:v>-5.6844994877045183</c:v>
                </c:pt>
                <c:pt idx="705">
                  <c:v>-5.6951761982897553</c:v>
                </c:pt>
                <c:pt idx="706">
                  <c:v>-5.7058529222612888</c:v>
                </c:pt>
                <c:pt idx="707">
                  <c:v>-5.7165296596188222</c:v>
                </c:pt>
                <c:pt idx="708">
                  <c:v>-5.7272064103620579</c:v>
                </c:pt>
                <c:pt idx="709">
                  <c:v>-5.7378831744906984</c:v>
                </c:pt>
                <c:pt idx="710">
                  <c:v>-5.748559952004447</c:v>
                </c:pt>
                <c:pt idx="711">
                  <c:v>-5.7592367429030071</c:v>
                </c:pt>
                <c:pt idx="712">
                  <c:v>-5.7699135471860812</c:v>
                </c:pt>
                <c:pt idx="713">
                  <c:v>-5.7805903648533716</c:v>
                </c:pt>
                <c:pt idx="714">
                  <c:v>-5.7912671959045818</c:v>
                </c:pt>
                <c:pt idx="715">
                  <c:v>-5.8019440403394151</c:v>
                </c:pt>
                <c:pt idx="716">
                  <c:v>-5.812620898157574</c:v>
                </c:pt>
                <c:pt idx="717">
                  <c:v>-5.8232977693587618</c:v>
                </c:pt>
                <c:pt idx="718">
                  <c:v>-5.8339746539426809</c:v>
                </c:pt>
                <c:pt idx="719">
                  <c:v>-5.8446515519090338</c:v>
                </c:pt>
                <c:pt idx="720">
                  <c:v>-5.855328463257524</c:v>
                </c:pt>
                <c:pt idx="721">
                  <c:v>-5.8660053879878546</c:v>
                </c:pt>
                <c:pt idx="722">
                  <c:v>-5.8766823260997283</c:v>
                </c:pt>
                <c:pt idx="723">
                  <c:v>-5.8873592775928483</c:v>
                </c:pt>
                <c:pt idx="724">
                  <c:v>-5.898036242466917</c:v>
                </c:pt>
                <c:pt idx="725">
                  <c:v>-5.908713220721638</c:v>
                </c:pt>
                <c:pt idx="726">
                  <c:v>-5.9193902123567144</c:v>
                </c:pt>
                <c:pt idx="727">
                  <c:v>-5.9300672173718487</c:v>
                </c:pt>
                <c:pt idx="728">
                  <c:v>-5.9407442357667435</c:v>
                </c:pt>
                <c:pt idx="729">
                  <c:v>-5.951421267541102</c:v>
                </c:pt>
                <c:pt idx="730">
                  <c:v>-5.9620983126946276</c:v>
                </c:pt>
                <c:pt idx="731">
                  <c:v>-5.9727753712270228</c:v>
                </c:pt>
                <c:pt idx="732">
                  <c:v>-5.983452443137991</c:v>
                </c:pt>
                <c:pt idx="733">
                  <c:v>-5.9941295284272345</c:v>
                </c:pt>
                <c:pt idx="734">
                  <c:v>-6.0048066270944576</c:v>
                </c:pt>
                <c:pt idx="735">
                  <c:v>-6.0154837391393619</c:v>
                </c:pt>
                <c:pt idx="736">
                  <c:v>-6.0261608645616507</c:v>
                </c:pt>
                <c:pt idx="737">
                  <c:v>-6.0368380033610274</c:v>
                </c:pt>
                <c:pt idx="738">
                  <c:v>-6.0475151555371953</c:v>
                </c:pt>
                <c:pt idx="739">
                  <c:v>-6.0581923210898569</c:v>
                </c:pt>
                <c:pt idx="740">
                  <c:v>-6.0688695000187147</c:v>
                </c:pt>
                <c:pt idx="741">
                  <c:v>-6.0795466923234729</c:v>
                </c:pt>
                <c:pt idx="742">
                  <c:v>-6.0902238980038339</c:v>
                </c:pt>
                <c:pt idx="743">
                  <c:v>-6.1009011170595002</c:v>
                </c:pt>
                <c:pt idx="744">
                  <c:v>-6.1115783494901752</c:v>
                </c:pt>
                <c:pt idx="745">
                  <c:v>-6.1222555952955622</c:v>
                </c:pt>
                <c:pt idx="746">
                  <c:v>-6.1329328544753645</c:v>
                </c:pt>
                <c:pt idx="747">
                  <c:v>-6.1436101270292847</c:v>
                </c:pt>
                <c:pt idx="748">
                  <c:v>-6.1542874129570251</c:v>
                </c:pt>
                <c:pt idx="749">
                  <c:v>-6.16496471225829</c:v>
                </c:pt>
                <c:pt idx="750">
                  <c:v>-6.1756420249327819</c:v>
                </c:pt>
                <c:pt idx="751">
                  <c:v>-6.1863193509802041</c:v>
                </c:pt>
                <c:pt idx="752">
                  <c:v>-6.1969966904002591</c:v>
                </c:pt>
                <c:pt idx="753">
                  <c:v>-6.2076740431926503</c:v>
                </c:pt>
                <c:pt idx="754">
                  <c:v>-6.2183514093570809</c:v>
                </c:pt>
                <c:pt idx="755">
                  <c:v>-6.2290287888932534</c:v>
                </c:pt>
                <c:pt idx="756">
                  <c:v>-6.2397061818008712</c:v>
                </c:pt>
                <c:pt idx="757">
                  <c:v>-6.2503835880796377</c:v>
                </c:pt>
                <c:pt idx="758">
                  <c:v>-6.2610610077292561</c:v>
                </c:pt>
                <c:pt idx="759">
                  <c:v>-6.271738440749429</c:v>
                </c:pt>
                <c:pt idx="760">
                  <c:v>-6.2824158871398597</c:v>
                </c:pt>
                <c:pt idx="761">
                  <c:v>-6.2930933469002506</c:v>
                </c:pt>
                <c:pt idx="762">
                  <c:v>-6.303770820030306</c:v>
                </c:pt>
                <c:pt idx="763">
                  <c:v>-6.3144483065297283</c:v>
                </c:pt>
                <c:pt idx="764">
                  <c:v>-6.3251258063982201</c:v>
                </c:pt>
                <c:pt idx="765">
                  <c:v>-6.3358033196354855</c:v>
                </c:pt>
                <c:pt idx="766">
                  <c:v>-6.346480846241227</c:v>
                </c:pt>
                <c:pt idx="767">
                  <c:v>-6.3571583862151479</c:v>
                </c:pt>
                <c:pt idx="768">
                  <c:v>-6.3678359395569508</c:v>
                </c:pt>
                <c:pt idx="769">
                  <c:v>-6.3785135062663398</c:v>
                </c:pt>
                <c:pt idx="770">
                  <c:v>-6.3891910863430175</c:v>
                </c:pt>
                <c:pt idx="771">
                  <c:v>-6.3998686797866871</c:v>
                </c:pt>
                <c:pt idx="772">
                  <c:v>-6.4105462865970511</c:v>
                </c:pt>
                <c:pt idx="773">
                  <c:v>-6.4212239067738137</c:v>
                </c:pt>
                <c:pt idx="774">
                  <c:v>-6.4319015403166775</c:v>
                </c:pt>
                <c:pt idx="775">
                  <c:v>-6.4425791872253457</c:v>
                </c:pt>
                <c:pt idx="776">
                  <c:v>-6.4532568474995209</c:v>
                </c:pt>
                <c:pt idx="777">
                  <c:v>-6.4639345211389072</c:v>
                </c:pt>
                <c:pt idx="778">
                  <c:v>-6.4746122081432071</c:v>
                </c:pt>
                <c:pt idx="779">
                  <c:v>-6.4852899085121241</c:v>
                </c:pt>
                <c:pt idx="780">
                  <c:v>-6.4959676222453613</c:v>
                </c:pt>
                <c:pt idx="781">
                  <c:v>-6.5066453493426213</c:v>
                </c:pt>
                <c:pt idx="782">
                  <c:v>-6.5173230898036083</c:v>
                </c:pt>
                <c:pt idx="783">
                  <c:v>-6.5280008436280248</c:v>
                </c:pt>
                <c:pt idx="784">
                  <c:v>-6.5386786108155741</c:v>
                </c:pt>
                <c:pt idx="785">
                  <c:v>-6.5493563913659587</c:v>
                </c:pt>
                <c:pt idx="786">
                  <c:v>-6.5600341852788828</c:v>
                </c:pt>
                <c:pt idx="787">
                  <c:v>-6.5707119925540489</c:v>
                </c:pt>
                <c:pt idx="788">
                  <c:v>-6.5813898131911603</c:v>
                </c:pt>
                <c:pt idx="789">
                  <c:v>-6.5920676471899204</c:v>
                </c:pt>
                <c:pt idx="790">
                  <c:v>-6.6027454945500326</c:v>
                </c:pt>
                <c:pt idx="791">
                  <c:v>-6.6134233552712001</c:v>
                </c:pt>
                <c:pt idx="792">
                  <c:v>-6.6241012293531254</c:v>
                </c:pt>
                <c:pt idx="793">
                  <c:v>-6.6347791167955128</c:v>
                </c:pt>
                <c:pt idx="794">
                  <c:v>-6.6454570175980647</c:v>
                </c:pt>
                <c:pt idx="795">
                  <c:v>-6.6561349317604845</c:v>
                </c:pt>
                <c:pt idx="796">
                  <c:v>-6.6668128592824756</c:v>
                </c:pt>
                <c:pt idx="797">
                  <c:v>-6.6774908001637412</c:v>
                </c:pt>
                <c:pt idx="798">
                  <c:v>-6.6881687544039838</c:v>
                </c:pt>
                <c:pt idx="799">
                  <c:v>-6.6988467220029078</c:v>
                </c:pt>
                <c:pt idx="800">
                  <c:v>-6.7095247029602154</c:v>
                </c:pt>
                <c:pt idx="801">
                  <c:v>-6.7202026972756101</c:v>
                </c:pt>
                <c:pt idx="802">
                  <c:v>-6.7308807049487953</c:v>
                </c:pt>
                <c:pt idx="803">
                  <c:v>-6.7415587259794743</c:v>
                </c:pt>
                <c:pt idx="804">
                  <c:v>-6.7522367603673503</c:v>
                </c:pt>
                <c:pt idx="805">
                  <c:v>-6.7629148081121269</c:v>
                </c:pt>
                <c:pt idx="806">
                  <c:v>-6.7735928692135063</c:v>
                </c:pt>
                <c:pt idx="807">
                  <c:v>-6.784270943671193</c:v>
                </c:pt>
                <c:pt idx="808">
                  <c:v>-6.7949490314848893</c:v>
                </c:pt>
                <c:pt idx="809">
                  <c:v>-6.8056271326542985</c:v>
                </c:pt>
                <c:pt idx="810">
                  <c:v>-6.816305247179125</c:v>
                </c:pt>
                <c:pt idx="811">
                  <c:v>-6.8269833750590712</c:v>
                </c:pt>
                <c:pt idx="812">
                  <c:v>-6.8376615162938403</c:v>
                </c:pt>
                <c:pt idx="813">
                  <c:v>-6.8483396708831359</c:v>
                </c:pt>
                <c:pt idx="814">
                  <c:v>-6.8590178388266612</c:v>
                </c:pt>
                <c:pt idx="815">
                  <c:v>-6.8696960201241186</c:v>
                </c:pt>
                <c:pt idx="816">
                  <c:v>-6.8803742147752125</c:v>
                </c:pt>
                <c:pt idx="817">
                  <c:v>-6.8910524227796461</c:v>
                </c:pt>
                <c:pt idx="818">
                  <c:v>-6.901730644137122</c:v>
                </c:pt>
                <c:pt idx="819">
                  <c:v>-6.9124088788473443</c:v>
                </c:pt>
                <c:pt idx="820">
                  <c:v>-6.9230871269100165</c:v>
                </c:pt>
                <c:pt idx="821">
                  <c:v>-6.9337653883248409</c:v>
                </c:pt>
                <c:pt idx="822">
                  <c:v>-6.9444436630915209</c:v>
                </c:pt>
                <c:pt idx="823">
                  <c:v>-6.9551219512097608</c:v>
                </c:pt>
                <c:pt idx="824">
                  <c:v>-6.9658002526792631</c:v>
                </c:pt>
                <c:pt idx="825">
                  <c:v>-6.9764785674997318</c:v>
                </c:pt>
                <c:pt idx="826">
                  <c:v>-6.9871568956708696</c:v>
                </c:pt>
                <c:pt idx="827">
                  <c:v>-6.9978352371923798</c:v>
                </c:pt>
                <c:pt idx="828">
                  <c:v>-7.0085135920639665</c:v>
                </c:pt>
                <c:pt idx="829">
                  <c:v>-7.0191919602853323</c:v>
                </c:pt>
                <c:pt idx="830">
                  <c:v>-7.0298703418561805</c:v>
                </c:pt>
                <c:pt idx="831">
                  <c:v>-7.0405487367762145</c:v>
                </c:pt>
                <c:pt idx="832">
                  <c:v>-7.0512271450451385</c:v>
                </c:pt>
                <c:pt idx="833">
                  <c:v>-7.0619055666626549</c:v>
                </c:pt>
                <c:pt idx="834">
                  <c:v>-7.0725840016284671</c:v>
                </c:pt>
                <c:pt idx="835">
                  <c:v>-7.0832624499422785</c:v>
                </c:pt>
                <c:pt idx="836">
                  <c:v>-7.0939409116037933</c:v>
                </c:pt>
                <c:pt idx="837">
                  <c:v>-7.1046193866127139</c:v>
                </c:pt>
                <c:pt idx="838">
                  <c:v>-7.1152978749687437</c:v>
                </c:pt>
                <c:pt idx="839">
                  <c:v>-7.1259763766715869</c:v>
                </c:pt>
                <c:pt idx="840">
                  <c:v>-7.136654891720946</c:v>
                </c:pt>
                <c:pt idx="841">
                  <c:v>-7.1473334201165253</c:v>
                </c:pt>
                <c:pt idx="842">
                  <c:v>-7.1580119618580271</c:v>
                </c:pt>
                <c:pt idx="843">
                  <c:v>-7.1686905169451558</c:v>
                </c:pt>
                <c:pt idx="844">
                  <c:v>-7.1793690853776138</c:v>
                </c:pt>
                <c:pt idx="845">
                  <c:v>-7.1900476671551052</c:v>
                </c:pt>
                <c:pt idx="846">
                  <c:v>-7.2007262622773336</c:v>
                </c:pt>
                <c:pt idx="847">
                  <c:v>-7.2114048707440013</c:v>
                </c:pt>
                <c:pt idx="848">
                  <c:v>-7.2220834925548125</c:v>
                </c:pt>
                <c:pt idx="849">
                  <c:v>-7.2327621277094707</c:v>
                </c:pt>
                <c:pt idx="850">
                  <c:v>-7.2434407762076791</c:v>
                </c:pt>
                <c:pt idx="851">
                  <c:v>-7.2541194380491412</c:v>
                </c:pt>
                <c:pt idx="852">
                  <c:v>-7.2647981132335602</c:v>
                </c:pt>
                <c:pt idx="853">
                  <c:v>-7.2754768017606404</c:v>
                </c:pt>
                <c:pt idx="854">
                  <c:v>-7.2861555036300842</c:v>
                </c:pt>
                <c:pt idx="855">
                  <c:v>-7.296834218841596</c:v>
                </c:pt>
                <c:pt idx="856">
                  <c:v>-7.3075129473948781</c:v>
                </c:pt>
                <c:pt idx="857">
                  <c:v>-7.3181916892896348</c:v>
                </c:pt>
                <c:pt idx="858">
                  <c:v>-7.3288704445255686</c:v>
                </c:pt>
                <c:pt idx="859">
                  <c:v>-7.3395492131023836</c:v>
                </c:pt>
                <c:pt idx="860">
                  <c:v>-7.3502279950197833</c:v>
                </c:pt>
                <c:pt idx="861">
                  <c:v>-7.360906790277471</c:v>
                </c:pt>
                <c:pt idx="862">
                  <c:v>-7.3715855988751509</c:v>
                </c:pt>
                <c:pt idx="863">
                  <c:v>-7.3822644208125254</c:v>
                </c:pt>
                <c:pt idx="864">
                  <c:v>-7.3929432560892989</c:v>
                </c:pt>
                <c:pt idx="865">
                  <c:v>-7.4036221047051738</c:v>
                </c:pt>
                <c:pt idx="866">
                  <c:v>-7.4143009666598543</c:v>
                </c:pt>
                <c:pt idx="867">
                  <c:v>-7.4249798419530437</c:v>
                </c:pt>
                <c:pt idx="868">
                  <c:v>-7.4356587305844455</c:v>
                </c:pt>
                <c:pt idx="869">
                  <c:v>-7.4463376325537629</c:v>
                </c:pt>
                <c:pt idx="870">
                  <c:v>-7.4570165478607002</c:v>
                </c:pt>
                <c:pt idx="871">
                  <c:v>-7.4676954765049599</c:v>
                </c:pt>
                <c:pt idx="872">
                  <c:v>-7.4783744184862462</c:v>
                </c:pt>
                <c:pt idx="873">
                  <c:v>-7.4890533738042624</c:v>
                </c:pt>
                <c:pt idx="874">
                  <c:v>-7.4997323424587119</c:v>
                </c:pt>
                <c:pt idx="875">
                  <c:v>-7.510411324449298</c:v>
                </c:pt>
                <c:pt idx="876">
                  <c:v>-7.5210903197757251</c:v>
                </c:pt>
                <c:pt idx="877">
                  <c:v>-7.5317693284376954</c:v>
                </c:pt>
                <c:pt idx="878">
                  <c:v>-7.5424483504349134</c:v>
                </c:pt>
                <c:pt idx="879">
                  <c:v>-7.5531273857670822</c:v>
                </c:pt>
                <c:pt idx="880">
                  <c:v>-7.5638064344339053</c:v>
                </c:pt>
                <c:pt idx="881">
                  <c:v>-7.574485496435087</c:v>
                </c:pt>
                <c:pt idx="882">
                  <c:v>-7.5851645717703295</c:v>
                </c:pt>
                <c:pt idx="883">
                  <c:v>-7.5958436604393373</c:v>
                </c:pt>
                <c:pt idx="884">
                  <c:v>-7.6065227624418137</c:v>
                </c:pt>
                <c:pt idx="885">
                  <c:v>-7.6172018777774619</c:v>
                </c:pt>
                <c:pt idx="886">
                  <c:v>-7.6278810064459863</c:v>
                </c:pt>
                <c:pt idx="887">
                  <c:v>-7.6385601484470902</c:v>
                </c:pt>
                <c:pt idx="888">
                  <c:v>-7.6492393037804769</c:v>
                </c:pt>
                <c:pt idx="889">
                  <c:v>-7.6599184724458498</c:v>
                </c:pt>
                <c:pt idx="890">
                  <c:v>-7.6705976544429122</c:v>
                </c:pt>
                <c:pt idx="891">
                  <c:v>-7.6812768497713684</c:v>
                </c:pt>
                <c:pt idx="892">
                  <c:v>-7.6919560584309217</c:v>
                </c:pt>
                <c:pt idx="893">
                  <c:v>-7.7026352804212754</c:v>
                </c:pt>
                <c:pt idx="894">
                  <c:v>-7.7133145157421339</c:v>
                </c:pt>
                <c:pt idx="895">
                  <c:v>-7.7239937643931995</c:v>
                </c:pt>
                <c:pt idx="896">
                  <c:v>-7.7346730263741774</c:v>
                </c:pt>
                <c:pt idx="897">
                  <c:v>-7.7453523016847701</c:v>
                </c:pt>
                <c:pt idx="898">
                  <c:v>-7.7560315903246808</c:v>
                </c:pt>
                <c:pt idx="899">
                  <c:v>-7.7667108922936139</c:v>
                </c:pt>
                <c:pt idx="900">
                  <c:v>-7.7773902075912726</c:v>
                </c:pt>
                <c:pt idx="901">
                  <c:v>-7.7880695362173613</c:v>
                </c:pt>
                <c:pt idx="902">
                  <c:v>-7.7987488781715824</c:v>
                </c:pt>
                <c:pt idx="903">
                  <c:v>-7.80942823345364</c:v>
                </c:pt>
                <c:pt idx="904">
                  <c:v>-7.8201076020632385</c:v>
                </c:pt>
                <c:pt idx="905">
                  <c:v>-7.8307869840000803</c:v>
                </c:pt>
                <c:pt idx="906">
                  <c:v>-7.8414663792638697</c:v>
                </c:pt>
                <c:pt idx="907">
                  <c:v>-7.8521457878543108</c:v>
                </c:pt>
                <c:pt idx="908">
                  <c:v>-7.8628252097711062</c:v>
                </c:pt>
                <c:pt idx="909">
                  <c:v>-7.8735046450139601</c:v>
                </c:pt>
                <c:pt idx="910">
                  <c:v>-7.8841840935825758</c:v>
                </c:pt>
                <c:pt idx="911">
                  <c:v>-7.8948635554766575</c:v>
                </c:pt>
                <c:pt idx="912">
                  <c:v>-7.9055430306959087</c:v>
                </c:pt>
                <c:pt idx="913">
                  <c:v>-7.9162225192400326</c:v>
                </c:pt>
                <c:pt idx="914">
                  <c:v>-7.9269020211087327</c:v>
                </c:pt>
                <c:pt idx="915">
                  <c:v>-7.937581536301713</c:v>
                </c:pt>
                <c:pt idx="916">
                  <c:v>-7.9482610648186771</c:v>
                </c:pt>
                <c:pt idx="917">
                  <c:v>-7.9589406066593291</c:v>
                </c:pt>
                <c:pt idx="918">
                  <c:v>-7.9696201618233724</c:v>
                </c:pt>
                <c:pt idx="919">
                  <c:v>-7.9802997303105103</c:v>
                </c:pt>
                <c:pt idx="920">
                  <c:v>-7.9909793121204471</c:v>
                </c:pt>
                <c:pt idx="921">
                  <c:v>-8.001658907252887</c:v>
                </c:pt>
                <c:pt idx="922">
                  <c:v>-8.0123385157075315</c:v>
                </c:pt>
                <c:pt idx="923">
                  <c:v>-8.0230181374840868</c:v>
                </c:pt>
                <c:pt idx="924">
                  <c:v>-8.0336977725822543</c:v>
                </c:pt>
                <c:pt idx="925">
                  <c:v>-8.0443774210017391</c:v>
                </c:pt>
                <c:pt idx="926">
                  <c:v>-8.0550570827422447</c:v>
                </c:pt>
                <c:pt idx="927">
                  <c:v>-8.0657367578034744</c:v>
                </c:pt>
                <c:pt idx="928">
                  <c:v>-8.0764164461851333</c:v>
                </c:pt>
                <c:pt idx="929">
                  <c:v>-8.087096147886923</c:v>
                </c:pt>
                <c:pt idx="930">
                  <c:v>-8.0977758629085486</c:v>
                </c:pt>
                <c:pt idx="931">
                  <c:v>-8.1084555912497134</c:v>
                </c:pt>
                <c:pt idx="932">
                  <c:v>-8.1191353329101208</c:v>
                </c:pt>
                <c:pt idx="933">
                  <c:v>-8.1298150878894759</c:v>
                </c:pt>
                <c:pt idx="934">
                  <c:v>-8.1404948561874804</c:v>
                </c:pt>
                <c:pt idx="935">
                  <c:v>-8.1511746378038392</c:v>
                </c:pt>
                <c:pt idx="936">
                  <c:v>-8.1618544327382558</c:v>
                </c:pt>
                <c:pt idx="937">
                  <c:v>-8.1725342409904354</c:v>
                </c:pt>
                <c:pt idx="938">
                  <c:v>-8.1832140625600793</c:v>
                </c:pt>
                <c:pt idx="939">
                  <c:v>-8.1938938974468929</c:v>
                </c:pt>
                <c:pt idx="940">
                  <c:v>-8.2045737456505794</c:v>
                </c:pt>
                <c:pt idx="941">
                  <c:v>-8.2152536071708422</c:v>
                </c:pt>
                <c:pt idx="942">
                  <c:v>-8.2259334820073864</c:v>
                </c:pt>
                <c:pt idx="943">
                  <c:v>-8.2366133701599136</c:v>
                </c:pt>
                <c:pt idx="944">
                  <c:v>-8.2472932716281289</c:v>
                </c:pt>
                <c:pt idx="945">
                  <c:v>-8.2579731864117356</c:v>
                </c:pt>
                <c:pt idx="946">
                  <c:v>-8.2686531145104389</c:v>
                </c:pt>
                <c:pt idx="947">
                  <c:v>-8.2793330559239404</c:v>
                </c:pt>
                <c:pt idx="948">
                  <c:v>-8.2900130106519452</c:v>
                </c:pt>
                <c:pt idx="949">
                  <c:v>-8.3006929786941566</c:v>
                </c:pt>
                <c:pt idx="950">
                  <c:v>-8.3113729600502797</c:v>
                </c:pt>
                <c:pt idx="951">
                  <c:v>-8.3220529547200162</c:v>
                </c:pt>
                <c:pt idx="952">
                  <c:v>-8.3327329627030711</c:v>
                </c:pt>
                <c:pt idx="953">
                  <c:v>-8.3434129839991478</c:v>
                </c:pt>
                <c:pt idx="954">
                  <c:v>-8.3540930186079496</c:v>
                </c:pt>
                <c:pt idx="955">
                  <c:v>-8.3647730665291817</c:v>
                </c:pt>
                <c:pt idx="956">
                  <c:v>-8.3754531277625475</c:v>
                </c:pt>
                <c:pt idx="957">
                  <c:v>-8.3861332023077502</c:v>
                </c:pt>
                <c:pt idx="958">
                  <c:v>-8.3968132901644932</c:v>
                </c:pt>
                <c:pt idx="959">
                  <c:v>-8.4074933913324816</c:v>
                </c:pt>
                <c:pt idx="960">
                  <c:v>-8.4181735058114189</c:v>
                </c:pt>
                <c:pt idx="961">
                  <c:v>-8.4288536336010083</c:v>
                </c:pt>
                <c:pt idx="962">
                  <c:v>-8.4395337747009549</c:v>
                </c:pt>
                <c:pt idx="963">
                  <c:v>-8.4502139291109604</c:v>
                </c:pt>
                <c:pt idx="964">
                  <c:v>-8.4608940968307298</c:v>
                </c:pt>
                <c:pt idx="965">
                  <c:v>-8.4715742778599683</c:v>
                </c:pt>
                <c:pt idx="966">
                  <c:v>-8.4822544721983775</c:v>
                </c:pt>
                <c:pt idx="967">
                  <c:v>-8.4929346798456624</c:v>
                </c:pt>
                <c:pt idx="968">
                  <c:v>-8.5036149008015265</c:v>
                </c:pt>
                <c:pt idx="969">
                  <c:v>-8.5142951350656748</c:v>
                </c:pt>
                <c:pt idx="970">
                  <c:v>-8.524975382637809</c:v>
                </c:pt>
                <c:pt idx="971">
                  <c:v>-8.5356556435176358</c:v>
                </c:pt>
                <c:pt idx="972">
                  <c:v>-8.546335917704857</c:v>
                </c:pt>
                <c:pt idx="973">
                  <c:v>-8.5570162051991758</c:v>
                </c:pt>
                <c:pt idx="974">
                  <c:v>-8.5676965060002974</c:v>
                </c:pt>
                <c:pt idx="975">
                  <c:v>-8.5783768201079251</c:v>
                </c:pt>
                <c:pt idx="976">
                  <c:v>-8.5890571475217641</c:v>
                </c:pt>
                <c:pt idx="977">
                  <c:v>-8.5997374882415176</c:v>
                </c:pt>
                <c:pt idx="978">
                  <c:v>-8.6104178422668891</c:v>
                </c:pt>
                <c:pt idx="979">
                  <c:v>-8.6210982095975819</c:v>
                </c:pt>
                <c:pt idx="980">
                  <c:v>-8.6317785902333011</c:v>
                </c:pt>
                <c:pt idx="981">
                  <c:v>-8.64245898417375</c:v>
                </c:pt>
                <c:pt idx="982">
                  <c:v>-8.6531393914186321</c:v>
                </c:pt>
                <c:pt idx="983">
                  <c:v>-8.6638198119676524</c:v>
                </c:pt>
                <c:pt idx="984">
                  <c:v>-8.6745002458205143</c:v>
                </c:pt>
                <c:pt idx="985">
                  <c:v>-8.6851806929769211</c:v>
                </c:pt>
                <c:pt idx="986">
                  <c:v>-8.695861153436578</c:v>
                </c:pt>
                <c:pt idx="987">
                  <c:v>-8.7065416271991882</c:v>
                </c:pt>
                <c:pt idx="988">
                  <c:v>-8.7172221142644553</c:v>
                </c:pt>
                <c:pt idx="989">
                  <c:v>-8.7279026146320842</c:v>
                </c:pt>
                <c:pt idx="990">
                  <c:v>-8.7385831283017783</c:v>
                </c:pt>
                <c:pt idx="991">
                  <c:v>-8.749263655273241</c:v>
                </c:pt>
                <c:pt idx="992">
                  <c:v>-8.7599441955461774</c:v>
                </c:pt>
                <c:pt idx="993">
                  <c:v>-8.7706247491202909</c:v>
                </c:pt>
                <c:pt idx="994">
                  <c:v>-8.7813053159952847</c:v>
                </c:pt>
                <c:pt idx="995">
                  <c:v>-8.7919858961708623</c:v>
                </c:pt>
                <c:pt idx="996">
                  <c:v>-8.8026664896467288</c:v>
                </c:pt>
                <c:pt idx="997">
                  <c:v>-8.8133470964225893</c:v>
                </c:pt>
                <c:pt idx="998">
                  <c:v>-8.8240277164981453</c:v>
                </c:pt>
                <c:pt idx="999">
                  <c:v>-8.8347083498731021</c:v>
                </c:pt>
                <c:pt idx="1000">
                  <c:v>-8.8453889965471646</c:v>
                </c:pt>
              </c:numCache>
            </c:numRef>
          </c:yVal>
          <c:smooth val="1"/>
          <c:extLst>
            <c:ext xmlns:c16="http://schemas.microsoft.com/office/drawing/2014/chart" uri="{C3380CC4-5D6E-409C-BE32-E72D297353CC}">
              <c16:uniqueId val="{00000002-4C7F-469F-ADED-1B0B28F452E1}"/>
            </c:ext>
          </c:extLst>
        </c:ser>
        <c:ser>
          <c:idx val="2"/>
          <c:order val="3"/>
          <c:tx>
            <c:strRef>
              <c:f>Trajecto!$B$109</c:f>
              <c:strCache>
                <c:ptCount val="1"/>
                <c:pt idx="0">
                  <c:v>Fusée sous parachute</c:v>
                </c:pt>
              </c:strCache>
            </c:strRef>
          </c:tx>
          <c:spPr>
            <a:ln w="25400">
              <a:solidFill>
                <a:srgbClr val="008000"/>
              </a:solidFill>
              <a:prstDash val="solid"/>
            </a:ln>
          </c:spPr>
          <c:marker>
            <c:symbol val="none"/>
          </c:marker>
          <c:dLbls>
            <c:dLbl>
              <c:idx val="1"/>
              <c:spPr>
                <a:noFill/>
                <a:ln w="25400">
                  <a:noFill/>
                </a:ln>
              </c:spPr>
              <c:txPr>
                <a:bodyPr/>
                <a:lstStyle/>
                <a:p>
                  <a:pPr>
                    <a:defRPr sz="700" b="1" i="0" u="none" strike="noStrike" baseline="0">
                      <a:solidFill>
                        <a:srgbClr val="008000"/>
                      </a:solidFill>
                      <a:latin typeface="Arial"/>
                      <a:ea typeface="Arial"/>
                      <a:cs typeface="Arial"/>
                    </a:defRPr>
                  </a:pPr>
                  <a:endParaRPr lang="fr-FR"/>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3-4C7F-469F-ADED-1B0B28F452E1}"/>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Trajecto!$B$132:$B$138</c:f>
              <c:numCache>
                <c:formatCode>0.0</c:formatCode>
                <c:ptCount val="7"/>
                <c:pt idx="0">
                  <c:v>11.1</c:v>
                </c:pt>
                <c:pt idx="1">
                  <c:v>59.153523443484865</c:v>
                </c:pt>
                <c:pt idx="2">
                  <c:v>107.20704688696974</c:v>
                </c:pt>
                <c:pt idx="3">
                  <c:v>106.04937775925066</c:v>
                </c:pt>
                <c:pt idx="4">
                  <c:v>107.20704688696974</c:v>
                </c:pt>
                <c:pt idx="5">
                  <c:v>103.12937775925064</c:v>
                </c:pt>
                <c:pt idx="6">
                  <c:v>107.20704688696974</c:v>
                </c:pt>
              </c:numCache>
            </c:numRef>
          </c:xVal>
          <c:yVal>
            <c:numRef>
              <c:f>Trajecto!$C$132:$C$138</c:f>
              <c:numCache>
                <c:formatCode>0</c:formatCode>
                <c:ptCount val="7"/>
                <c:pt idx="0">
                  <c:v>1250.9790848284513</c:v>
                </c:pt>
                <c:pt idx="1">
                  <c:v>625.48954241422564</c:v>
                </c:pt>
                <c:pt idx="2">
                  <c:v>0</c:v>
                </c:pt>
                <c:pt idx="3">
                  <c:v>49.366230618069672</c:v>
                </c:pt>
                <c:pt idx="4">
                  <c:v>0</c:v>
                </c:pt>
                <c:pt idx="5">
                  <c:v>18.808294172610452</c:v>
                </c:pt>
                <c:pt idx="6">
                  <c:v>0</c:v>
                </c:pt>
              </c:numCache>
            </c:numRef>
          </c:yVal>
          <c:smooth val="0"/>
          <c:extLst>
            <c:ext xmlns:c16="http://schemas.microsoft.com/office/drawing/2014/chart" uri="{C3380CC4-5D6E-409C-BE32-E72D297353CC}">
              <c16:uniqueId val="{00000004-4C7F-469F-ADED-1B0B28F452E1}"/>
            </c:ext>
          </c:extLst>
        </c:ser>
        <c:ser>
          <c:idx val="3"/>
          <c:order val="4"/>
          <c:tx>
            <c:strRef>
              <c:f>Trajecto!$B$110</c:f>
              <c:strCache>
                <c:ptCount val="1"/>
              </c:strCache>
            </c:strRef>
          </c:tx>
          <c:spPr>
            <a:ln w="25400">
              <a:solidFill>
                <a:srgbClr val="FF6600"/>
              </a:solidFill>
              <a:prstDash val="solid"/>
            </a:ln>
          </c:spPr>
          <c:marker>
            <c:symbol val="none"/>
          </c:marker>
          <c:dLbls>
            <c:dLbl>
              <c:idx val="1"/>
              <c:spPr>
                <a:noFill/>
                <a:ln w="25400">
                  <a:noFill/>
                </a:ln>
              </c:spPr>
              <c:txPr>
                <a:bodyPr/>
                <a:lstStyle/>
                <a:p>
                  <a:pPr>
                    <a:defRPr sz="700" b="1" i="0" u="none" strike="noStrike" baseline="0">
                      <a:solidFill>
                        <a:srgbClr val="FF66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5-4C7F-469F-ADED-1B0B28F452E1}"/>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Trajecto!$B$149:$B$155</c:f>
              <c:numCache>
                <c:formatCode>0.0</c:formatCode>
                <c:ptCount val="7"/>
                <c:pt idx="0">
                  <c:v>0</c:v>
                </c:pt>
                <c:pt idx="1">
                  <c:v>0</c:v>
                </c:pt>
                <c:pt idx="2">
                  <c:v>0</c:v>
                </c:pt>
                <c:pt idx="3">
                  <c:v>0</c:v>
                </c:pt>
                <c:pt idx="4">
                  <c:v>0</c:v>
                </c:pt>
                <c:pt idx="5">
                  <c:v>0</c:v>
                </c:pt>
                <c:pt idx="6">
                  <c:v>0</c:v>
                </c:pt>
              </c:numCache>
            </c:numRef>
          </c:xVal>
          <c:yVal>
            <c:numRef>
              <c:f>Trajecto!$C$149:$C$155</c:f>
              <c:numCache>
                <c:formatCode>0</c:formatCode>
                <c:ptCount val="7"/>
                <c:pt idx="0">
                  <c:v>0</c:v>
                </c:pt>
                <c:pt idx="1">
                  <c:v>0</c:v>
                </c:pt>
                <c:pt idx="2">
                  <c:v>0</c:v>
                </c:pt>
                <c:pt idx="3">
                  <c:v>0</c:v>
                </c:pt>
                <c:pt idx="4">
                  <c:v>0</c:v>
                </c:pt>
                <c:pt idx="5">
                  <c:v>0</c:v>
                </c:pt>
                <c:pt idx="6">
                  <c:v>0</c:v>
                </c:pt>
              </c:numCache>
            </c:numRef>
          </c:yVal>
          <c:smooth val="0"/>
          <c:extLst>
            <c:ext xmlns:c16="http://schemas.microsoft.com/office/drawing/2014/chart" uri="{C3380CC4-5D6E-409C-BE32-E72D297353CC}">
              <c16:uniqueId val="{00000006-4C7F-469F-ADED-1B0B28F452E1}"/>
            </c:ext>
          </c:extLst>
        </c:ser>
        <c:ser>
          <c:idx val="5"/>
          <c:order val="5"/>
          <c:tx>
            <c:strRef>
              <c:f>Trajecto!$B$107</c:f>
              <c:strCache>
                <c:ptCount val="1"/>
                <c:pt idx="0">
                  <c:v>Phase ascendante</c:v>
                </c:pt>
              </c:strCache>
            </c:strRef>
          </c:tx>
          <c:spPr>
            <a:ln w="25400">
              <a:solidFill>
                <a:srgbClr val="00008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1.1000000000000008</c:v>
                </c:pt>
                <c:pt idx="102">
                  <c:v>1.2000000000000008</c:v>
                </c:pt>
                <c:pt idx="103">
                  <c:v>1.3000000000000009</c:v>
                </c:pt>
                <c:pt idx="104">
                  <c:v>1.400000000000001</c:v>
                </c:pt>
                <c:pt idx="105">
                  <c:v>1.5000000000000011</c:v>
                </c:pt>
                <c:pt idx="106">
                  <c:v>1.6000000000000012</c:v>
                </c:pt>
                <c:pt idx="107">
                  <c:v>1.7000000000000013</c:v>
                </c:pt>
                <c:pt idx="108">
                  <c:v>1.8000000000000014</c:v>
                </c:pt>
                <c:pt idx="109">
                  <c:v>1.9000000000000015</c:v>
                </c:pt>
                <c:pt idx="110">
                  <c:v>2.0000000000000013</c:v>
                </c:pt>
                <c:pt idx="111">
                  <c:v>2.1000000000000014</c:v>
                </c:pt>
                <c:pt idx="112">
                  <c:v>2.2000000000000015</c:v>
                </c:pt>
                <c:pt idx="113">
                  <c:v>2.3000000000000016</c:v>
                </c:pt>
                <c:pt idx="114">
                  <c:v>2.4000000000000017</c:v>
                </c:pt>
                <c:pt idx="115">
                  <c:v>2.5000000000000018</c:v>
                </c:pt>
                <c:pt idx="116">
                  <c:v>2.6000000000000019</c:v>
                </c:pt>
                <c:pt idx="117">
                  <c:v>2.700000000000002</c:v>
                </c:pt>
                <c:pt idx="118">
                  <c:v>2.800000000000002</c:v>
                </c:pt>
                <c:pt idx="119">
                  <c:v>2.9000000000000021</c:v>
                </c:pt>
                <c:pt idx="120">
                  <c:v>3.0000000000000022</c:v>
                </c:pt>
                <c:pt idx="121">
                  <c:v>3.1000000000000023</c:v>
                </c:pt>
                <c:pt idx="122">
                  <c:v>3.2000000000000024</c:v>
                </c:pt>
                <c:pt idx="123">
                  <c:v>3.3000000000000025</c:v>
                </c:pt>
                <c:pt idx="124">
                  <c:v>3.4000000000000026</c:v>
                </c:pt>
                <c:pt idx="125">
                  <c:v>3.5000000000000027</c:v>
                </c:pt>
                <c:pt idx="126">
                  <c:v>3.6000000000000028</c:v>
                </c:pt>
                <c:pt idx="127">
                  <c:v>3.7000000000000028</c:v>
                </c:pt>
                <c:pt idx="128">
                  <c:v>3.8000000000000029</c:v>
                </c:pt>
                <c:pt idx="129">
                  <c:v>3.900000000000003</c:v>
                </c:pt>
                <c:pt idx="130">
                  <c:v>4.0000000000000027</c:v>
                </c:pt>
                <c:pt idx="131">
                  <c:v>4.1000000000000023</c:v>
                </c:pt>
                <c:pt idx="132">
                  <c:v>4.200000000000002</c:v>
                </c:pt>
                <c:pt idx="133">
                  <c:v>4.3000000000000016</c:v>
                </c:pt>
                <c:pt idx="134">
                  <c:v>4.4000000000000012</c:v>
                </c:pt>
                <c:pt idx="135">
                  <c:v>4.5000000000000009</c:v>
                </c:pt>
                <c:pt idx="136">
                  <c:v>4.6000000000000005</c:v>
                </c:pt>
                <c:pt idx="137">
                  <c:v>4.7</c:v>
                </c:pt>
                <c:pt idx="138">
                  <c:v>4.8</c:v>
                </c:pt>
                <c:pt idx="139">
                  <c:v>4.8999999999999995</c:v>
                </c:pt>
                <c:pt idx="140">
                  <c:v>4.9999999999999991</c:v>
                </c:pt>
                <c:pt idx="141">
                  <c:v>5.0999999999999988</c:v>
                </c:pt>
                <c:pt idx="142">
                  <c:v>5.1999999999999984</c:v>
                </c:pt>
                <c:pt idx="143">
                  <c:v>5.299999999999998</c:v>
                </c:pt>
                <c:pt idx="144">
                  <c:v>5.3999999999999977</c:v>
                </c:pt>
                <c:pt idx="145">
                  <c:v>5.4999999999999973</c:v>
                </c:pt>
                <c:pt idx="146">
                  <c:v>5.599999999999997</c:v>
                </c:pt>
                <c:pt idx="147">
                  <c:v>5.6999999999999966</c:v>
                </c:pt>
                <c:pt idx="148">
                  <c:v>5.7999999999999963</c:v>
                </c:pt>
                <c:pt idx="149">
                  <c:v>5.8999999999999959</c:v>
                </c:pt>
                <c:pt idx="150">
                  <c:v>5.9999999999999956</c:v>
                </c:pt>
                <c:pt idx="151">
                  <c:v>6.0999999999999952</c:v>
                </c:pt>
                <c:pt idx="152">
                  <c:v>6.1999999999999948</c:v>
                </c:pt>
                <c:pt idx="153">
                  <c:v>6.2999999999999945</c:v>
                </c:pt>
                <c:pt idx="154">
                  <c:v>6.3999999999999941</c:v>
                </c:pt>
                <c:pt idx="155">
                  <c:v>6.4999999999999938</c:v>
                </c:pt>
                <c:pt idx="156">
                  <c:v>6.5999999999999934</c:v>
                </c:pt>
                <c:pt idx="157">
                  <c:v>6.6999999999999931</c:v>
                </c:pt>
                <c:pt idx="158">
                  <c:v>6.7999999999999927</c:v>
                </c:pt>
                <c:pt idx="159">
                  <c:v>6.8999999999999924</c:v>
                </c:pt>
                <c:pt idx="160">
                  <c:v>6.999999999999992</c:v>
                </c:pt>
                <c:pt idx="161">
                  <c:v>7.0999999999999917</c:v>
                </c:pt>
                <c:pt idx="162">
                  <c:v>7.1999999999999913</c:v>
                </c:pt>
                <c:pt idx="163">
                  <c:v>7.2999999999999909</c:v>
                </c:pt>
                <c:pt idx="164">
                  <c:v>7.3999999999999906</c:v>
                </c:pt>
                <c:pt idx="165">
                  <c:v>7.4999999999999902</c:v>
                </c:pt>
                <c:pt idx="166">
                  <c:v>7.5999999999999899</c:v>
                </c:pt>
                <c:pt idx="167">
                  <c:v>7.6999999999999895</c:v>
                </c:pt>
                <c:pt idx="168">
                  <c:v>7.7999999999999892</c:v>
                </c:pt>
                <c:pt idx="169">
                  <c:v>7.8999999999999888</c:v>
                </c:pt>
                <c:pt idx="170">
                  <c:v>7.9999999999999885</c:v>
                </c:pt>
                <c:pt idx="171">
                  <c:v>8.099999999999989</c:v>
                </c:pt>
                <c:pt idx="172">
                  <c:v>8.1999999999999886</c:v>
                </c:pt>
                <c:pt idx="173">
                  <c:v>8.2999999999999883</c:v>
                </c:pt>
                <c:pt idx="174">
                  <c:v>8.3999999999999879</c:v>
                </c:pt>
                <c:pt idx="175">
                  <c:v>8.4999999999999876</c:v>
                </c:pt>
                <c:pt idx="176">
                  <c:v>8.5999999999999872</c:v>
                </c:pt>
                <c:pt idx="177">
                  <c:v>8.6999999999999869</c:v>
                </c:pt>
                <c:pt idx="178">
                  <c:v>8.7999999999999865</c:v>
                </c:pt>
                <c:pt idx="179">
                  <c:v>8.8999999999999861</c:v>
                </c:pt>
                <c:pt idx="180">
                  <c:v>8.9999999999999858</c:v>
                </c:pt>
                <c:pt idx="181">
                  <c:v>9.0999999999999854</c:v>
                </c:pt>
                <c:pt idx="182">
                  <c:v>9.1999999999999851</c:v>
                </c:pt>
                <c:pt idx="183">
                  <c:v>9.2999999999999847</c:v>
                </c:pt>
                <c:pt idx="184">
                  <c:v>9.3999999999999844</c:v>
                </c:pt>
                <c:pt idx="185">
                  <c:v>9.499999999999984</c:v>
                </c:pt>
                <c:pt idx="186">
                  <c:v>9.5999999999999837</c:v>
                </c:pt>
                <c:pt idx="187">
                  <c:v>9.6999999999999833</c:v>
                </c:pt>
                <c:pt idx="188">
                  <c:v>9.7999999999999829</c:v>
                </c:pt>
                <c:pt idx="189">
                  <c:v>9.8999999999999826</c:v>
                </c:pt>
                <c:pt idx="190">
                  <c:v>9.9999999999999822</c:v>
                </c:pt>
                <c:pt idx="191">
                  <c:v>10.099999999999982</c:v>
                </c:pt>
                <c:pt idx="192">
                  <c:v>10.199999999999982</c:v>
                </c:pt>
                <c:pt idx="193">
                  <c:v>10.299999999999981</c:v>
                </c:pt>
                <c:pt idx="194">
                  <c:v>10.399999999999981</c:v>
                </c:pt>
                <c:pt idx="195">
                  <c:v>10.49999999999998</c:v>
                </c:pt>
                <c:pt idx="196">
                  <c:v>10.59999999999998</c:v>
                </c:pt>
                <c:pt idx="197">
                  <c:v>10.69999999999998</c:v>
                </c:pt>
                <c:pt idx="198">
                  <c:v>10.799999999999979</c:v>
                </c:pt>
                <c:pt idx="199">
                  <c:v>10.899999999999979</c:v>
                </c:pt>
                <c:pt idx="200">
                  <c:v>10.999999999999979</c:v>
                </c:pt>
                <c:pt idx="201">
                  <c:v>11.099999999999978</c:v>
                </c:pt>
                <c:pt idx="202">
                  <c:v>11.199999999999978</c:v>
                </c:pt>
                <c:pt idx="203">
                  <c:v>11.299999999999978</c:v>
                </c:pt>
                <c:pt idx="204">
                  <c:v>11.399999999999977</c:v>
                </c:pt>
                <c:pt idx="205">
                  <c:v>11.499999999999977</c:v>
                </c:pt>
                <c:pt idx="206">
                  <c:v>11.599999999999977</c:v>
                </c:pt>
                <c:pt idx="207">
                  <c:v>11.699999999999976</c:v>
                </c:pt>
                <c:pt idx="208">
                  <c:v>11.799999999999976</c:v>
                </c:pt>
                <c:pt idx="209">
                  <c:v>11.899999999999975</c:v>
                </c:pt>
                <c:pt idx="210">
                  <c:v>11.999999999999975</c:v>
                </c:pt>
                <c:pt idx="211">
                  <c:v>12.099999999999975</c:v>
                </c:pt>
                <c:pt idx="212">
                  <c:v>12.199999999999974</c:v>
                </c:pt>
                <c:pt idx="213">
                  <c:v>12.299999999999974</c:v>
                </c:pt>
                <c:pt idx="214">
                  <c:v>12.399999999999974</c:v>
                </c:pt>
                <c:pt idx="215">
                  <c:v>12.499999999999973</c:v>
                </c:pt>
                <c:pt idx="216">
                  <c:v>12.599999999999973</c:v>
                </c:pt>
                <c:pt idx="217">
                  <c:v>12.699999999999973</c:v>
                </c:pt>
                <c:pt idx="218">
                  <c:v>12.799999999999972</c:v>
                </c:pt>
                <c:pt idx="219">
                  <c:v>12.899999999999972</c:v>
                </c:pt>
                <c:pt idx="220">
                  <c:v>12.999999999999972</c:v>
                </c:pt>
                <c:pt idx="221">
                  <c:v>13.099999999999971</c:v>
                </c:pt>
                <c:pt idx="222">
                  <c:v>13.199999999999971</c:v>
                </c:pt>
                <c:pt idx="223">
                  <c:v>13.299999999999971</c:v>
                </c:pt>
                <c:pt idx="224">
                  <c:v>13.39999999999997</c:v>
                </c:pt>
                <c:pt idx="225">
                  <c:v>13.49999999999997</c:v>
                </c:pt>
                <c:pt idx="226">
                  <c:v>13.599999999999969</c:v>
                </c:pt>
                <c:pt idx="227">
                  <c:v>13.699999999999969</c:v>
                </c:pt>
                <c:pt idx="228">
                  <c:v>13.799999999999969</c:v>
                </c:pt>
                <c:pt idx="229">
                  <c:v>13.899999999999968</c:v>
                </c:pt>
                <c:pt idx="230">
                  <c:v>13.999999999999968</c:v>
                </c:pt>
                <c:pt idx="231">
                  <c:v>14.099999999999968</c:v>
                </c:pt>
                <c:pt idx="232">
                  <c:v>14.199999999999967</c:v>
                </c:pt>
                <c:pt idx="233">
                  <c:v>14.299999999999967</c:v>
                </c:pt>
                <c:pt idx="234">
                  <c:v>14.399999999999967</c:v>
                </c:pt>
                <c:pt idx="235">
                  <c:v>14.499999999999966</c:v>
                </c:pt>
                <c:pt idx="236">
                  <c:v>14.599999999999966</c:v>
                </c:pt>
                <c:pt idx="237">
                  <c:v>14.699999999999966</c:v>
                </c:pt>
                <c:pt idx="238">
                  <c:v>14.799999999999965</c:v>
                </c:pt>
                <c:pt idx="239">
                  <c:v>14.899999999999965</c:v>
                </c:pt>
                <c:pt idx="240">
                  <c:v>14.999999999999964</c:v>
                </c:pt>
                <c:pt idx="241">
                  <c:v>15.099999999999964</c:v>
                </c:pt>
                <c:pt idx="242">
                  <c:v>15.199999999999964</c:v>
                </c:pt>
                <c:pt idx="243">
                  <c:v>15.299999999999963</c:v>
                </c:pt>
                <c:pt idx="244">
                  <c:v>15.399999999999963</c:v>
                </c:pt>
                <c:pt idx="245">
                  <c:v>15.499999999999963</c:v>
                </c:pt>
                <c:pt idx="246">
                  <c:v>15.599999999999962</c:v>
                </c:pt>
                <c:pt idx="247">
                  <c:v>15.699999999999962</c:v>
                </c:pt>
                <c:pt idx="248">
                  <c:v>15.799999999999962</c:v>
                </c:pt>
                <c:pt idx="249">
                  <c:v>15.899999999999961</c:v>
                </c:pt>
                <c:pt idx="250">
                  <c:v>15.999999999999961</c:v>
                </c:pt>
                <c:pt idx="251">
                  <c:v>16.099999999999962</c:v>
                </c:pt>
                <c:pt idx="252">
                  <c:v>16.199999999999964</c:v>
                </c:pt>
                <c:pt idx="253">
                  <c:v>16.299999999999965</c:v>
                </c:pt>
                <c:pt idx="254">
                  <c:v>16.399999999999967</c:v>
                </c:pt>
                <c:pt idx="255">
                  <c:v>16.499999999999968</c:v>
                </c:pt>
                <c:pt idx="256">
                  <c:v>16.599999999999969</c:v>
                </c:pt>
                <c:pt idx="257">
                  <c:v>16.699999999999971</c:v>
                </c:pt>
                <c:pt idx="258">
                  <c:v>16.799999999999972</c:v>
                </c:pt>
                <c:pt idx="259">
                  <c:v>16.899999999999974</c:v>
                </c:pt>
                <c:pt idx="260">
                  <c:v>16.999999999999975</c:v>
                </c:pt>
                <c:pt idx="261">
                  <c:v>17.099999999999977</c:v>
                </c:pt>
                <c:pt idx="262">
                  <c:v>17.199999999999978</c:v>
                </c:pt>
                <c:pt idx="263">
                  <c:v>17.299999999999979</c:v>
                </c:pt>
                <c:pt idx="264">
                  <c:v>17.399999999999981</c:v>
                </c:pt>
                <c:pt idx="265">
                  <c:v>17.499999999999982</c:v>
                </c:pt>
                <c:pt idx="266">
                  <c:v>17.599999999999984</c:v>
                </c:pt>
                <c:pt idx="267">
                  <c:v>17.699999999999985</c:v>
                </c:pt>
                <c:pt idx="268">
                  <c:v>17.799999999999986</c:v>
                </c:pt>
                <c:pt idx="269">
                  <c:v>17.899999999999988</c:v>
                </c:pt>
                <c:pt idx="270">
                  <c:v>17.999999999999989</c:v>
                </c:pt>
                <c:pt idx="271">
                  <c:v>18.099999999999991</c:v>
                </c:pt>
                <c:pt idx="272">
                  <c:v>18.199999999999992</c:v>
                </c:pt>
                <c:pt idx="273">
                  <c:v>18.299999999999994</c:v>
                </c:pt>
                <c:pt idx="274">
                  <c:v>18.399999999999995</c:v>
                </c:pt>
                <c:pt idx="275">
                  <c:v>18.499999999999996</c:v>
                </c:pt>
                <c:pt idx="276">
                  <c:v>18.599999999999998</c:v>
                </c:pt>
                <c:pt idx="277">
                  <c:v>18.7</c:v>
                </c:pt>
                <c:pt idx="278">
                  <c:v>18.8</c:v>
                </c:pt>
                <c:pt idx="279">
                  <c:v>18.900000000000002</c:v>
                </c:pt>
                <c:pt idx="280">
                  <c:v>19.000000000000004</c:v>
                </c:pt>
                <c:pt idx="281">
                  <c:v>19.100000000000005</c:v>
                </c:pt>
                <c:pt idx="282">
                  <c:v>19.200000000000006</c:v>
                </c:pt>
                <c:pt idx="283">
                  <c:v>19.300000000000008</c:v>
                </c:pt>
                <c:pt idx="284">
                  <c:v>19.400000000000009</c:v>
                </c:pt>
                <c:pt idx="285">
                  <c:v>19.500000000000011</c:v>
                </c:pt>
                <c:pt idx="286">
                  <c:v>19.600000000000012</c:v>
                </c:pt>
                <c:pt idx="287">
                  <c:v>19.700000000000014</c:v>
                </c:pt>
                <c:pt idx="288">
                  <c:v>19.800000000000015</c:v>
                </c:pt>
                <c:pt idx="289">
                  <c:v>19.900000000000016</c:v>
                </c:pt>
                <c:pt idx="290">
                  <c:v>20.000000000000018</c:v>
                </c:pt>
                <c:pt idx="291">
                  <c:v>20.100000000000019</c:v>
                </c:pt>
                <c:pt idx="292">
                  <c:v>20.200000000000021</c:v>
                </c:pt>
                <c:pt idx="293">
                  <c:v>20.300000000000022</c:v>
                </c:pt>
                <c:pt idx="294">
                  <c:v>20.400000000000023</c:v>
                </c:pt>
                <c:pt idx="295">
                  <c:v>20.500000000000025</c:v>
                </c:pt>
                <c:pt idx="296">
                  <c:v>20.600000000000026</c:v>
                </c:pt>
                <c:pt idx="297">
                  <c:v>20.700000000000028</c:v>
                </c:pt>
                <c:pt idx="298">
                  <c:v>20.800000000000029</c:v>
                </c:pt>
                <c:pt idx="299">
                  <c:v>20.900000000000031</c:v>
                </c:pt>
                <c:pt idx="300">
                  <c:v>21.000000000000032</c:v>
                </c:pt>
                <c:pt idx="301">
                  <c:v>21.100000000000033</c:v>
                </c:pt>
                <c:pt idx="302">
                  <c:v>21.200000000000035</c:v>
                </c:pt>
                <c:pt idx="303">
                  <c:v>21.300000000000036</c:v>
                </c:pt>
                <c:pt idx="304">
                  <c:v>21.400000000000038</c:v>
                </c:pt>
                <c:pt idx="305">
                  <c:v>21.500000000000039</c:v>
                </c:pt>
                <c:pt idx="306">
                  <c:v>21.600000000000041</c:v>
                </c:pt>
                <c:pt idx="307">
                  <c:v>21.700000000000042</c:v>
                </c:pt>
                <c:pt idx="308">
                  <c:v>21.800000000000043</c:v>
                </c:pt>
                <c:pt idx="309">
                  <c:v>21.900000000000045</c:v>
                </c:pt>
                <c:pt idx="310">
                  <c:v>22.000000000000046</c:v>
                </c:pt>
                <c:pt idx="311">
                  <c:v>22.100000000000048</c:v>
                </c:pt>
                <c:pt idx="312">
                  <c:v>22.200000000000049</c:v>
                </c:pt>
                <c:pt idx="313">
                  <c:v>22.30000000000005</c:v>
                </c:pt>
                <c:pt idx="314">
                  <c:v>22.400000000000052</c:v>
                </c:pt>
                <c:pt idx="315">
                  <c:v>22.500000000000053</c:v>
                </c:pt>
                <c:pt idx="316">
                  <c:v>22.600000000000055</c:v>
                </c:pt>
                <c:pt idx="317">
                  <c:v>22.700000000000056</c:v>
                </c:pt>
                <c:pt idx="318">
                  <c:v>22.800000000000058</c:v>
                </c:pt>
                <c:pt idx="319">
                  <c:v>22.900000000000059</c:v>
                </c:pt>
                <c:pt idx="320">
                  <c:v>23.00000000000006</c:v>
                </c:pt>
                <c:pt idx="321">
                  <c:v>23.100000000000062</c:v>
                </c:pt>
                <c:pt idx="322">
                  <c:v>23.200000000000063</c:v>
                </c:pt>
                <c:pt idx="323">
                  <c:v>23.300000000000065</c:v>
                </c:pt>
                <c:pt idx="324">
                  <c:v>23.400000000000066</c:v>
                </c:pt>
                <c:pt idx="325">
                  <c:v>23.500000000000068</c:v>
                </c:pt>
                <c:pt idx="326">
                  <c:v>23.600000000000069</c:v>
                </c:pt>
                <c:pt idx="327">
                  <c:v>23.70000000000007</c:v>
                </c:pt>
                <c:pt idx="328">
                  <c:v>23.800000000000072</c:v>
                </c:pt>
                <c:pt idx="329">
                  <c:v>23.900000000000073</c:v>
                </c:pt>
                <c:pt idx="330">
                  <c:v>24.000000000000075</c:v>
                </c:pt>
                <c:pt idx="331">
                  <c:v>24.100000000000076</c:v>
                </c:pt>
                <c:pt idx="332">
                  <c:v>24.200000000000077</c:v>
                </c:pt>
                <c:pt idx="333">
                  <c:v>24.300000000000079</c:v>
                </c:pt>
                <c:pt idx="334">
                  <c:v>24.40000000000008</c:v>
                </c:pt>
                <c:pt idx="335">
                  <c:v>24.500000000000082</c:v>
                </c:pt>
                <c:pt idx="336">
                  <c:v>24.600000000000083</c:v>
                </c:pt>
                <c:pt idx="337">
                  <c:v>24.700000000000085</c:v>
                </c:pt>
                <c:pt idx="338">
                  <c:v>24.800000000000086</c:v>
                </c:pt>
                <c:pt idx="339">
                  <c:v>24.900000000000087</c:v>
                </c:pt>
                <c:pt idx="340">
                  <c:v>25.000000000000089</c:v>
                </c:pt>
                <c:pt idx="341">
                  <c:v>25.10000000000009</c:v>
                </c:pt>
                <c:pt idx="342">
                  <c:v>25.200000000000092</c:v>
                </c:pt>
                <c:pt idx="343">
                  <c:v>25.300000000000093</c:v>
                </c:pt>
                <c:pt idx="344">
                  <c:v>25.400000000000095</c:v>
                </c:pt>
                <c:pt idx="345">
                  <c:v>25.500000000000096</c:v>
                </c:pt>
                <c:pt idx="346">
                  <c:v>25.600000000000097</c:v>
                </c:pt>
                <c:pt idx="347">
                  <c:v>25.700000000000099</c:v>
                </c:pt>
                <c:pt idx="348">
                  <c:v>25.8000000000001</c:v>
                </c:pt>
                <c:pt idx="349">
                  <c:v>25.900000000000102</c:v>
                </c:pt>
                <c:pt idx="350">
                  <c:v>26.000000000000103</c:v>
                </c:pt>
                <c:pt idx="351">
                  <c:v>26.100000000000104</c:v>
                </c:pt>
                <c:pt idx="352">
                  <c:v>26.200000000000106</c:v>
                </c:pt>
                <c:pt idx="353">
                  <c:v>26.300000000000107</c:v>
                </c:pt>
                <c:pt idx="354">
                  <c:v>26.400000000000109</c:v>
                </c:pt>
                <c:pt idx="355">
                  <c:v>26.50000000000011</c:v>
                </c:pt>
                <c:pt idx="356">
                  <c:v>26.600000000000112</c:v>
                </c:pt>
                <c:pt idx="357">
                  <c:v>26.700000000000113</c:v>
                </c:pt>
                <c:pt idx="358">
                  <c:v>26.800000000000114</c:v>
                </c:pt>
                <c:pt idx="359">
                  <c:v>26.900000000000116</c:v>
                </c:pt>
                <c:pt idx="360">
                  <c:v>27.000000000000117</c:v>
                </c:pt>
                <c:pt idx="361">
                  <c:v>27.100000000000119</c:v>
                </c:pt>
                <c:pt idx="362">
                  <c:v>27.20000000000012</c:v>
                </c:pt>
                <c:pt idx="363">
                  <c:v>27.300000000000122</c:v>
                </c:pt>
                <c:pt idx="364">
                  <c:v>27.400000000000123</c:v>
                </c:pt>
                <c:pt idx="365">
                  <c:v>27.500000000000124</c:v>
                </c:pt>
                <c:pt idx="366">
                  <c:v>27.600000000000126</c:v>
                </c:pt>
                <c:pt idx="367">
                  <c:v>27.700000000000127</c:v>
                </c:pt>
                <c:pt idx="368">
                  <c:v>27.800000000000129</c:v>
                </c:pt>
                <c:pt idx="369">
                  <c:v>27.90000000000013</c:v>
                </c:pt>
                <c:pt idx="370">
                  <c:v>28.000000000000131</c:v>
                </c:pt>
                <c:pt idx="371">
                  <c:v>28.100000000000133</c:v>
                </c:pt>
                <c:pt idx="372">
                  <c:v>28.200000000000134</c:v>
                </c:pt>
                <c:pt idx="373">
                  <c:v>28.300000000000136</c:v>
                </c:pt>
                <c:pt idx="374">
                  <c:v>28.400000000000137</c:v>
                </c:pt>
                <c:pt idx="375">
                  <c:v>28.500000000000139</c:v>
                </c:pt>
                <c:pt idx="376">
                  <c:v>28.60000000000014</c:v>
                </c:pt>
                <c:pt idx="377">
                  <c:v>28.700000000000141</c:v>
                </c:pt>
                <c:pt idx="378">
                  <c:v>28.800000000000143</c:v>
                </c:pt>
                <c:pt idx="379">
                  <c:v>28.900000000000144</c:v>
                </c:pt>
                <c:pt idx="380">
                  <c:v>29.000000000000146</c:v>
                </c:pt>
                <c:pt idx="381">
                  <c:v>29.100000000000147</c:v>
                </c:pt>
                <c:pt idx="382">
                  <c:v>29.200000000000149</c:v>
                </c:pt>
                <c:pt idx="383">
                  <c:v>29.200100000000148</c:v>
                </c:pt>
                <c:pt idx="384">
                  <c:v>29.200200000000148</c:v>
                </c:pt>
                <c:pt idx="385">
                  <c:v>29.200300000000148</c:v>
                </c:pt>
                <c:pt idx="386">
                  <c:v>29.200400000000148</c:v>
                </c:pt>
                <c:pt idx="387">
                  <c:v>29.200500000000147</c:v>
                </c:pt>
                <c:pt idx="388">
                  <c:v>29.200600000000147</c:v>
                </c:pt>
                <c:pt idx="389">
                  <c:v>29.200700000000147</c:v>
                </c:pt>
                <c:pt idx="390">
                  <c:v>29.200800000000147</c:v>
                </c:pt>
                <c:pt idx="391">
                  <c:v>29.200900000000146</c:v>
                </c:pt>
                <c:pt idx="392">
                  <c:v>29.201000000000146</c:v>
                </c:pt>
                <c:pt idx="393">
                  <c:v>29.201100000000146</c:v>
                </c:pt>
                <c:pt idx="394">
                  <c:v>29.201200000000146</c:v>
                </c:pt>
                <c:pt idx="395">
                  <c:v>29.201300000000145</c:v>
                </c:pt>
                <c:pt idx="396">
                  <c:v>29.201400000000145</c:v>
                </c:pt>
                <c:pt idx="397">
                  <c:v>29.201500000000145</c:v>
                </c:pt>
                <c:pt idx="398">
                  <c:v>29.201600000000145</c:v>
                </c:pt>
                <c:pt idx="399">
                  <c:v>29.201700000000145</c:v>
                </c:pt>
                <c:pt idx="400">
                  <c:v>29.201800000000144</c:v>
                </c:pt>
                <c:pt idx="401">
                  <c:v>29.201900000000144</c:v>
                </c:pt>
                <c:pt idx="402">
                  <c:v>29.202000000000144</c:v>
                </c:pt>
                <c:pt idx="403">
                  <c:v>29.202100000000144</c:v>
                </c:pt>
                <c:pt idx="404">
                  <c:v>29.202200000000143</c:v>
                </c:pt>
                <c:pt idx="405">
                  <c:v>29.202300000000143</c:v>
                </c:pt>
                <c:pt idx="406">
                  <c:v>29.202400000000143</c:v>
                </c:pt>
                <c:pt idx="407">
                  <c:v>29.202500000000143</c:v>
                </c:pt>
                <c:pt idx="408">
                  <c:v>29.202600000000142</c:v>
                </c:pt>
                <c:pt idx="409">
                  <c:v>29.202700000000142</c:v>
                </c:pt>
                <c:pt idx="410">
                  <c:v>29.202800000000142</c:v>
                </c:pt>
                <c:pt idx="411">
                  <c:v>29.202900000000142</c:v>
                </c:pt>
                <c:pt idx="412">
                  <c:v>29.203000000000142</c:v>
                </c:pt>
                <c:pt idx="413">
                  <c:v>29.203100000000141</c:v>
                </c:pt>
                <c:pt idx="414">
                  <c:v>29.203200000000141</c:v>
                </c:pt>
                <c:pt idx="415">
                  <c:v>29.203300000000141</c:v>
                </c:pt>
                <c:pt idx="416">
                  <c:v>29.203400000000141</c:v>
                </c:pt>
                <c:pt idx="417">
                  <c:v>29.20350000000014</c:v>
                </c:pt>
                <c:pt idx="418">
                  <c:v>29.20360000000014</c:v>
                </c:pt>
                <c:pt idx="419">
                  <c:v>29.20370000000014</c:v>
                </c:pt>
                <c:pt idx="420">
                  <c:v>29.20380000000014</c:v>
                </c:pt>
                <c:pt idx="421">
                  <c:v>29.203900000000139</c:v>
                </c:pt>
                <c:pt idx="422">
                  <c:v>29.204000000000139</c:v>
                </c:pt>
                <c:pt idx="423">
                  <c:v>29.204100000000139</c:v>
                </c:pt>
                <c:pt idx="424">
                  <c:v>29.204200000000139</c:v>
                </c:pt>
                <c:pt idx="425">
                  <c:v>29.204300000000138</c:v>
                </c:pt>
                <c:pt idx="426">
                  <c:v>29.204400000000138</c:v>
                </c:pt>
                <c:pt idx="427">
                  <c:v>29.204500000000138</c:v>
                </c:pt>
                <c:pt idx="428">
                  <c:v>29.204600000000138</c:v>
                </c:pt>
                <c:pt idx="429">
                  <c:v>29.204700000000138</c:v>
                </c:pt>
                <c:pt idx="430">
                  <c:v>29.204800000000137</c:v>
                </c:pt>
                <c:pt idx="431">
                  <c:v>29.204900000000137</c:v>
                </c:pt>
                <c:pt idx="432">
                  <c:v>29.205000000000137</c:v>
                </c:pt>
                <c:pt idx="433">
                  <c:v>29.205100000000137</c:v>
                </c:pt>
                <c:pt idx="434">
                  <c:v>29.205200000000136</c:v>
                </c:pt>
                <c:pt idx="435">
                  <c:v>29.205300000000136</c:v>
                </c:pt>
                <c:pt idx="436">
                  <c:v>29.205400000000136</c:v>
                </c:pt>
                <c:pt idx="437">
                  <c:v>29.205500000000136</c:v>
                </c:pt>
                <c:pt idx="438">
                  <c:v>29.205600000000135</c:v>
                </c:pt>
                <c:pt idx="439">
                  <c:v>29.205700000000135</c:v>
                </c:pt>
                <c:pt idx="440">
                  <c:v>29.205800000000135</c:v>
                </c:pt>
                <c:pt idx="441">
                  <c:v>29.205900000000135</c:v>
                </c:pt>
                <c:pt idx="442">
                  <c:v>29.206000000000135</c:v>
                </c:pt>
                <c:pt idx="443">
                  <c:v>29.206100000000134</c:v>
                </c:pt>
                <c:pt idx="444">
                  <c:v>29.206200000000134</c:v>
                </c:pt>
                <c:pt idx="445">
                  <c:v>29.206300000000134</c:v>
                </c:pt>
                <c:pt idx="446">
                  <c:v>29.206400000000134</c:v>
                </c:pt>
                <c:pt idx="447">
                  <c:v>29.206500000000133</c:v>
                </c:pt>
                <c:pt idx="448">
                  <c:v>29.206600000000133</c:v>
                </c:pt>
                <c:pt idx="449">
                  <c:v>29.206700000000133</c:v>
                </c:pt>
                <c:pt idx="450">
                  <c:v>29.206800000000133</c:v>
                </c:pt>
                <c:pt idx="451">
                  <c:v>29.206900000000132</c:v>
                </c:pt>
                <c:pt idx="452">
                  <c:v>29.207000000000132</c:v>
                </c:pt>
                <c:pt idx="453">
                  <c:v>29.207100000000132</c:v>
                </c:pt>
                <c:pt idx="454">
                  <c:v>29.207200000000132</c:v>
                </c:pt>
                <c:pt idx="455">
                  <c:v>29.207300000000131</c:v>
                </c:pt>
                <c:pt idx="456">
                  <c:v>29.207400000000131</c:v>
                </c:pt>
                <c:pt idx="457">
                  <c:v>29.207500000000131</c:v>
                </c:pt>
                <c:pt idx="458">
                  <c:v>29.207600000000131</c:v>
                </c:pt>
                <c:pt idx="459">
                  <c:v>29.207700000000131</c:v>
                </c:pt>
                <c:pt idx="460">
                  <c:v>29.20780000000013</c:v>
                </c:pt>
                <c:pt idx="461">
                  <c:v>29.20790000000013</c:v>
                </c:pt>
                <c:pt idx="462">
                  <c:v>29.20800000000013</c:v>
                </c:pt>
                <c:pt idx="463">
                  <c:v>29.20810000000013</c:v>
                </c:pt>
                <c:pt idx="464">
                  <c:v>29.208200000000129</c:v>
                </c:pt>
                <c:pt idx="465">
                  <c:v>29.208300000000129</c:v>
                </c:pt>
                <c:pt idx="466">
                  <c:v>29.208400000000129</c:v>
                </c:pt>
                <c:pt idx="467">
                  <c:v>29.208500000000129</c:v>
                </c:pt>
                <c:pt idx="468">
                  <c:v>29.208600000000128</c:v>
                </c:pt>
                <c:pt idx="469">
                  <c:v>29.208700000000128</c:v>
                </c:pt>
                <c:pt idx="470">
                  <c:v>29.208800000000128</c:v>
                </c:pt>
                <c:pt idx="471">
                  <c:v>29.208900000000128</c:v>
                </c:pt>
                <c:pt idx="472">
                  <c:v>29.209000000000128</c:v>
                </c:pt>
                <c:pt idx="473">
                  <c:v>29.209100000000127</c:v>
                </c:pt>
                <c:pt idx="474">
                  <c:v>29.209200000000127</c:v>
                </c:pt>
                <c:pt idx="475">
                  <c:v>29.209300000000127</c:v>
                </c:pt>
                <c:pt idx="476">
                  <c:v>29.209400000000127</c:v>
                </c:pt>
                <c:pt idx="477">
                  <c:v>29.209500000000126</c:v>
                </c:pt>
                <c:pt idx="478">
                  <c:v>29.209600000000126</c:v>
                </c:pt>
                <c:pt idx="479">
                  <c:v>29.209700000000126</c:v>
                </c:pt>
                <c:pt idx="480">
                  <c:v>29.209800000000126</c:v>
                </c:pt>
                <c:pt idx="481">
                  <c:v>29.209900000000125</c:v>
                </c:pt>
                <c:pt idx="482">
                  <c:v>29.210000000000125</c:v>
                </c:pt>
                <c:pt idx="483">
                  <c:v>29.210100000000125</c:v>
                </c:pt>
                <c:pt idx="484">
                  <c:v>29.210200000000125</c:v>
                </c:pt>
                <c:pt idx="485">
                  <c:v>29.210300000000124</c:v>
                </c:pt>
                <c:pt idx="486">
                  <c:v>29.210400000000124</c:v>
                </c:pt>
                <c:pt idx="487">
                  <c:v>29.210500000000124</c:v>
                </c:pt>
                <c:pt idx="488">
                  <c:v>29.210600000000124</c:v>
                </c:pt>
                <c:pt idx="489">
                  <c:v>29.210700000000124</c:v>
                </c:pt>
                <c:pt idx="490">
                  <c:v>29.210800000000123</c:v>
                </c:pt>
                <c:pt idx="491">
                  <c:v>29.210900000000123</c:v>
                </c:pt>
                <c:pt idx="492">
                  <c:v>29.211000000000123</c:v>
                </c:pt>
                <c:pt idx="493">
                  <c:v>29.211100000000123</c:v>
                </c:pt>
                <c:pt idx="494">
                  <c:v>29.211200000000122</c:v>
                </c:pt>
                <c:pt idx="495">
                  <c:v>29.211300000000122</c:v>
                </c:pt>
                <c:pt idx="496">
                  <c:v>29.211400000000122</c:v>
                </c:pt>
                <c:pt idx="497">
                  <c:v>29.211500000000122</c:v>
                </c:pt>
                <c:pt idx="498">
                  <c:v>29.211600000000121</c:v>
                </c:pt>
                <c:pt idx="499">
                  <c:v>29.211700000000121</c:v>
                </c:pt>
                <c:pt idx="500">
                  <c:v>29.211800000000121</c:v>
                </c:pt>
                <c:pt idx="501">
                  <c:v>29.211900000000121</c:v>
                </c:pt>
                <c:pt idx="502">
                  <c:v>29.212000000000121</c:v>
                </c:pt>
                <c:pt idx="503">
                  <c:v>29.21210000000012</c:v>
                </c:pt>
                <c:pt idx="504">
                  <c:v>29.21220000000012</c:v>
                </c:pt>
                <c:pt idx="505">
                  <c:v>29.21230000000012</c:v>
                </c:pt>
                <c:pt idx="506">
                  <c:v>29.21240000000012</c:v>
                </c:pt>
                <c:pt idx="507">
                  <c:v>29.212500000000119</c:v>
                </c:pt>
                <c:pt idx="508">
                  <c:v>29.212600000000119</c:v>
                </c:pt>
                <c:pt idx="509">
                  <c:v>29.212700000000119</c:v>
                </c:pt>
                <c:pt idx="510">
                  <c:v>29.212800000000119</c:v>
                </c:pt>
                <c:pt idx="511">
                  <c:v>29.212900000000118</c:v>
                </c:pt>
                <c:pt idx="512">
                  <c:v>29.213000000000118</c:v>
                </c:pt>
                <c:pt idx="513">
                  <c:v>29.213100000000118</c:v>
                </c:pt>
                <c:pt idx="514">
                  <c:v>29.213200000000118</c:v>
                </c:pt>
                <c:pt idx="515">
                  <c:v>29.213300000000118</c:v>
                </c:pt>
                <c:pt idx="516">
                  <c:v>29.213400000000117</c:v>
                </c:pt>
                <c:pt idx="517">
                  <c:v>29.213500000000117</c:v>
                </c:pt>
                <c:pt idx="518">
                  <c:v>29.213600000000117</c:v>
                </c:pt>
                <c:pt idx="519">
                  <c:v>29.213700000000117</c:v>
                </c:pt>
                <c:pt idx="520">
                  <c:v>29.213800000000116</c:v>
                </c:pt>
                <c:pt idx="521">
                  <c:v>29.213900000000116</c:v>
                </c:pt>
                <c:pt idx="522">
                  <c:v>29.214000000000116</c:v>
                </c:pt>
                <c:pt idx="523">
                  <c:v>29.214100000000116</c:v>
                </c:pt>
                <c:pt idx="524">
                  <c:v>29.214200000000115</c:v>
                </c:pt>
                <c:pt idx="525">
                  <c:v>29.214300000000115</c:v>
                </c:pt>
                <c:pt idx="526">
                  <c:v>29.214400000000115</c:v>
                </c:pt>
                <c:pt idx="527">
                  <c:v>29.214500000000115</c:v>
                </c:pt>
                <c:pt idx="528">
                  <c:v>29.214600000000114</c:v>
                </c:pt>
                <c:pt idx="529">
                  <c:v>29.214700000000114</c:v>
                </c:pt>
                <c:pt idx="530">
                  <c:v>29.214800000000114</c:v>
                </c:pt>
                <c:pt idx="531">
                  <c:v>29.214900000000114</c:v>
                </c:pt>
                <c:pt idx="532">
                  <c:v>29.215000000000114</c:v>
                </c:pt>
                <c:pt idx="533">
                  <c:v>29.215100000000113</c:v>
                </c:pt>
                <c:pt idx="534">
                  <c:v>29.215200000000113</c:v>
                </c:pt>
                <c:pt idx="535">
                  <c:v>29.215300000000113</c:v>
                </c:pt>
                <c:pt idx="536">
                  <c:v>29.215400000000113</c:v>
                </c:pt>
                <c:pt idx="537">
                  <c:v>29.215500000000112</c:v>
                </c:pt>
                <c:pt idx="538">
                  <c:v>29.215600000000112</c:v>
                </c:pt>
                <c:pt idx="539">
                  <c:v>29.215700000000112</c:v>
                </c:pt>
                <c:pt idx="540">
                  <c:v>29.215800000000112</c:v>
                </c:pt>
                <c:pt idx="541">
                  <c:v>29.215900000000111</c:v>
                </c:pt>
                <c:pt idx="542">
                  <c:v>29.216000000000111</c:v>
                </c:pt>
                <c:pt idx="543">
                  <c:v>29.216100000000111</c:v>
                </c:pt>
                <c:pt idx="544">
                  <c:v>29.216200000000111</c:v>
                </c:pt>
                <c:pt idx="545">
                  <c:v>29.216300000000111</c:v>
                </c:pt>
                <c:pt idx="546">
                  <c:v>29.21640000000011</c:v>
                </c:pt>
                <c:pt idx="547">
                  <c:v>29.21650000000011</c:v>
                </c:pt>
                <c:pt idx="548">
                  <c:v>29.21660000000011</c:v>
                </c:pt>
                <c:pt idx="549">
                  <c:v>29.21670000000011</c:v>
                </c:pt>
                <c:pt idx="550">
                  <c:v>29.216800000000109</c:v>
                </c:pt>
                <c:pt idx="551">
                  <c:v>29.216900000000109</c:v>
                </c:pt>
                <c:pt idx="552">
                  <c:v>29.217000000000109</c:v>
                </c:pt>
                <c:pt idx="553">
                  <c:v>29.217100000000109</c:v>
                </c:pt>
                <c:pt idx="554">
                  <c:v>29.217200000000108</c:v>
                </c:pt>
                <c:pt idx="555">
                  <c:v>29.217300000000108</c:v>
                </c:pt>
                <c:pt idx="556">
                  <c:v>29.217400000000108</c:v>
                </c:pt>
                <c:pt idx="557">
                  <c:v>29.217500000000108</c:v>
                </c:pt>
                <c:pt idx="558">
                  <c:v>29.217600000000107</c:v>
                </c:pt>
                <c:pt idx="559">
                  <c:v>29.217700000000107</c:v>
                </c:pt>
                <c:pt idx="560">
                  <c:v>29.217800000000107</c:v>
                </c:pt>
                <c:pt idx="561">
                  <c:v>29.217900000000107</c:v>
                </c:pt>
                <c:pt idx="562">
                  <c:v>29.218000000000107</c:v>
                </c:pt>
                <c:pt idx="563">
                  <c:v>29.218100000000106</c:v>
                </c:pt>
                <c:pt idx="564">
                  <c:v>29.218200000000106</c:v>
                </c:pt>
                <c:pt idx="565">
                  <c:v>29.218300000000106</c:v>
                </c:pt>
                <c:pt idx="566">
                  <c:v>29.218400000000106</c:v>
                </c:pt>
                <c:pt idx="567">
                  <c:v>29.218500000000105</c:v>
                </c:pt>
                <c:pt idx="568">
                  <c:v>29.218600000000105</c:v>
                </c:pt>
                <c:pt idx="569">
                  <c:v>29.218700000000105</c:v>
                </c:pt>
                <c:pt idx="570">
                  <c:v>29.218800000000105</c:v>
                </c:pt>
                <c:pt idx="571">
                  <c:v>29.218900000000104</c:v>
                </c:pt>
                <c:pt idx="572">
                  <c:v>29.219000000000104</c:v>
                </c:pt>
                <c:pt idx="573">
                  <c:v>29.219100000000104</c:v>
                </c:pt>
                <c:pt idx="574">
                  <c:v>29.219200000000104</c:v>
                </c:pt>
                <c:pt idx="575">
                  <c:v>29.219300000000104</c:v>
                </c:pt>
                <c:pt idx="576">
                  <c:v>29.219400000000103</c:v>
                </c:pt>
                <c:pt idx="577">
                  <c:v>29.219500000000103</c:v>
                </c:pt>
                <c:pt idx="578">
                  <c:v>29.219600000000103</c:v>
                </c:pt>
                <c:pt idx="579">
                  <c:v>29.219700000000103</c:v>
                </c:pt>
                <c:pt idx="580">
                  <c:v>29.219800000000102</c:v>
                </c:pt>
                <c:pt idx="581">
                  <c:v>29.219900000000102</c:v>
                </c:pt>
                <c:pt idx="582">
                  <c:v>29.220000000000102</c:v>
                </c:pt>
                <c:pt idx="583">
                  <c:v>29.220100000000102</c:v>
                </c:pt>
                <c:pt idx="584">
                  <c:v>29.220200000000101</c:v>
                </c:pt>
                <c:pt idx="585">
                  <c:v>29.220300000000101</c:v>
                </c:pt>
                <c:pt idx="586">
                  <c:v>29.220400000000101</c:v>
                </c:pt>
                <c:pt idx="587">
                  <c:v>29.220500000000101</c:v>
                </c:pt>
                <c:pt idx="588">
                  <c:v>29.2206000000001</c:v>
                </c:pt>
                <c:pt idx="589">
                  <c:v>29.2207000000001</c:v>
                </c:pt>
                <c:pt idx="590">
                  <c:v>29.2208000000001</c:v>
                </c:pt>
                <c:pt idx="591">
                  <c:v>29.2209000000001</c:v>
                </c:pt>
                <c:pt idx="592">
                  <c:v>29.2210000000001</c:v>
                </c:pt>
                <c:pt idx="593">
                  <c:v>29.221100000000099</c:v>
                </c:pt>
                <c:pt idx="594">
                  <c:v>29.221200000000099</c:v>
                </c:pt>
                <c:pt idx="595">
                  <c:v>29.221300000000099</c:v>
                </c:pt>
                <c:pt idx="596">
                  <c:v>29.221400000000099</c:v>
                </c:pt>
                <c:pt idx="597">
                  <c:v>29.221500000000098</c:v>
                </c:pt>
                <c:pt idx="598">
                  <c:v>29.221600000000098</c:v>
                </c:pt>
                <c:pt idx="599">
                  <c:v>29.221700000000098</c:v>
                </c:pt>
                <c:pt idx="600">
                  <c:v>29.221800000000098</c:v>
                </c:pt>
                <c:pt idx="601">
                  <c:v>29.221900000000097</c:v>
                </c:pt>
                <c:pt idx="602">
                  <c:v>29.222000000000097</c:v>
                </c:pt>
                <c:pt idx="603">
                  <c:v>29.222100000000097</c:v>
                </c:pt>
                <c:pt idx="604">
                  <c:v>29.222200000000097</c:v>
                </c:pt>
                <c:pt idx="605">
                  <c:v>29.222300000000097</c:v>
                </c:pt>
                <c:pt idx="606">
                  <c:v>29.222400000000096</c:v>
                </c:pt>
                <c:pt idx="607">
                  <c:v>29.222500000000096</c:v>
                </c:pt>
                <c:pt idx="608">
                  <c:v>29.222600000000096</c:v>
                </c:pt>
                <c:pt idx="609">
                  <c:v>29.222700000000096</c:v>
                </c:pt>
                <c:pt idx="610">
                  <c:v>29.222800000000095</c:v>
                </c:pt>
                <c:pt idx="611">
                  <c:v>29.222900000000095</c:v>
                </c:pt>
                <c:pt idx="612">
                  <c:v>29.223000000000095</c:v>
                </c:pt>
                <c:pt idx="613">
                  <c:v>29.223100000000095</c:v>
                </c:pt>
                <c:pt idx="614">
                  <c:v>29.223200000000094</c:v>
                </c:pt>
                <c:pt idx="615">
                  <c:v>29.223300000000094</c:v>
                </c:pt>
                <c:pt idx="616">
                  <c:v>29.223400000000094</c:v>
                </c:pt>
                <c:pt idx="617">
                  <c:v>29.223500000000094</c:v>
                </c:pt>
                <c:pt idx="618">
                  <c:v>29.223600000000094</c:v>
                </c:pt>
                <c:pt idx="619">
                  <c:v>29.223700000000093</c:v>
                </c:pt>
                <c:pt idx="620">
                  <c:v>29.223800000000093</c:v>
                </c:pt>
                <c:pt idx="621">
                  <c:v>29.223900000000093</c:v>
                </c:pt>
                <c:pt idx="622">
                  <c:v>29.224000000000093</c:v>
                </c:pt>
                <c:pt idx="623">
                  <c:v>29.224100000000092</c:v>
                </c:pt>
                <c:pt idx="624">
                  <c:v>29.224200000000092</c:v>
                </c:pt>
                <c:pt idx="625">
                  <c:v>29.224300000000092</c:v>
                </c:pt>
                <c:pt idx="626">
                  <c:v>29.224400000000092</c:v>
                </c:pt>
                <c:pt idx="627">
                  <c:v>29.224500000000091</c:v>
                </c:pt>
                <c:pt idx="628">
                  <c:v>29.224600000000091</c:v>
                </c:pt>
                <c:pt idx="629">
                  <c:v>29.224700000000091</c:v>
                </c:pt>
                <c:pt idx="630">
                  <c:v>29.224800000000091</c:v>
                </c:pt>
                <c:pt idx="631">
                  <c:v>29.22490000000009</c:v>
                </c:pt>
                <c:pt idx="632">
                  <c:v>29.22500000000009</c:v>
                </c:pt>
                <c:pt idx="633">
                  <c:v>29.22510000000009</c:v>
                </c:pt>
                <c:pt idx="634">
                  <c:v>29.22520000000009</c:v>
                </c:pt>
                <c:pt idx="635">
                  <c:v>29.22530000000009</c:v>
                </c:pt>
                <c:pt idx="636">
                  <c:v>29.225400000000089</c:v>
                </c:pt>
                <c:pt idx="637">
                  <c:v>29.225500000000089</c:v>
                </c:pt>
                <c:pt idx="638">
                  <c:v>29.225600000000089</c:v>
                </c:pt>
                <c:pt idx="639">
                  <c:v>29.225700000000089</c:v>
                </c:pt>
                <c:pt idx="640">
                  <c:v>29.225800000000088</c:v>
                </c:pt>
                <c:pt idx="641">
                  <c:v>29.225900000000088</c:v>
                </c:pt>
                <c:pt idx="642">
                  <c:v>29.226000000000088</c:v>
                </c:pt>
                <c:pt idx="643">
                  <c:v>29.226100000000088</c:v>
                </c:pt>
                <c:pt idx="644">
                  <c:v>29.226200000000087</c:v>
                </c:pt>
                <c:pt idx="645">
                  <c:v>29.226300000000087</c:v>
                </c:pt>
                <c:pt idx="646">
                  <c:v>29.226400000000087</c:v>
                </c:pt>
                <c:pt idx="647">
                  <c:v>29.226500000000087</c:v>
                </c:pt>
                <c:pt idx="648">
                  <c:v>29.226600000000087</c:v>
                </c:pt>
                <c:pt idx="649">
                  <c:v>29.226700000000086</c:v>
                </c:pt>
                <c:pt idx="650">
                  <c:v>29.226800000000086</c:v>
                </c:pt>
                <c:pt idx="651">
                  <c:v>29.226900000000086</c:v>
                </c:pt>
                <c:pt idx="652">
                  <c:v>29.227000000000086</c:v>
                </c:pt>
                <c:pt idx="653">
                  <c:v>29.227100000000085</c:v>
                </c:pt>
                <c:pt idx="654">
                  <c:v>29.227200000000085</c:v>
                </c:pt>
                <c:pt idx="655">
                  <c:v>29.227300000000085</c:v>
                </c:pt>
                <c:pt idx="656">
                  <c:v>29.227400000000085</c:v>
                </c:pt>
                <c:pt idx="657">
                  <c:v>29.227500000000084</c:v>
                </c:pt>
                <c:pt idx="658">
                  <c:v>29.227600000000084</c:v>
                </c:pt>
                <c:pt idx="659">
                  <c:v>29.227700000000084</c:v>
                </c:pt>
                <c:pt idx="660">
                  <c:v>29.227800000000084</c:v>
                </c:pt>
                <c:pt idx="661">
                  <c:v>29.227900000000083</c:v>
                </c:pt>
                <c:pt idx="662">
                  <c:v>29.228000000000083</c:v>
                </c:pt>
                <c:pt idx="663">
                  <c:v>29.228100000000083</c:v>
                </c:pt>
                <c:pt idx="664">
                  <c:v>29.228200000000083</c:v>
                </c:pt>
                <c:pt idx="665">
                  <c:v>29.228300000000083</c:v>
                </c:pt>
                <c:pt idx="666">
                  <c:v>29.228400000000082</c:v>
                </c:pt>
                <c:pt idx="667">
                  <c:v>29.228500000000082</c:v>
                </c:pt>
                <c:pt idx="668">
                  <c:v>29.228600000000082</c:v>
                </c:pt>
                <c:pt idx="669">
                  <c:v>29.228700000000082</c:v>
                </c:pt>
                <c:pt idx="670">
                  <c:v>29.228800000000081</c:v>
                </c:pt>
                <c:pt idx="671">
                  <c:v>29.228900000000081</c:v>
                </c:pt>
                <c:pt idx="672">
                  <c:v>29.229000000000081</c:v>
                </c:pt>
                <c:pt idx="673">
                  <c:v>29.229100000000081</c:v>
                </c:pt>
                <c:pt idx="674">
                  <c:v>29.22920000000008</c:v>
                </c:pt>
                <c:pt idx="675">
                  <c:v>29.22930000000008</c:v>
                </c:pt>
                <c:pt idx="676">
                  <c:v>29.22940000000008</c:v>
                </c:pt>
                <c:pt idx="677">
                  <c:v>29.22950000000008</c:v>
                </c:pt>
                <c:pt idx="678">
                  <c:v>29.22960000000008</c:v>
                </c:pt>
                <c:pt idx="679">
                  <c:v>29.229700000000079</c:v>
                </c:pt>
                <c:pt idx="680">
                  <c:v>29.229800000000079</c:v>
                </c:pt>
                <c:pt idx="681">
                  <c:v>29.229900000000079</c:v>
                </c:pt>
                <c:pt idx="682">
                  <c:v>29.230000000000079</c:v>
                </c:pt>
                <c:pt idx="683">
                  <c:v>29.230100000000078</c:v>
                </c:pt>
                <c:pt idx="684">
                  <c:v>29.230200000000078</c:v>
                </c:pt>
                <c:pt idx="685">
                  <c:v>29.230300000000078</c:v>
                </c:pt>
                <c:pt idx="686">
                  <c:v>29.230400000000078</c:v>
                </c:pt>
                <c:pt idx="687">
                  <c:v>29.230500000000077</c:v>
                </c:pt>
                <c:pt idx="688">
                  <c:v>29.230600000000077</c:v>
                </c:pt>
                <c:pt idx="689">
                  <c:v>29.230700000000077</c:v>
                </c:pt>
                <c:pt idx="690">
                  <c:v>29.230800000000077</c:v>
                </c:pt>
                <c:pt idx="691">
                  <c:v>29.230900000000076</c:v>
                </c:pt>
                <c:pt idx="692">
                  <c:v>29.231000000000076</c:v>
                </c:pt>
                <c:pt idx="693">
                  <c:v>29.231100000000076</c:v>
                </c:pt>
                <c:pt idx="694">
                  <c:v>29.231200000000076</c:v>
                </c:pt>
                <c:pt idx="695">
                  <c:v>29.231300000000076</c:v>
                </c:pt>
                <c:pt idx="696">
                  <c:v>29.231400000000075</c:v>
                </c:pt>
                <c:pt idx="697">
                  <c:v>29.231500000000075</c:v>
                </c:pt>
                <c:pt idx="698">
                  <c:v>29.231600000000075</c:v>
                </c:pt>
                <c:pt idx="699">
                  <c:v>29.231700000000075</c:v>
                </c:pt>
                <c:pt idx="700">
                  <c:v>29.231800000000074</c:v>
                </c:pt>
                <c:pt idx="701">
                  <c:v>29.231900000000074</c:v>
                </c:pt>
                <c:pt idx="702">
                  <c:v>29.232000000000074</c:v>
                </c:pt>
                <c:pt idx="703">
                  <c:v>29.232100000000074</c:v>
                </c:pt>
                <c:pt idx="704">
                  <c:v>29.232200000000073</c:v>
                </c:pt>
                <c:pt idx="705">
                  <c:v>29.232300000000073</c:v>
                </c:pt>
                <c:pt idx="706">
                  <c:v>29.232400000000073</c:v>
                </c:pt>
                <c:pt idx="707">
                  <c:v>29.232500000000073</c:v>
                </c:pt>
                <c:pt idx="708">
                  <c:v>29.232600000000073</c:v>
                </c:pt>
                <c:pt idx="709">
                  <c:v>29.232700000000072</c:v>
                </c:pt>
                <c:pt idx="710">
                  <c:v>29.232800000000072</c:v>
                </c:pt>
                <c:pt idx="711">
                  <c:v>29.232900000000072</c:v>
                </c:pt>
                <c:pt idx="712">
                  <c:v>29.233000000000072</c:v>
                </c:pt>
                <c:pt idx="713">
                  <c:v>29.233100000000071</c:v>
                </c:pt>
                <c:pt idx="714">
                  <c:v>29.233200000000071</c:v>
                </c:pt>
                <c:pt idx="715">
                  <c:v>29.233300000000071</c:v>
                </c:pt>
                <c:pt idx="716">
                  <c:v>29.233400000000071</c:v>
                </c:pt>
                <c:pt idx="717">
                  <c:v>29.23350000000007</c:v>
                </c:pt>
                <c:pt idx="718">
                  <c:v>29.23360000000007</c:v>
                </c:pt>
                <c:pt idx="719">
                  <c:v>29.23370000000007</c:v>
                </c:pt>
                <c:pt idx="720">
                  <c:v>29.23380000000007</c:v>
                </c:pt>
                <c:pt idx="721">
                  <c:v>29.233900000000069</c:v>
                </c:pt>
                <c:pt idx="722">
                  <c:v>29.234000000000069</c:v>
                </c:pt>
                <c:pt idx="723">
                  <c:v>29.234100000000069</c:v>
                </c:pt>
                <c:pt idx="724">
                  <c:v>29.234200000000069</c:v>
                </c:pt>
                <c:pt idx="725">
                  <c:v>29.234300000000069</c:v>
                </c:pt>
                <c:pt idx="726">
                  <c:v>29.234400000000068</c:v>
                </c:pt>
                <c:pt idx="727">
                  <c:v>29.234500000000068</c:v>
                </c:pt>
                <c:pt idx="728">
                  <c:v>29.234600000000068</c:v>
                </c:pt>
                <c:pt idx="729">
                  <c:v>29.234700000000068</c:v>
                </c:pt>
                <c:pt idx="730">
                  <c:v>29.234800000000067</c:v>
                </c:pt>
                <c:pt idx="731">
                  <c:v>29.234900000000067</c:v>
                </c:pt>
                <c:pt idx="732">
                  <c:v>29.235000000000067</c:v>
                </c:pt>
                <c:pt idx="733">
                  <c:v>29.235100000000067</c:v>
                </c:pt>
                <c:pt idx="734">
                  <c:v>29.235200000000066</c:v>
                </c:pt>
                <c:pt idx="735">
                  <c:v>29.235300000000066</c:v>
                </c:pt>
                <c:pt idx="736">
                  <c:v>29.235400000000066</c:v>
                </c:pt>
                <c:pt idx="737">
                  <c:v>29.235500000000066</c:v>
                </c:pt>
                <c:pt idx="738">
                  <c:v>29.235600000000066</c:v>
                </c:pt>
                <c:pt idx="739">
                  <c:v>29.235700000000065</c:v>
                </c:pt>
                <c:pt idx="740">
                  <c:v>29.235800000000065</c:v>
                </c:pt>
                <c:pt idx="741">
                  <c:v>29.235900000000065</c:v>
                </c:pt>
                <c:pt idx="742">
                  <c:v>29.236000000000065</c:v>
                </c:pt>
                <c:pt idx="743">
                  <c:v>29.236100000000064</c:v>
                </c:pt>
                <c:pt idx="744">
                  <c:v>29.236200000000064</c:v>
                </c:pt>
                <c:pt idx="745">
                  <c:v>29.236300000000064</c:v>
                </c:pt>
                <c:pt idx="746">
                  <c:v>29.236400000000064</c:v>
                </c:pt>
                <c:pt idx="747">
                  <c:v>29.236500000000063</c:v>
                </c:pt>
                <c:pt idx="748">
                  <c:v>29.236600000000063</c:v>
                </c:pt>
                <c:pt idx="749">
                  <c:v>29.236700000000063</c:v>
                </c:pt>
                <c:pt idx="750">
                  <c:v>29.236800000000063</c:v>
                </c:pt>
                <c:pt idx="751">
                  <c:v>29.236900000000063</c:v>
                </c:pt>
                <c:pt idx="752">
                  <c:v>29.237000000000062</c:v>
                </c:pt>
                <c:pt idx="753">
                  <c:v>29.237100000000062</c:v>
                </c:pt>
                <c:pt idx="754">
                  <c:v>29.237200000000062</c:v>
                </c:pt>
                <c:pt idx="755">
                  <c:v>29.237300000000062</c:v>
                </c:pt>
                <c:pt idx="756">
                  <c:v>29.237400000000061</c:v>
                </c:pt>
                <c:pt idx="757">
                  <c:v>29.237500000000061</c:v>
                </c:pt>
                <c:pt idx="758">
                  <c:v>29.237600000000061</c:v>
                </c:pt>
                <c:pt idx="759">
                  <c:v>29.237700000000061</c:v>
                </c:pt>
                <c:pt idx="760">
                  <c:v>29.23780000000006</c:v>
                </c:pt>
                <c:pt idx="761">
                  <c:v>29.23790000000006</c:v>
                </c:pt>
                <c:pt idx="762">
                  <c:v>29.23800000000006</c:v>
                </c:pt>
                <c:pt idx="763">
                  <c:v>29.23810000000006</c:v>
                </c:pt>
                <c:pt idx="764">
                  <c:v>29.238200000000059</c:v>
                </c:pt>
                <c:pt idx="765">
                  <c:v>29.238300000000059</c:v>
                </c:pt>
                <c:pt idx="766">
                  <c:v>29.238400000000059</c:v>
                </c:pt>
                <c:pt idx="767">
                  <c:v>29.238500000000059</c:v>
                </c:pt>
                <c:pt idx="768">
                  <c:v>29.238600000000059</c:v>
                </c:pt>
                <c:pt idx="769">
                  <c:v>29.238700000000058</c:v>
                </c:pt>
                <c:pt idx="770">
                  <c:v>29.238800000000058</c:v>
                </c:pt>
                <c:pt idx="771">
                  <c:v>29.238900000000058</c:v>
                </c:pt>
                <c:pt idx="772">
                  <c:v>29.239000000000058</c:v>
                </c:pt>
                <c:pt idx="773">
                  <c:v>29.239100000000057</c:v>
                </c:pt>
                <c:pt idx="774">
                  <c:v>29.239200000000057</c:v>
                </c:pt>
                <c:pt idx="775">
                  <c:v>29.239300000000057</c:v>
                </c:pt>
                <c:pt idx="776">
                  <c:v>29.239400000000057</c:v>
                </c:pt>
                <c:pt idx="777">
                  <c:v>29.239500000000056</c:v>
                </c:pt>
                <c:pt idx="778">
                  <c:v>29.239600000000056</c:v>
                </c:pt>
                <c:pt idx="779">
                  <c:v>29.239700000000056</c:v>
                </c:pt>
                <c:pt idx="780">
                  <c:v>29.239800000000056</c:v>
                </c:pt>
                <c:pt idx="781">
                  <c:v>29.239900000000056</c:v>
                </c:pt>
                <c:pt idx="782">
                  <c:v>29.240000000000055</c:v>
                </c:pt>
                <c:pt idx="783">
                  <c:v>29.240100000000055</c:v>
                </c:pt>
                <c:pt idx="784">
                  <c:v>29.240200000000055</c:v>
                </c:pt>
                <c:pt idx="785">
                  <c:v>29.240300000000055</c:v>
                </c:pt>
                <c:pt idx="786">
                  <c:v>29.240400000000054</c:v>
                </c:pt>
                <c:pt idx="787">
                  <c:v>29.240500000000054</c:v>
                </c:pt>
                <c:pt idx="788">
                  <c:v>29.240600000000054</c:v>
                </c:pt>
                <c:pt idx="789">
                  <c:v>29.240700000000054</c:v>
                </c:pt>
                <c:pt idx="790">
                  <c:v>29.240800000000053</c:v>
                </c:pt>
                <c:pt idx="791">
                  <c:v>29.240900000000053</c:v>
                </c:pt>
                <c:pt idx="792">
                  <c:v>29.241000000000053</c:v>
                </c:pt>
                <c:pt idx="793">
                  <c:v>29.241100000000053</c:v>
                </c:pt>
                <c:pt idx="794">
                  <c:v>29.241200000000052</c:v>
                </c:pt>
                <c:pt idx="795">
                  <c:v>29.241300000000052</c:v>
                </c:pt>
                <c:pt idx="796">
                  <c:v>29.241400000000052</c:v>
                </c:pt>
                <c:pt idx="797">
                  <c:v>29.241500000000052</c:v>
                </c:pt>
                <c:pt idx="798">
                  <c:v>29.241600000000052</c:v>
                </c:pt>
                <c:pt idx="799">
                  <c:v>29.241700000000051</c:v>
                </c:pt>
                <c:pt idx="800">
                  <c:v>29.241800000000051</c:v>
                </c:pt>
                <c:pt idx="801">
                  <c:v>29.241900000000051</c:v>
                </c:pt>
                <c:pt idx="802">
                  <c:v>29.242000000000051</c:v>
                </c:pt>
                <c:pt idx="803">
                  <c:v>29.24210000000005</c:v>
                </c:pt>
                <c:pt idx="804">
                  <c:v>29.24220000000005</c:v>
                </c:pt>
                <c:pt idx="805">
                  <c:v>29.24230000000005</c:v>
                </c:pt>
                <c:pt idx="806">
                  <c:v>29.24240000000005</c:v>
                </c:pt>
                <c:pt idx="807">
                  <c:v>29.242500000000049</c:v>
                </c:pt>
                <c:pt idx="808">
                  <c:v>29.242600000000049</c:v>
                </c:pt>
                <c:pt idx="809">
                  <c:v>29.242700000000049</c:v>
                </c:pt>
                <c:pt idx="810">
                  <c:v>29.242800000000049</c:v>
                </c:pt>
                <c:pt idx="811">
                  <c:v>29.242900000000049</c:v>
                </c:pt>
                <c:pt idx="812">
                  <c:v>29.243000000000048</c:v>
                </c:pt>
                <c:pt idx="813">
                  <c:v>29.243100000000048</c:v>
                </c:pt>
                <c:pt idx="814">
                  <c:v>29.243200000000048</c:v>
                </c:pt>
                <c:pt idx="815">
                  <c:v>29.243300000000048</c:v>
                </c:pt>
                <c:pt idx="816">
                  <c:v>29.243400000000047</c:v>
                </c:pt>
                <c:pt idx="817">
                  <c:v>29.243500000000047</c:v>
                </c:pt>
                <c:pt idx="818">
                  <c:v>29.243600000000047</c:v>
                </c:pt>
                <c:pt idx="819">
                  <c:v>29.243700000000047</c:v>
                </c:pt>
                <c:pt idx="820">
                  <c:v>29.243800000000046</c:v>
                </c:pt>
                <c:pt idx="821">
                  <c:v>29.243900000000046</c:v>
                </c:pt>
                <c:pt idx="822">
                  <c:v>29.244000000000046</c:v>
                </c:pt>
                <c:pt idx="823">
                  <c:v>29.244100000000046</c:v>
                </c:pt>
                <c:pt idx="824">
                  <c:v>29.244200000000045</c:v>
                </c:pt>
                <c:pt idx="825">
                  <c:v>29.244300000000045</c:v>
                </c:pt>
                <c:pt idx="826">
                  <c:v>29.244400000000045</c:v>
                </c:pt>
                <c:pt idx="827">
                  <c:v>29.244500000000045</c:v>
                </c:pt>
                <c:pt idx="828">
                  <c:v>29.244600000000045</c:v>
                </c:pt>
                <c:pt idx="829">
                  <c:v>29.244700000000044</c:v>
                </c:pt>
                <c:pt idx="830">
                  <c:v>29.244800000000044</c:v>
                </c:pt>
                <c:pt idx="831">
                  <c:v>29.244900000000044</c:v>
                </c:pt>
                <c:pt idx="832">
                  <c:v>29.245000000000044</c:v>
                </c:pt>
                <c:pt idx="833">
                  <c:v>29.245100000000043</c:v>
                </c:pt>
                <c:pt idx="834">
                  <c:v>29.245200000000043</c:v>
                </c:pt>
                <c:pt idx="835">
                  <c:v>29.245300000000043</c:v>
                </c:pt>
                <c:pt idx="836">
                  <c:v>29.245400000000043</c:v>
                </c:pt>
                <c:pt idx="837">
                  <c:v>29.245500000000042</c:v>
                </c:pt>
                <c:pt idx="838">
                  <c:v>29.245600000000042</c:v>
                </c:pt>
                <c:pt idx="839">
                  <c:v>29.245700000000042</c:v>
                </c:pt>
                <c:pt idx="840">
                  <c:v>29.245800000000042</c:v>
                </c:pt>
                <c:pt idx="841">
                  <c:v>29.245900000000042</c:v>
                </c:pt>
                <c:pt idx="842">
                  <c:v>29.246000000000041</c:v>
                </c:pt>
                <c:pt idx="843">
                  <c:v>29.246100000000041</c:v>
                </c:pt>
                <c:pt idx="844">
                  <c:v>29.246200000000041</c:v>
                </c:pt>
                <c:pt idx="845">
                  <c:v>29.246300000000041</c:v>
                </c:pt>
                <c:pt idx="846">
                  <c:v>29.24640000000004</c:v>
                </c:pt>
                <c:pt idx="847">
                  <c:v>29.24650000000004</c:v>
                </c:pt>
                <c:pt idx="848">
                  <c:v>29.24660000000004</c:v>
                </c:pt>
                <c:pt idx="849">
                  <c:v>29.24670000000004</c:v>
                </c:pt>
                <c:pt idx="850">
                  <c:v>29.246800000000039</c:v>
                </c:pt>
                <c:pt idx="851">
                  <c:v>29.246900000000039</c:v>
                </c:pt>
                <c:pt idx="852">
                  <c:v>29.247000000000039</c:v>
                </c:pt>
                <c:pt idx="853">
                  <c:v>29.247100000000039</c:v>
                </c:pt>
                <c:pt idx="854">
                  <c:v>29.247200000000039</c:v>
                </c:pt>
                <c:pt idx="855">
                  <c:v>29.247300000000038</c:v>
                </c:pt>
                <c:pt idx="856">
                  <c:v>29.247400000000038</c:v>
                </c:pt>
                <c:pt idx="857">
                  <c:v>29.247500000000038</c:v>
                </c:pt>
                <c:pt idx="858">
                  <c:v>29.247600000000038</c:v>
                </c:pt>
                <c:pt idx="859">
                  <c:v>29.247700000000037</c:v>
                </c:pt>
                <c:pt idx="860">
                  <c:v>29.247800000000037</c:v>
                </c:pt>
                <c:pt idx="861">
                  <c:v>29.247900000000037</c:v>
                </c:pt>
                <c:pt idx="862">
                  <c:v>29.248000000000037</c:v>
                </c:pt>
                <c:pt idx="863">
                  <c:v>29.248100000000036</c:v>
                </c:pt>
                <c:pt idx="864">
                  <c:v>29.248200000000036</c:v>
                </c:pt>
                <c:pt idx="865">
                  <c:v>29.248300000000036</c:v>
                </c:pt>
                <c:pt idx="866">
                  <c:v>29.248400000000036</c:v>
                </c:pt>
                <c:pt idx="867">
                  <c:v>29.248500000000035</c:v>
                </c:pt>
                <c:pt idx="868">
                  <c:v>29.248600000000035</c:v>
                </c:pt>
                <c:pt idx="869">
                  <c:v>29.248700000000035</c:v>
                </c:pt>
                <c:pt idx="870">
                  <c:v>29.248800000000035</c:v>
                </c:pt>
                <c:pt idx="871">
                  <c:v>29.248900000000035</c:v>
                </c:pt>
                <c:pt idx="872">
                  <c:v>29.249000000000034</c:v>
                </c:pt>
                <c:pt idx="873">
                  <c:v>29.249100000000034</c:v>
                </c:pt>
                <c:pt idx="874">
                  <c:v>29.249200000000034</c:v>
                </c:pt>
                <c:pt idx="875">
                  <c:v>29.249300000000034</c:v>
                </c:pt>
                <c:pt idx="876">
                  <c:v>29.249400000000033</c:v>
                </c:pt>
                <c:pt idx="877">
                  <c:v>29.249500000000033</c:v>
                </c:pt>
                <c:pt idx="878">
                  <c:v>29.249600000000033</c:v>
                </c:pt>
                <c:pt idx="879">
                  <c:v>29.249700000000033</c:v>
                </c:pt>
                <c:pt idx="880">
                  <c:v>29.249800000000032</c:v>
                </c:pt>
                <c:pt idx="881">
                  <c:v>29.249900000000032</c:v>
                </c:pt>
                <c:pt idx="882">
                  <c:v>29.250000000000032</c:v>
                </c:pt>
                <c:pt idx="883">
                  <c:v>29.250100000000032</c:v>
                </c:pt>
                <c:pt idx="884">
                  <c:v>29.250200000000032</c:v>
                </c:pt>
                <c:pt idx="885">
                  <c:v>29.250300000000031</c:v>
                </c:pt>
                <c:pt idx="886">
                  <c:v>29.250400000000031</c:v>
                </c:pt>
                <c:pt idx="887">
                  <c:v>29.250500000000031</c:v>
                </c:pt>
                <c:pt idx="888">
                  <c:v>29.250600000000031</c:v>
                </c:pt>
                <c:pt idx="889">
                  <c:v>29.25070000000003</c:v>
                </c:pt>
                <c:pt idx="890">
                  <c:v>29.25080000000003</c:v>
                </c:pt>
                <c:pt idx="891">
                  <c:v>29.25090000000003</c:v>
                </c:pt>
                <c:pt idx="892">
                  <c:v>29.25100000000003</c:v>
                </c:pt>
                <c:pt idx="893">
                  <c:v>29.251100000000029</c:v>
                </c:pt>
                <c:pt idx="894">
                  <c:v>29.251200000000029</c:v>
                </c:pt>
                <c:pt idx="895">
                  <c:v>29.251300000000029</c:v>
                </c:pt>
                <c:pt idx="896">
                  <c:v>29.251400000000029</c:v>
                </c:pt>
                <c:pt idx="897">
                  <c:v>29.251500000000028</c:v>
                </c:pt>
                <c:pt idx="898">
                  <c:v>29.251600000000028</c:v>
                </c:pt>
                <c:pt idx="899">
                  <c:v>29.251700000000028</c:v>
                </c:pt>
                <c:pt idx="900">
                  <c:v>29.251800000000028</c:v>
                </c:pt>
                <c:pt idx="901">
                  <c:v>29.251900000000028</c:v>
                </c:pt>
                <c:pt idx="902">
                  <c:v>29.252000000000027</c:v>
                </c:pt>
                <c:pt idx="903">
                  <c:v>29.252100000000027</c:v>
                </c:pt>
                <c:pt idx="904">
                  <c:v>29.252200000000027</c:v>
                </c:pt>
                <c:pt idx="905">
                  <c:v>29.252300000000027</c:v>
                </c:pt>
                <c:pt idx="906">
                  <c:v>29.252400000000026</c:v>
                </c:pt>
                <c:pt idx="907">
                  <c:v>29.252500000000026</c:v>
                </c:pt>
                <c:pt idx="908">
                  <c:v>29.252600000000026</c:v>
                </c:pt>
                <c:pt idx="909">
                  <c:v>29.252700000000026</c:v>
                </c:pt>
                <c:pt idx="910">
                  <c:v>29.252800000000025</c:v>
                </c:pt>
                <c:pt idx="911">
                  <c:v>29.252900000000025</c:v>
                </c:pt>
                <c:pt idx="912">
                  <c:v>29.253000000000025</c:v>
                </c:pt>
                <c:pt idx="913">
                  <c:v>29.253100000000025</c:v>
                </c:pt>
                <c:pt idx="914">
                  <c:v>29.253200000000025</c:v>
                </c:pt>
                <c:pt idx="915">
                  <c:v>29.253300000000024</c:v>
                </c:pt>
                <c:pt idx="916">
                  <c:v>29.253400000000024</c:v>
                </c:pt>
                <c:pt idx="917">
                  <c:v>29.253500000000024</c:v>
                </c:pt>
                <c:pt idx="918">
                  <c:v>29.253600000000024</c:v>
                </c:pt>
                <c:pt idx="919">
                  <c:v>29.253700000000023</c:v>
                </c:pt>
                <c:pt idx="920">
                  <c:v>29.253800000000023</c:v>
                </c:pt>
                <c:pt idx="921">
                  <c:v>29.253900000000023</c:v>
                </c:pt>
                <c:pt idx="922">
                  <c:v>29.254000000000023</c:v>
                </c:pt>
                <c:pt idx="923">
                  <c:v>29.254100000000022</c:v>
                </c:pt>
                <c:pt idx="924">
                  <c:v>29.254200000000022</c:v>
                </c:pt>
                <c:pt idx="925">
                  <c:v>29.254300000000022</c:v>
                </c:pt>
                <c:pt idx="926">
                  <c:v>29.254400000000022</c:v>
                </c:pt>
                <c:pt idx="927">
                  <c:v>29.254500000000021</c:v>
                </c:pt>
                <c:pt idx="928">
                  <c:v>29.254600000000021</c:v>
                </c:pt>
                <c:pt idx="929">
                  <c:v>29.254700000000021</c:v>
                </c:pt>
                <c:pt idx="930">
                  <c:v>29.254800000000021</c:v>
                </c:pt>
                <c:pt idx="931">
                  <c:v>29.254900000000021</c:v>
                </c:pt>
                <c:pt idx="932">
                  <c:v>29.25500000000002</c:v>
                </c:pt>
                <c:pt idx="933">
                  <c:v>29.25510000000002</c:v>
                </c:pt>
                <c:pt idx="934">
                  <c:v>29.25520000000002</c:v>
                </c:pt>
                <c:pt idx="935">
                  <c:v>29.25530000000002</c:v>
                </c:pt>
                <c:pt idx="936">
                  <c:v>29.255400000000019</c:v>
                </c:pt>
                <c:pt idx="937">
                  <c:v>29.255500000000019</c:v>
                </c:pt>
                <c:pt idx="938">
                  <c:v>29.255600000000019</c:v>
                </c:pt>
                <c:pt idx="939">
                  <c:v>29.255700000000019</c:v>
                </c:pt>
                <c:pt idx="940">
                  <c:v>29.255800000000018</c:v>
                </c:pt>
                <c:pt idx="941">
                  <c:v>29.255900000000018</c:v>
                </c:pt>
                <c:pt idx="942">
                  <c:v>29.256000000000018</c:v>
                </c:pt>
                <c:pt idx="943">
                  <c:v>29.256100000000018</c:v>
                </c:pt>
                <c:pt idx="944">
                  <c:v>29.256200000000018</c:v>
                </c:pt>
                <c:pt idx="945">
                  <c:v>29.256300000000017</c:v>
                </c:pt>
                <c:pt idx="946">
                  <c:v>29.256400000000017</c:v>
                </c:pt>
                <c:pt idx="947">
                  <c:v>29.256500000000017</c:v>
                </c:pt>
                <c:pt idx="948">
                  <c:v>29.256600000000017</c:v>
                </c:pt>
                <c:pt idx="949">
                  <c:v>29.256700000000016</c:v>
                </c:pt>
                <c:pt idx="950">
                  <c:v>29.256800000000016</c:v>
                </c:pt>
                <c:pt idx="951">
                  <c:v>29.256900000000016</c:v>
                </c:pt>
                <c:pt idx="952">
                  <c:v>29.257000000000016</c:v>
                </c:pt>
                <c:pt idx="953">
                  <c:v>29.257100000000015</c:v>
                </c:pt>
                <c:pt idx="954">
                  <c:v>29.257200000000015</c:v>
                </c:pt>
                <c:pt idx="955">
                  <c:v>29.257300000000015</c:v>
                </c:pt>
                <c:pt idx="956">
                  <c:v>29.257400000000015</c:v>
                </c:pt>
                <c:pt idx="957">
                  <c:v>29.257500000000014</c:v>
                </c:pt>
                <c:pt idx="958">
                  <c:v>29.257600000000014</c:v>
                </c:pt>
                <c:pt idx="959">
                  <c:v>29.257700000000014</c:v>
                </c:pt>
                <c:pt idx="960">
                  <c:v>29.257800000000014</c:v>
                </c:pt>
                <c:pt idx="961">
                  <c:v>29.257900000000014</c:v>
                </c:pt>
                <c:pt idx="962">
                  <c:v>29.258000000000013</c:v>
                </c:pt>
                <c:pt idx="963">
                  <c:v>29.258100000000013</c:v>
                </c:pt>
                <c:pt idx="964">
                  <c:v>29.258200000000013</c:v>
                </c:pt>
                <c:pt idx="965">
                  <c:v>29.258300000000013</c:v>
                </c:pt>
                <c:pt idx="966">
                  <c:v>29.258400000000012</c:v>
                </c:pt>
                <c:pt idx="967">
                  <c:v>29.258500000000012</c:v>
                </c:pt>
                <c:pt idx="968">
                  <c:v>29.258600000000012</c:v>
                </c:pt>
                <c:pt idx="969">
                  <c:v>29.258700000000012</c:v>
                </c:pt>
                <c:pt idx="970">
                  <c:v>29.258800000000011</c:v>
                </c:pt>
                <c:pt idx="971">
                  <c:v>29.258900000000011</c:v>
                </c:pt>
                <c:pt idx="972">
                  <c:v>29.259000000000011</c:v>
                </c:pt>
                <c:pt idx="973">
                  <c:v>29.259100000000011</c:v>
                </c:pt>
                <c:pt idx="974">
                  <c:v>29.259200000000011</c:v>
                </c:pt>
                <c:pt idx="975">
                  <c:v>29.25930000000001</c:v>
                </c:pt>
                <c:pt idx="976">
                  <c:v>29.25940000000001</c:v>
                </c:pt>
                <c:pt idx="977">
                  <c:v>29.25950000000001</c:v>
                </c:pt>
                <c:pt idx="978">
                  <c:v>29.25960000000001</c:v>
                </c:pt>
                <c:pt idx="979">
                  <c:v>29.259700000000009</c:v>
                </c:pt>
                <c:pt idx="980">
                  <c:v>29.259800000000009</c:v>
                </c:pt>
                <c:pt idx="981">
                  <c:v>29.259900000000009</c:v>
                </c:pt>
                <c:pt idx="982">
                  <c:v>29.260000000000009</c:v>
                </c:pt>
                <c:pt idx="983">
                  <c:v>29.260100000000008</c:v>
                </c:pt>
                <c:pt idx="984">
                  <c:v>29.260200000000008</c:v>
                </c:pt>
                <c:pt idx="985">
                  <c:v>29.260300000000008</c:v>
                </c:pt>
                <c:pt idx="986">
                  <c:v>29.260400000000008</c:v>
                </c:pt>
                <c:pt idx="987">
                  <c:v>29.260500000000008</c:v>
                </c:pt>
                <c:pt idx="988">
                  <c:v>29.260600000000007</c:v>
                </c:pt>
                <c:pt idx="989">
                  <c:v>29.260700000000007</c:v>
                </c:pt>
                <c:pt idx="990">
                  <c:v>29.260800000000007</c:v>
                </c:pt>
                <c:pt idx="991">
                  <c:v>29.260900000000007</c:v>
                </c:pt>
                <c:pt idx="992">
                  <c:v>29.261000000000006</c:v>
                </c:pt>
                <c:pt idx="993">
                  <c:v>29.261100000000006</c:v>
                </c:pt>
                <c:pt idx="994">
                  <c:v>29.261200000000006</c:v>
                </c:pt>
                <c:pt idx="995">
                  <c:v>29.261300000000006</c:v>
                </c:pt>
                <c:pt idx="996">
                  <c:v>29.261400000000005</c:v>
                </c:pt>
                <c:pt idx="997">
                  <c:v>29.261500000000005</c:v>
                </c:pt>
                <c:pt idx="998">
                  <c:v>29.261600000000005</c:v>
                </c:pt>
                <c:pt idx="999">
                  <c:v>29.261700000000005</c:v>
                </c:pt>
                <c:pt idx="1000">
                  <c:v>29.261800000000004</c:v>
                </c:pt>
              </c:numCache>
            </c:numRef>
          </c:xVal>
          <c:yVal>
            <c:numRef>
              <c:f>Calculs!$AE$4:$AE$1004</c:f>
              <c:numCache>
                <c:formatCode>0</c:formatCode>
                <c:ptCount val="1001"/>
                <c:pt idx="0">
                  <c:v>574.95818926659933</c:v>
                </c:pt>
                <c:pt idx="1">
                  <c:v>576.4607643084081</c:v>
                </c:pt>
                <c:pt idx="2">
                  <c:v>577.96072910699593</c:v>
                </c:pt>
                <c:pt idx="3">
                  <c:v>579.45808951357935</c:v>
                </c:pt>
                <c:pt idx="4">
                  <c:v>580.95285135471443</c:v>
                </c:pt>
                <c:pt idx="5">
                  <c:v>582.44502043243335</c:v>
                </c:pt>
                <c:pt idx="6">
                  <c:v>583.93460252438092</c:v>
                </c:pt>
                <c:pt idx="7">
                  <c:v>585.42160338394922</c:v>
                </c:pt>
                <c:pt idx="8">
                  <c:v>586.90602874041213</c:v>
                </c:pt>
                <c:pt idx="9">
                  <c:v>588.38788429905833</c:v>
                </c:pt>
                <c:pt idx="10">
                  <c:v>589.86717574132354</c:v>
                </c:pt>
                <c:pt idx="11">
                  <c:v>591.34390871555877</c:v>
                </c:pt>
                <c:pt idx="12">
                  <c:v>592.81808882797088</c:v>
                </c:pt>
                <c:pt idx="13">
                  <c:v>594.28972165246091</c:v>
                </c:pt>
                <c:pt idx="14">
                  <c:v>595.75881274028313</c:v>
                </c:pt>
                <c:pt idx="15">
                  <c:v>597.22536762016443</c:v>
                </c:pt>
                <c:pt idx="16">
                  <c:v>598.68939179842289</c:v>
                </c:pt>
                <c:pt idx="17">
                  <c:v>600.15089075908588</c:v>
                </c:pt>
                <c:pt idx="18">
                  <c:v>601.60986996400663</c:v>
                </c:pt>
                <c:pt idx="19">
                  <c:v>603.06633485298096</c:v>
                </c:pt>
                <c:pt idx="20">
                  <c:v>604.52029084386231</c:v>
                </c:pt>
                <c:pt idx="21">
                  <c:v>605.97174333735904</c:v>
                </c:pt>
                <c:pt idx="22">
                  <c:v>607.42069772174682</c:v>
                </c:pt>
                <c:pt idx="23">
                  <c:v>608.86715936813198</c:v>
                </c:pt>
                <c:pt idx="24">
                  <c:v>610.31113362580095</c:v>
                </c:pt>
                <c:pt idx="25">
                  <c:v>611.75262582233609</c:v>
                </c:pt>
                <c:pt idx="26">
                  <c:v>613.19164126373039</c:v>
                </c:pt>
                <c:pt idx="27">
                  <c:v>614.62818523450153</c:v>
                </c:pt>
                <c:pt idx="28">
                  <c:v>616.06226299780565</c:v>
                </c:pt>
                <c:pt idx="29">
                  <c:v>617.49387979554967</c:v>
                </c:pt>
                <c:pt idx="30">
                  <c:v>618.92304084850332</c:v>
                </c:pt>
                <c:pt idx="31">
                  <c:v>620.34975135641002</c:v>
                </c:pt>
                <c:pt idx="32">
                  <c:v>621.77401649809769</c:v>
                </c:pt>
                <c:pt idx="33">
                  <c:v>623.19584143158795</c:v>
                </c:pt>
                <c:pt idx="34">
                  <c:v>624.6152312942055</c:v>
                </c:pt>
                <c:pt idx="35">
                  <c:v>626.03219120268602</c:v>
                </c:pt>
                <c:pt idx="36">
                  <c:v>627.44672625328383</c:v>
                </c:pt>
                <c:pt idx="37">
                  <c:v>628.8588415218785</c:v>
                </c:pt>
                <c:pt idx="38">
                  <c:v>630.26854206408109</c:v>
                </c:pt>
                <c:pt idx="39">
                  <c:v>631.67583291533936</c:v>
                </c:pt>
                <c:pt idx="40">
                  <c:v>633.08071909104274</c:v>
                </c:pt>
                <c:pt idx="41">
                  <c:v>634.48320558662613</c:v>
                </c:pt>
                <c:pt idx="42">
                  <c:v>635.8832973776731</c:v>
                </c:pt>
                <c:pt idx="43">
                  <c:v>637.2809994200187</c:v>
                </c:pt>
                <c:pt idx="44">
                  <c:v>638.6763166498514</c:v>
                </c:pt>
                <c:pt idx="45">
                  <c:v>640.06925398381429</c:v>
                </c:pt>
                <c:pt idx="46">
                  <c:v>641.45981631910593</c:v>
                </c:pt>
                <c:pt idx="47">
                  <c:v>642.84800853358001</c:v>
                </c:pt>
                <c:pt idx="48">
                  <c:v>644.23383548584502</c:v>
                </c:pt>
                <c:pt idx="49">
                  <c:v>645.61730201536272</c:v>
                </c:pt>
                <c:pt idx="50">
                  <c:v>646.998412942546</c:v>
                </c:pt>
                <c:pt idx="51">
                  <c:v>648.37717306885679</c:v>
                </c:pt>
                <c:pt idx="52">
                  <c:v>649.75358717690233</c:v>
                </c:pt>
                <c:pt idx="53">
                  <c:v>651.12766003053162</c:v>
                </c:pt>
                <c:pt idx="54">
                  <c:v>652.49939637493071</c:v>
                </c:pt>
                <c:pt idx="55">
                  <c:v>653.86880093671789</c:v>
                </c:pt>
                <c:pt idx="56">
                  <c:v>655.23587842403765</c:v>
                </c:pt>
                <c:pt idx="57">
                  <c:v>656.60063352665475</c:v>
                </c:pt>
                <c:pt idx="58">
                  <c:v>657.96307091604695</c:v>
                </c:pt>
                <c:pt idx="59">
                  <c:v>659.32319524549769</c:v>
                </c:pt>
                <c:pt idx="60">
                  <c:v>660.68101115018783</c:v>
                </c:pt>
                <c:pt idx="61">
                  <c:v>662.03652324728705</c:v>
                </c:pt>
                <c:pt idx="62">
                  <c:v>663.3897361360448</c:v>
                </c:pt>
                <c:pt idx="63">
                  <c:v>664.74065439787989</c:v>
                </c:pt>
                <c:pt idx="64">
                  <c:v>666.08928259647064</c:v>
                </c:pt>
                <c:pt idx="65">
                  <c:v>667.43562527784343</c:v>
                </c:pt>
                <c:pt idx="66">
                  <c:v>668.7796869704614</c:v>
                </c:pt>
                <c:pt idx="67">
                  <c:v>670.12147218531209</c:v>
                </c:pt>
                <c:pt idx="68">
                  <c:v>671.46098541599486</c:v>
                </c:pt>
                <c:pt idx="69">
                  <c:v>672.79823113880786</c:v>
                </c:pt>
                <c:pt idx="70">
                  <c:v>674.13321381283379</c:v>
                </c:pt>
                <c:pt idx="71">
                  <c:v>675.46593788002588</c:v>
                </c:pt>
                <c:pt idx="72">
                  <c:v>676.796407765293</c:v>
                </c:pt>
                <c:pt idx="73">
                  <c:v>678.12462787658399</c:v>
                </c:pt>
                <c:pt idx="74">
                  <c:v>679.45060260497189</c:v>
                </c:pt>
                <c:pt idx="75">
                  <c:v>680.77433632473753</c:v>
                </c:pt>
                <c:pt idx="76">
                  <c:v>682.09583339345238</c:v>
                </c:pt>
                <c:pt idx="77">
                  <c:v>683.41509815206109</c:v>
                </c:pt>
                <c:pt idx="78">
                  <c:v>684.73213492496325</c:v>
                </c:pt>
                <c:pt idx="79">
                  <c:v>686.04694802009521</c:v>
                </c:pt>
                <c:pt idx="80">
                  <c:v>687.35954172901086</c:v>
                </c:pt>
                <c:pt idx="81">
                  <c:v>688.66992032696169</c:v>
                </c:pt>
                <c:pt idx="82">
                  <c:v>689.97808807297724</c:v>
                </c:pt>
                <c:pt idx="83">
                  <c:v>691.28404920994433</c:v>
                </c:pt>
                <c:pt idx="84">
                  <c:v>692.58780796468591</c:v>
                </c:pt>
                <c:pt idx="85">
                  <c:v>693.88936854803956</c:v>
                </c:pt>
                <c:pt idx="86">
                  <c:v>695.18873515493533</c:v>
                </c:pt>
                <c:pt idx="87">
                  <c:v>696.48591196447353</c:v>
                </c:pt>
                <c:pt idx="88">
                  <c:v>697.78090314000133</c:v>
                </c:pt>
                <c:pt idx="89">
                  <c:v>699.07371282918962</c:v>
                </c:pt>
                <c:pt idx="90">
                  <c:v>700.36434516410873</c:v>
                </c:pt>
                <c:pt idx="91">
                  <c:v>701.65280426130437</c:v>
                </c:pt>
                <c:pt idx="92">
                  <c:v>702.93909422187232</c:v>
                </c:pt>
                <c:pt idx="93">
                  <c:v>704.22321913153348</c:v>
                </c:pt>
                <c:pt idx="94">
                  <c:v>705.50518306070762</c:v>
                </c:pt>
                <c:pt idx="95">
                  <c:v>706.78499006458765</c:v>
                </c:pt>
                <c:pt idx="96">
                  <c:v>708.06264418321234</c:v>
                </c:pt>
                <c:pt idx="97">
                  <c:v>709.3381494415396</c:v>
                </c:pt>
                <c:pt idx="98">
                  <c:v>710.6115098495186</c:v>
                </c:pt>
                <c:pt idx="99">
                  <c:v>711.88272940216177</c:v>
                </c:pt>
                <c:pt idx="100">
                  <c:v>713.15181207961643</c:v>
                </c:pt>
                <c:pt idx="101">
                  <c:v>725.72541786762235</c:v>
                </c:pt>
                <c:pt idx="102">
                  <c:v>738.08788525748264</c:v>
                </c:pt>
                <c:pt idx="103">
                  <c:v>750.2430521902437</c:v>
                </c:pt>
                <c:pt idx="104">
                  <c:v>762.1946170601999</c:v>
                </c:pt>
                <c:pt idx="105">
                  <c:v>773.94614515619912</c:v>
                </c:pt>
                <c:pt idx="106">
                  <c:v>785.50107472710852</c:v>
                </c:pt>
                <c:pt idx="107">
                  <c:v>796.8627226974711</c:v>
                </c:pt>
                <c:pt idx="108">
                  <c:v>808.03429005729367</c:v>
                </c:pt>
                <c:pt idx="109">
                  <c:v>819.01886694800919</c:v>
                </c:pt>
                <c:pt idx="110">
                  <c:v>829.81943746492709</c:v>
                </c:pt>
                <c:pt idx="111">
                  <c:v>840.43888419490906</c:v>
                </c:pt>
                <c:pt idx="112">
                  <c:v>850.87999250657367</c:v>
                </c:pt>
                <c:pt idx="113">
                  <c:v>861.14545460901888</c:v>
                </c:pt>
                <c:pt idx="114">
                  <c:v>871.2378733938541</c:v>
                </c:pt>
                <c:pt idx="115">
                  <c:v>881.15976607423579</c:v>
                </c:pt>
                <c:pt idx="116">
                  <c:v>890.91356763359624</c:v>
                </c:pt>
                <c:pt idx="117">
                  <c:v>900.50163409583297</c:v>
                </c:pt>
                <c:pt idx="118">
                  <c:v>909.92624562788183</c:v>
                </c:pt>
                <c:pt idx="119">
                  <c:v>919.18960948482049</c:v>
                </c:pt>
                <c:pt idx="120">
                  <c:v>928.29386280693427</c:v>
                </c:pt>
                <c:pt idx="121">
                  <c:v>937.24107527751994</c:v>
                </c:pt>
                <c:pt idx="122">
                  <c:v>946.0332516495987</c:v>
                </c:pt>
                <c:pt idx="123">
                  <c:v>954.67233414915154</c:v>
                </c:pt>
                <c:pt idx="124">
                  <c:v>963.16020476197571</c:v>
                </c:pt>
                <c:pt idx="125">
                  <c:v>971.49868741078672</c:v>
                </c:pt>
                <c:pt idx="126">
                  <c:v>979.689550028751</c:v>
                </c:pt>
                <c:pt idx="127">
                  <c:v>987.73450653522946</c:v>
                </c:pt>
                <c:pt idx="128">
                  <c:v>995.63521871913645</c:v>
                </c:pt>
                <c:pt idx="129">
                  <c:v>1003.3932980349711</c:v>
                </c:pt>
                <c:pt idx="130">
                  <c:v>1011.0103073162556</c:v>
                </c:pt>
                <c:pt idx="131">
                  <c:v>1018.4877624108186</c:v>
                </c:pt>
                <c:pt idx="132">
                  <c:v>1025.8271337420806</c:v>
                </c:pt>
                <c:pt idx="133">
                  <c:v>1033.0298478002455</c:v>
                </c:pt>
                <c:pt idx="134">
                  <c:v>1040.0972885670628</c:v>
                </c:pt>
                <c:pt idx="135">
                  <c:v>1047.0307988775985</c:v>
                </c:pt>
                <c:pt idx="136">
                  <c:v>1053.8316817222535</c:v>
                </c:pt>
                <c:pt idx="137">
                  <c:v>1060.5012014920705</c:v>
                </c:pt>
                <c:pt idx="138">
                  <c:v>1067.040585170196</c:v>
                </c:pt>
                <c:pt idx="139">
                  <c:v>1073.451023472192</c:v>
                </c:pt>
                <c:pt idx="140">
                  <c:v>1079.7336719377458</c:v>
                </c:pt>
                <c:pt idx="141">
                  <c:v>1085.8896519761738</c:v>
                </c:pt>
                <c:pt idx="142">
                  <c:v>1091.9200518679845</c:v>
                </c:pt>
                <c:pt idx="143">
                  <c:v>1097.825927724643</c:v>
                </c:pt>
                <c:pt idx="144">
                  <c:v>1103.6083044085585</c:v>
                </c:pt>
                <c:pt idx="145">
                  <c:v>1109.2681764152117</c:v>
                </c:pt>
                <c:pt idx="146">
                  <c:v>1114.8065087192344</c:v>
                </c:pt>
                <c:pt idx="147">
                  <c:v>1120.2242375861679</c:v>
                </c:pt>
                <c:pt idx="148">
                  <c:v>1125.5222713515259</c:v>
                </c:pt>
                <c:pt idx="149">
                  <c:v>1130.7014911687254</c:v>
                </c:pt>
                <c:pt idx="150">
                  <c:v>1135.7627517273568</c:v>
                </c:pt>
                <c:pt idx="151">
                  <c:v>1140.7068819432088</c:v>
                </c:pt>
                <c:pt idx="152">
                  <c:v>1145.5346856213951</c:v>
                </c:pt>
                <c:pt idx="153">
                  <c:v>1150.2469420938705</c:v>
                </c:pt>
                <c:pt idx="154">
                  <c:v>1154.8444068325782</c:v>
                </c:pt>
                <c:pt idx="155">
                  <c:v>1159.3278120394136</c:v>
                </c:pt>
                <c:pt idx="156">
                  <c:v>1163.6978672141579</c:v>
                </c:pt>
                <c:pt idx="157">
                  <c:v>1167.9552597014863</c:v>
                </c:pt>
                <c:pt idx="158">
                  <c:v>1172.100655218135</c:v>
                </c:pt>
                <c:pt idx="159">
                  <c:v>1176.1346983612727</c:v>
                </c:pt>
                <c:pt idx="160">
                  <c:v>1180.0580130991107</c:v>
                </c:pt>
                <c:pt idx="161">
                  <c:v>1183.8712032447586</c:v>
                </c:pt>
                <c:pt idx="162">
                  <c:v>1187.574852914332</c:v>
                </c:pt>
                <c:pt idx="163">
                  <c:v>1191.1695269703032</c:v>
                </c:pt>
                <c:pt idx="164">
                  <c:v>1194.6557714510941</c:v>
                </c:pt>
                <c:pt idx="165">
                  <c:v>1198.0341139879129</c:v>
                </c:pt>
                <c:pt idx="166">
                  <c:v>1201.3050642098508</c:v>
                </c:pt>
                <c:pt idx="167">
                  <c:v>1204.469114138278</c:v>
                </c:pt>
                <c:pt idx="168">
                  <c:v>1207.5267385716029</c:v>
                </c:pt>
                <c:pt idx="169">
                  <c:v>1210.4783954614975</c:v>
                </c:pt>
                <c:pt idx="170">
                  <c:v>1213.3245262817375</c:v>
                </c:pt>
                <c:pt idx="171">
                  <c:v>1216.0655563908572</c:v>
                </c:pt>
                <c:pt idx="172">
                  <c:v>1218.7018953898848</c:v>
                </c:pt>
                <c:pt idx="173">
                  <c:v>1221.2339374764977</c:v>
                </c:pt>
                <c:pt idx="174">
                  <c:v>1223.6620617970166</c:v>
                </c:pt>
                <c:pt idx="175">
                  <c:v>1225.986632797755</c:v>
                </c:pt>
                <c:pt idx="176">
                  <c:v>1228.2080005773382</c:v>
                </c:pt>
                <c:pt idx="177">
                  <c:v>1230.3265012417176</c:v>
                </c:pt>
                <c:pt idx="178">
                  <c:v>1232.3424572637227</c:v>
                </c:pt>
                <c:pt idx="179">
                  <c:v>1234.2561778491124</c:v>
                </c:pt>
                <c:pt idx="180">
                  <c:v>1236.0679593112077</c:v>
                </c:pt>
                <c:pt idx="181">
                  <c:v>1237.7780854563041</c:v>
                </c:pt>
                <c:pt idx="182">
                  <c:v>1239.3868279821681</c:v>
                </c:pt>
                <c:pt idx="183">
                  <c:v>1240.894446892004</c:v>
                </c:pt>
                <c:pt idx="184">
                  <c:v>1242.30119092634</c:v>
                </c:pt>
                <c:pt idx="185">
                  <c:v>1243.607298015294</c:v>
                </c:pt>
                <c:pt idx="186">
                  <c:v>1244.8129957536416</c:v>
                </c:pt>
                <c:pt idx="187">
                  <c:v>1245.9185019010076</c:v>
                </c:pt>
                <c:pt idx="188">
                  <c:v>1246.9240249093009</c:v>
                </c:pt>
                <c:pt idx="189">
                  <c:v>1247.8297644792301</c:v>
                </c:pt>
                <c:pt idx="190">
                  <c:v>1248.6359121473317</c:v>
                </c:pt>
                <c:pt idx="191">
                  <c:v>1249.3426519044181</c:v>
                </c:pt>
                <c:pt idx="192">
                  <c:v>1249.9501608457081</c:v>
                </c:pt>
                <c:pt idx="193">
                  <c:v>1250.4586098521379</c:v>
                </c:pt>
                <c:pt idx="194">
                  <c:v>1250.8681643014875</c:v>
                </c:pt>
                <c:pt idx="195">
                  <c:v>1251.1789848070164</c:v>
                </c:pt>
                <c:pt idx="196">
                  <c:v>1251.3912279803328</c:v>
                </c:pt>
                <c:pt idx="197">
                  <c:v>1251.5050472142614</c:v>
                </c:pt>
                <c:pt idx="198">
                  <c:v>1251.5205934805861</c:v>
                </c:pt>
                <c:pt idx="199">
                  <c:v>1251.4380161367837</c:v>
                </c:pt>
                <c:pt idx="200">
                  <c:v>1251.2574637352866</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yVal>
          <c:smooth val="0"/>
          <c:extLst>
            <c:ext xmlns:c16="http://schemas.microsoft.com/office/drawing/2014/chart" uri="{C3380CC4-5D6E-409C-BE32-E72D297353CC}">
              <c16:uniqueId val="{00000007-4C7F-469F-ADED-1B0B28F452E1}"/>
            </c:ext>
          </c:extLst>
        </c:ser>
        <c:ser>
          <c:idx val="6"/>
          <c:order val="6"/>
          <c:tx>
            <c:strRef>
              <c:f>Trajecto!$B$107</c:f>
              <c:strCache>
                <c:ptCount val="1"/>
                <c:pt idx="0">
                  <c:v>Phase ascendante</c:v>
                </c:pt>
              </c:strCache>
            </c:strRef>
          </c:tx>
          <c:spPr>
            <a:ln w="28575">
              <a:noFill/>
            </a:ln>
          </c:spPr>
          <c:marker>
            <c:symbol val="none"/>
          </c:marker>
          <c:dLbls>
            <c:spPr>
              <a:noFill/>
              <a:ln w="25400">
                <a:noFill/>
              </a:ln>
            </c:spPr>
            <c:txPr>
              <a:bodyPr/>
              <a:lstStyle/>
              <a:p>
                <a:pPr>
                  <a:defRPr sz="700" b="1" i="0" u="none" strike="noStrike" baseline="0">
                    <a:solidFill>
                      <a:srgbClr val="000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Trajecto!$B$158</c:f>
              <c:numCache>
                <c:formatCode>General</c:formatCode>
                <c:ptCount val="1"/>
                <c:pt idx="0">
                  <c:v>2.7749999999999999</c:v>
                </c:pt>
              </c:numCache>
            </c:numRef>
          </c:xVal>
          <c:yVal>
            <c:numRef>
              <c:f>Trajecto!$C$158</c:f>
              <c:numCache>
                <c:formatCode>0</c:formatCode>
                <c:ptCount val="1"/>
                <c:pt idx="0">
                  <c:v>625.48954241422564</c:v>
                </c:pt>
              </c:numCache>
            </c:numRef>
          </c:yVal>
          <c:smooth val="0"/>
          <c:extLst>
            <c:ext xmlns:c16="http://schemas.microsoft.com/office/drawing/2014/chart" uri="{C3380CC4-5D6E-409C-BE32-E72D297353CC}">
              <c16:uniqueId val="{00000008-4C7F-469F-ADED-1B0B28F452E1}"/>
            </c:ext>
          </c:extLst>
        </c:ser>
        <c:ser>
          <c:idx val="7"/>
          <c:order val="7"/>
          <c:tx>
            <c:strRef>
              <c:f>Trajecto!$B$108</c:f>
              <c:strCache>
                <c:ptCount val="1"/>
                <c:pt idx="0">
                  <c:v>Descente balistique</c:v>
                </c:pt>
              </c:strCache>
            </c:strRef>
          </c:tx>
          <c:spPr>
            <a:ln w="28575">
              <a:noFill/>
            </a:ln>
          </c:spPr>
          <c:marker>
            <c:symbol val="none"/>
          </c:marker>
          <c:dLbls>
            <c:spPr>
              <a:noFill/>
              <a:ln w="25400">
                <a:noFill/>
              </a:ln>
            </c:spPr>
            <c:txPr>
              <a:bodyPr/>
              <a:lstStyle/>
              <a:p>
                <a:pPr>
                  <a:defRPr sz="700" b="1" i="0" u="none" strike="noStrike" baseline="0">
                    <a:solidFill>
                      <a:srgbClr val="808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Trajecto!$B$159</c:f>
              <c:numCache>
                <c:formatCode>General</c:formatCode>
                <c:ptCount val="1"/>
                <c:pt idx="0">
                  <c:v>19.950000000000067</c:v>
                </c:pt>
              </c:numCache>
            </c:numRef>
          </c:xVal>
          <c:yVal>
            <c:numRef>
              <c:f>Trajecto!$C$159</c:f>
              <c:numCache>
                <c:formatCode>0</c:formatCode>
                <c:ptCount val="1"/>
                <c:pt idx="0">
                  <c:v>625.75252360713068</c:v>
                </c:pt>
              </c:numCache>
            </c:numRef>
          </c:yVal>
          <c:smooth val="0"/>
          <c:extLst>
            <c:ext xmlns:c16="http://schemas.microsoft.com/office/drawing/2014/chart" uri="{C3380CC4-5D6E-409C-BE32-E72D297353CC}">
              <c16:uniqueId val="{00000009-4C7F-469F-ADED-1B0B28F452E1}"/>
            </c:ext>
          </c:extLst>
        </c:ser>
        <c:dLbls>
          <c:showLegendKey val="0"/>
          <c:showVal val="0"/>
          <c:showCatName val="0"/>
          <c:showSerName val="0"/>
          <c:showPercent val="0"/>
          <c:showBubbleSize val="0"/>
        </c:dLbls>
        <c:axId val="149275008"/>
        <c:axId val="149276928"/>
      </c:scatterChart>
      <c:valAx>
        <c:axId val="149275008"/>
        <c:scaling>
          <c:orientation val="minMax"/>
          <c:min val="0"/>
        </c:scaling>
        <c:delete val="0"/>
        <c:axPos val="b"/>
        <c:majorGridlines>
          <c:spPr>
            <a:ln w="3175">
              <a:solidFill>
                <a:srgbClr val="000000"/>
              </a:solidFill>
              <a:prstDash val="sysDash"/>
            </a:ln>
          </c:spPr>
        </c:majorGridlines>
        <c:title>
          <c:tx>
            <c:strRef>
              <c:f>Trajecto!$B$113</c:f>
              <c:strCache>
                <c:ptCount val="1"/>
                <c:pt idx="0">
                  <c:v>Temps [s]</c:v>
                </c:pt>
              </c:strCache>
            </c:strRef>
          </c:tx>
          <c:layout>
            <c:manualLayout>
              <c:xMode val="edge"/>
              <c:yMode val="edge"/>
              <c:x val="0.60555551848391842"/>
              <c:y val="0.8513930569999506"/>
            </c:manualLayout>
          </c:layout>
          <c:overlay val="0"/>
          <c:spPr>
            <a:solidFill>
              <a:srgbClr val="FFFFFF"/>
            </a:solidFill>
            <a:ln w="25400">
              <a:noFill/>
            </a:ln>
          </c:spPr>
          <c:txPr>
            <a:bodyPr/>
            <a:lstStyle/>
            <a:p>
              <a:pPr>
                <a:defRPr sz="800" b="1" i="0" u="none" strike="noStrike" baseline="0">
                  <a:solidFill>
                    <a:srgbClr val="0000FF"/>
                  </a:solidFill>
                  <a:latin typeface="Arial"/>
                  <a:ea typeface="Arial"/>
                  <a:cs typeface="Arial"/>
                </a:defRPr>
              </a:pPr>
              <a:endParaRPr lang="fr-FR"/>
            </a:p>
          </c:tx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9276928"/>
        <c:crosses val="autoZero"/>
        <c:crossBetween val="midCat"/>
      </c:valAx>
      <c:valAx>
        <c:axId val="149276928"/>
        <c:scaling>
          <c:orientation val="minMax"/>
          <c:min val="0"/>
        </c:scaling>
        <c:delete val="0"/>
        <c:axPos val="l"/>
        <c:majorGridlines>
          <c:spPr>
            <a:ln w="3175">
              <a:solidFill>
                <a:srgbClr val="000000"/>
              </a:solidFill>
              <a:prstDash val="sysDash"/>
            </a:ln>
          </c:spPr>
        </c:majorGridlines>
        <c:title>
          <c:tx>
            <c:rich>
              <a:bodyPr/>
              <a:lstStyle/>
              <a:p>
                <a:pPr>
                  <a:defRPr sz="800" b="1" i="0" u="none" strike="noStrike" baseline="0">
                    <a:solidFill>
                      <a:srgbClr val="0000FF"/>
                    </a:solidFill>
                    <a:latin typeface="Arial"/>
                    <a:ea typeface="Arial"/>
                    <a:cs typeface="Arial"/>
                  </a:defRPr>
                </a:pPr>
                <a:r>
                  <a:rPr lang="fr-FR"/>
                  <a:t>Altitude z [m]</a:t>
                </a:r>
              </a:p>
            </c:rich>
          </c:tx>
          <c:layout>
            <c:manualLayout>
              <c:xMode val="edge"/>
              <c:yMode val="edge"/>
              <c:x val="9.0000333644735087E-2"/>
              <c:y val="6.8111391736410315E-2"/>
            </c:manualLayout>
          </c:layout>
          <c:overlay val="0"/>
          <c:spPr>
            <a:noFill/>
            <a:ln w="25400">
              <a:noFill/>
            </a:ln>
          </c:sp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9275008"/>
        <c:crosses val="autoZero"/>
        <c:crossBetween val="midCat"/>
      </c:valAx>
      <c:spPr>
        <a:gradFill rotWithShape="0">
          <a:gsLst>
            <a:gs pos="0">
              <a:srgbClr val="99CCFF"/>
            </a:gs>
            <a:gs pos="100000">
              <a:srgbClr val="FFFFFF"/>
            </a:gs>
          </a:gsLst>
          <a:lin ang="5400000" scaled="1"/>
        </a:gradFill>
        <a:ln w="12700">
          <a:solidFill>
            <a:srgbClr val="808080"/>
          </a:solidFill>
          <a:prstDash val="solid"/>
        </a:ln>
      </c:spPr>
    </c:plotArea>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fr-FR"/>
              <a:t>Forces</a:t>
            </a:r>
          </a:p>
        </c:rich>
      </c:tx>
      <c:overlay val="1"/>
    </c:title>
    <c:autoTitleDeleted val="0"/>
    <c:plotArea>
      <c:layout>
        <c:manualLayout>
          <c:layoutTarget val="inner"/>
          <c:xMode val="edge"/>
          <c:yMode val="edge"/>
          <c:x val="0.11674528301886802"/>
          <c:y val="9.4771544282144501E-2"/>
          <c:w val="0.86438679245283023"/>
          <c:h val="0.74183243282920064"/>
        </c:manualLayout>
      </c:layout>
      <c:scatterChart>
        <c:scatterStyle val="lineMarker"/>
        <c:varyColors val="0"/>
        <c:ser>
          <c:idx val="1"/>
          <c:order val="0"/>
          <c:tx>
            <c:strRef>
              <c:f>Courbes!$B$134</c:f>
              <c:strCache>
                <c:ptCount val="1"/>
                <c:pt idx="0">
                  <c:v>Poussée</c:v>
                </c:pt>
              </c:strCache>
            </c:strRef>
          </c:tx>
          <c:spPr>
            <a:ln w="25400">
              <a:solidFill>
                <a:srgbClr val="00800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1.1000000000000008</c:v>
                </c:pt>
                <c:pt idx="102">
                  <c:v>1.2000000000000008</c:v>
                </c:pt>
                <c:pt idx="103">
                  <c:v>1.3000000000000009</c:v>
                </c:pt>
                <c:pt idx="104">
                  <c:v>1.400000000000001</c:v>
                </c:pt>
                <c:pt idx="105">
                  <c:v>1.5000000000000011</c:v>
                </c:pt>
                <c:pt idx="106">
                  <c:v>1.6000000000000012</c:v>
                </c:pt>
                <c:pt idx="107">
                  <c:v>1.7000000000000013</c:v>
                </c:pt>
                <c:pt idx="108">
                  <c:v>1.8000000000000014</c:v>
                </c:pt>
                <c:pt idx="109">
                  <c:v>1.9000000000000015</c:v>
                </c:pt>
                <c:pt idx="110">
                  <c:v>2.0000000000000013</c:v>
                </c:pt>
                <c:pt idx="111">
                  <c:v>2.1000000000000014</c:v>
                </c:pt>
                <c:pt idx="112">
                  <c:v>2.2000000000000015</c:v>
                </c:pt>
                <c:pt idx="113">
                  <c:v>2.3000000000000016</c:v>
                </c:pt>
                <c:pt idx="114">
                  <c:v>2.4000000000000017</c:v>
                </c:pt>
                <c:pt idx="115">
                  <c:v>2.5000000000000018</c:v>
                </c:pt>
                <c:pt idx="116">
                  <c:v>2.6000000000000019</c:v>
                </c:pt>
                <c:pt idx="117">
                  <c:v>2.700000000000002</c:v>
                </c:pt>
                <c:pt idx="118">
                  <c:v>2.800000000000002</c:v>
                </c:pt>
                <c:pt idx="119">
                  <c:v>2.9000000000000021</c:v>
                </c:pt>
                <c:pt idx="120">
                  <c:v>3.0000000000000022</c:v>
                </c:pt>
                <c:pt idx="121">
                  <c:v>3.1000000000000023</c:v>
                </c:pt>
                <c:pt idx="122">
                  <c:v>3.2000000000000024</c:v>
                </c:pt>
                <c:pt idx="123">
                  <c:v>3.3000000000000025</c:v>
                </c:pt>
                <c:pt idx="124">
                  <c:v>3.4000000000000026</c:v>
                </c:pt>
                <c:pt idx="125">
                  <c:v>3.5000000000000027</c:v>
                </c:pt>
                <c:pt idx="126">
                  <c:v>3.6000000000000028</c:v>
                </c:pt>
                <c:pt idx="127">
                  <c:v>3.7000000000000028</c:v>
                </c:pt>
                <c:pt idx="128">
                  <c:v>3.8000000000000029</c:v>
                </c:pt>
                <c:pt idx="129">
                  <c:v>3.900000000000003</c:v>
                </c:pt>
                <c:pt idx="130">
                  <c:v>4.0000000000000027</c:v>
                </c:pt>
                <c:pt idx="131">
                  <c:v>4.1000000000000023</c:v>
                </c:pt>
                <c:pt idx="132">
                  <c:v>4.200000000000002</c:v>
                </c:pt>
                <c:pt idx="133">
                  <c:v>4.3000000000000016</c:v>
                </c:pt>
                <c:pt idx="134">
                  <c:v>4.4000000000000012</c:v>
                </c:pt>
                <c:pt idx="135">
                  <c:v>4.5000000000000009</c:v>
                </c:pt>
                <c:pt idx="136">
                  <c:v>4.6000000000000005</c:v>
                </c:pt>
                <c:pt idx="137">
                  <c:v>4.7</c:v>
                </c:pt>
                <c:pt idx="138">
                  <c:v>4.8</c:v>
                </c:pt>
                <c:pt idx="139">
                  <c:v>4.8999999999999995</c:v>
                </c:pt>
                <c:pt idx="140">
                  <c:v>4.9999999999999991</c:v>
                </c:pt>
                <c:pt idx="141">
                  <c:v>5.0999999999999988</c:v>
                </c:pt>
                <c:pt idx="142">
                  <c:v>5.1999999999999984</c:v>
                </c:pt>
                <c:pt idx="143">
                  <c:v>5.299999999999998</c:v>
                </c:pt>
                <c:pt idx="144">
                  <c:v>5.3999999999999977</c:v>
                </c:pt>
                <c:pt idx="145">
                  <c:v>5.4999999999999973</c:v>
                </c:pt>
                <c:pt idx="146">
                  <c:v>5.599999999999997</c:v>
                </c:pt>
                <c:pt idx="147">
                  <c:v>5.6999999999999966</c:v>
                </c:pt>
                <c:pt idx="148">
                  <c:v>5.7999999999999963</c:v>
                </c:pt>
                <c:pt idx="149">
                  <c:v>5.8999999999999959</c:v>
                </c:pt>
                <c:pt idx="150">
                  <c:v>5.9999999999999956</c:v>
                </c:pt>
                <c:pt idx="151">
                  <c:v>6.0999999999999952</c:v>
                </c:pt>
                <c:pt idx="152">
                  <c:v>6.1999999999999948</c:v>
                </c:pt>
                <c:pt idx="153">
                  <c:v>6.2999999999999945</c:v>
                </c:pt>
                <c:pt idx="154">
                  <c:v>6.3999999999999941</c:v>
                </c:pt>
                <c:pt idx="155">
                  <c:v>6.4999999999999938</c:v>
                </c:pt>
                <c:pt idx="156">
                  <c:v>6.5999999999999934</c:v>
                </c:pt>
                <c:pt idx="157">
                  <c:v>6.6999999999999931</c:v>
                </c:pt>
                <c:pt idx="158">
                  <c:v>6.7999999999999927</c:v>
                </c:pt>
                <c:pt idx="159">
                  <c:v>6.8999999999999924</c:v>
                </c:pt>
                <c:pt idx="160">
                  <c:v>6.999999999999992</c:v>
                </c:pt>
                <c:pt idx="161">
                  <c:v>7.0999999999999917</c:v>
                </c:pt>
                <c:pt idx="162">
                  <c:v>7.1999999999999913</c:v>
                </c:pt>
                <c:pt idx="163">
                  <c:v>7.2999999999999909</c:v>
                </c:pt>
                <c:pt idx="164">
                  <c:v>7.3999999999999906</c:v>
                </c:pt>
                <c:pt idx="165">
                  <c:v>7.4999999999999902</c:v>
                </c:pt>
                <c:pt idx="166">
                  <c:v>7.5999999999999899</c:v>
                </c:pt>
                <c:pt idx="167">
                  <c:v>7.6999999999999895</c:v>
                </c:pt>
                <c:pt idx="168">
                  <c:v>7.7999999999999892</c:v>
                </c:pt>
                <c:pt idx="169">
                  <c:v>7.8999999999999888</c:v>
                </c:pt>
                <c:pt idx="170">
                  <c:v>7.9999999999999885</c:v>
                </c:pt>
                <c:pt idx="171">
                  <c:v>8.099999999999989</c:v>
                </c:pt>
                <c:pt idx="172">
                  <c:v>8.1999999999999886</c:v>
                </c:pt>
                <c:pt idx="173">
                  <c:v>8.2999999999999883</c:v>
                </c:pt>
                <c:pt idx="174">
                  <c:v>8.3999999999999879</c:v>
                </c:pt>
                <c:pt idx="175">
                  <c:v>8.4999999999999876</c:v>
                </c:pt>
                <c:pt idx="176">
                  <c:v>8.5999999999999872</c:v>
                </c:pt>
                <c:pt idx="177">
                  <c:v>8.6999999999999869</c:v>
                </c:pt>
                <c:pt idx="178">
                  <c:v>8.7999999999999865</c:v>
                </c:pt>
                <c:pt idx="179">
                  <c:v>8.8999999999999861</c:v>
                </c:pt>
                <c:pt idx="180">
                  <c:v>8.9999999999999858</c:v>
                </c:pt>
                <c:pt idx="181">
                  <c:v>9.0999999999999854</c:v>
                </c:pt>
                <c:pt idx="182">
                  <c:v>9.1999999999999851</c:v>
                </c:pt>
                <c:pt idx="183">
                  <c:v>9.2999999999999847</c:v>
                </c:pt>
                <c:pt idx="184">
                  <c:v>9.3999999999999844</c:v>
                </c:pt>
                <c:pt idx="185">
                  <c:v>9.499999999999984</c:v>
                </c:pt>
                <c:pt idx="186">
                  <c:v>9.5999999999999837</c:v>
                </c:pt>
                <c:pt idx="187">
                  <c:v>9.6999999999999833</c:v>
                </c:pt>
                <c:pt idx="188">
                  <c:v>9.7999999999999829</c:v>
                </c:pt>
                <c:pt idx="189">
                  <c:v>9.8999999999999826</c:v>
                </c:pt>
                <c:pt idx="190">
                  <c:v>9.9999999999999822</c:v>
                </c:pt>
                <c:pt idx="191">
                  <c:v>10.099999999999982</c:v>
                </c:pt>
                <c:pt idx="192">
                  <c:v>10.199999999999982</c:v>
                </c:pt>
                <c:pt idx="193">
                  <c:v>10.299999999999981</c:v>
                </c:pt>
                <c:pt idx="194">
                  <c:v>10.399999999999981</c:v>
                </c:pt>
                <c:pt idx="195">
                  <c:v>10.49999999999998</c:v>
                </c:pt>
                <c:pt idx="196">
                  <c:v>10.59999999999998</c:v>
                </c:pt>
                <c:pt idx="197">
                  <c:v>10.69999999999998</c:v>
                </c:pt>
                <c:pt idx="198">
                  <c:v>10.799999999999979</c:v>
                </c:pt>
                <c:pt idx="199">
                  <c:v>10.899999999999979</c:v>
                </c:pt>
                <c:pt idx="200">
                  <c:v>10.999999999999979</c:v>
                </c:pt>
                <c:pt idx="201">
                  <c:v>11.099999999999978</c:v>
                </c:pt>
                <c:pt idx="202">
                  <c:v>11.199999999999978</c:v>
                </c:pt>
                <c:pt idx="203">
                  <c:v>11.299999999999978</c:v>
                </c:pt>
                <c:pt idx="204">
                  <c:v>11.399999999999977</c:v>
                </c:pt>
                <c:pt idx="205">
                  <c:v>11.499999999999977</c:v>
                </c:pt>
                <c:pt idx="206">
                  <c:v>11.599999999999977</c:v>
                </c:pt>
                <c:pt idx="207">
                  <c:v>11.699999999999976</c:v>
                </c:pt>
                <c:pt idx="208">
                  <c:v>11.799999999999976</c:v>
                </c:pt>
                <c:pt idx="209">
                  <c:v>11.899999999999975</c:v>
                </c:pt>
                <c:pt idx="210">
                  <c:v>11.999999999999975</c:v>
                </c:pt>
                <c:pt idx="211">
                  <c:v>12.099999999999975</c:v>
                </c:pt>
                <c:pt idx="212">
                  <c:v>12.199999999999974</c:v>
                </c:pt>
                <c:pt idx="213">
                  <c:v>12.299999999999974</c:v>
                </c:pt>
                <c:pt idx="214">
                  <c:v>12.399999999999974</c:v>
                </c:pt>
                <c:pt idx="215">
                  <c:v>12.499999999999973</c:v>
                </c:pt>
                <c:pt idx="216">
                  <c:v>12.599999999999973</c:v>
                </c:pt>
                <c:pt idx="217">
                  <c:v>12.699999999999973</c:v>
                </c:pt>
                <c:pt idx="218">
                  <c:v>12.799999999999972</c:v>
                </c:pt>
                <c:pt idx="219">
                  <c:v>12.899999999999972</c:v>
                </c:pt>
                <c:pt idx="220">
                  <c:v>12.999999999999972</c:v>
                </c:pt>
                <c:pt idx="221">
                  <c:v>13.099999999999971</c:v>
                </c:pt>
                <c:pt idx="222">
                  <c:v>13.199999999999971</c:v>
                </c:pt>
                <c:pt idx="223">
                  <c:v>13.299999999999971</c:v>
                </c:pt>
                <c:pt idx="224">
                  <c:v>13.39999999999997</c:v>
                </c:pt>
                <c:pt idx="225">
                  <c:v>13.49999999999997</c:v>
                </c:pt>
                <c:pt idx="226">
                  <c:v>13.599999999999969</c:v>
                </c:pt>
                <c:pt idx="227">
                  <c:v>13.699999999999969</c:v>
                </c:pt>
                <c:pt idx="228">
                  <c:v>13.799999999999969</c:v>
                </c:pt>
                <c:pt idx="229">
                  <c:v>13.899999999999968</c:v>
                </c:pt>
                <c:pt idx="230">
                  <c:v>13.999999999999968</c:v>
                </c:pt>
                <c:pt idx="231">
                  <c:v>14.099999999999968</c:v>
                </c:pt>
                <c:pt idx="232">
                  <c:v>14.199999999999967</c:v>
                </c:pt>
                <c:pt idx="233">
                  <c:v>14.299999999999967</c:v>
                </c:pt>
                <c:pt idx="234">
                  <c:v>14.399999999999967</c:v>
                </c:pt>
                <c:pt idx="235">
                  <c:v>14.499999999999966</c:v>
                </c:pt>
                <c:pt idx="236">
                  <c:v>14.599999999999966</c:v>
                </c:pt>
                <c:pt idx="237">
                  <c:v>14.699999999999966</c:v>
                </c:pt>
                <c:pt idx="238">
                  <c:v>14.799999999999965</c:v>
                </c:pt>
                <c:pt idx="239">
                  <c:v>14.899999999999965</c:v>
                </c:pt>
                <c:pt idx="240">
                  <c:v>14.999999999999964</c:v>
                </c:pt>
                <c:pt idx="241">
                  <c:v>15.099999999999964</c:v>
                </c:pt>
                <c:pt idx="242">
                  <c:v>15.199999999999964</c:v>
                </c:pt>
                <c:pt idx="243">
                  <c:v>15.299999999999963</c:v>
                </c:pt>
                <c:pt idx="244">
                  <c:v>15.399999999999963</c:v>
                </c:pt>
                <c:pt idx="245">
                  <c:v>15.499999999999963</c:v>
                </c:pt>
                <c:pt idx="246">
                  <c:v>15.599999999999962</c:v>
                </c:pt>
                <c:pt idx="247">
                  <c:v>15.699999999999962</c:v>
                </c:pt>
                <c:pt idx="248">
                  <c:v>15.799999999999962</c:v>
                </c:pt>
                <c:pt idx="249">
                  <c:v>15.899999999999961</c:v>
                </c:pt>
                <c:pt idx="250">
                  <c:v>15.999999999999961</c:v>
                </c:pt>
                <c:pt idx="251">
                  <c:v>16.099999999999962</c:v>
                </c:pt>
                <c:pt idx="252">
                  <c:v>16.199999999999964</c:v>
                </c:pt>
                <c:pt idx="253">
                  <c:v>16.299999999999965</c:v>
                </c:pt>
                <c:pt idx="254">
                  <c:v>16.399999999999967</c:v>
                </c:pt>
                <c:pt idx="255">
                  <c:v>16.499999999999968</c:v>
                </c:pt>
                <c:pt idx="256">
                  <c:v>16.599999999999969</c:v>
                </c:pt>
                <c:pt idx="257">
                  <c:v>16.699999999999971</c:v>
                </c:pt>
                <c:pt idx="258">
                  <c:v>16.799999999999972</c:v>
                </c:pt>
                <c:pt idx="259">
                  <c:v>16.899999999999974</c:v>
                </c:pt>
                <c:pt idx="260">
                  <c:v>16.999999999999975</c:v>
                </c:pt>
                <c:pt idx="261">
                  <c:v>17.099999999999977</c:v>
                </c:pt>
                <c:pt idx="262">
                  <c:v>17.199999999999978</c:v>
                </c:pt>
                <c:pt idx="263">
                  <c:v>17.299999999999979</c:v>
                </c:pt>
                <c:pt idx="264">
                  <c:v>17.399999999999981</c:v>
                </c:pt>
                <c:pt idx="265">
                  <c:v>17.499999999999982</c:v>
                </c:pt>
                <c:pt idx="266">
                  <c:v>17.599999999999984</c:v>
                </c:pt>
                <c:pt idx="267">
                  <c:v>17.699999999999985</c:v>
                </c:pt>
                <c:pt idx="268">
                  <c:v>17.799999999999986</c:v>
                </c:pt>
                <c:pt idx="269">
                  <c:v>17.899999999999988</c:v>
                </c:pt>
                <c:pt idx="270">
                  <c:v>17.999999999999989</c:v>
                </c:pt>
                <c:pt idx="271">
                  <c:v>18.099999999999991</c:v>
                </c:pt>
                <c:pt idx="272">
                  <c:v>18.199999999999992</c:v>
                </c:pt>
                <c:pt idx="273">
                  <c:v>18.299999999999994</c:v>
                </c:pt>
                <c:pt idx="274">
                  <c:v>18.399999999999995</c:v>
                </c:pt>
                <c:pt idx="275">
                  <c:v>18.499999999999996</c:v>
                </c:pt>
                <c:pt idx="276">
                  <c:v>18.599999999999998</c:v>
                </c:pt>
                <c:pt idx="277">
                  <c:v>18.7</c:v>
                </c:pt>
                <c:pt idx="278">
                  <c:v>18.8</c:v>
                </c:pt>
                <c:pt idx="279">
                  <c:v>18.900000000000002</c:v>
                </c:pt>
                <c:pt idx="280">
                  <c:v>19.000000000000004</c:v>
                </c:pt>
                <c:pt idx="281">
                  <c:v>19.100000000000005</c:v>
                </c:pt>
                <c:pt idx="282">
                  <c:v>19.200000000000006</c:v>
                </c:pt>
                <c:pt idx="283">
                  <c:v>19.300000000000008</c:v>
                </c:pt>
                <c:pt idx="284">
                  <c:v>19.400000000000009</c:v>
                </c:pt>
                <c:pt idx="285">
                  <c:v>19.500000000000011</c:v>
                </c:pt>
                <c:pt idx="286">
                  <c:v>19.600000000000012</c:v>
                </c:pt>
                <c:pt idx="287">
                  <c:v>19.700000000000014</c:v>
                </c:pt>
                <c:pt idx="288">
                  <c:v>19.800000000000015</c:v>
                </c:pt>
                <c:pt idx="289">
                  <c:v>19.900000000000016</c:v>
                </c:pt>
                <c:pt idx="290">
                  <c:v>20.000000000000018</c:v>
                </c:pt>
                <c:pt idx="291">
                  <c:v>20.100000000000019</c:v>
                </c:pt>
                <c:pt idx="292">
                  <c:v>20.200000000000021</c:v>
                </c:pt>
                <c:pt idx="293">
                  <c:v>20.300000000000022</c:v>
                </c:pt>
                <c:pt idx="294">
                  <c:v>20.400000000000023</c:v>
                </c:pt>
                <c:pt idx="295">
                  <c:v>20.500000000000025</c:v>
                </c:pt>
                <c:pt idx="296">
                  <c:v>20.600000000000026</c:v>
                </c:pt>
                <c:pt idx="297">
                  <c:v>20.700000000000028</c:v>
                </c:pt>
                <c:pt idx="298">
                  <c:v>20.800000000000029</c:v>
                </c:pt>
                <c:pt idx="299">
                  <c:v>20.900000000000031</c:v>
                </c:pt>
                <c:pt idx="300">
                  <c:v>21.000000000000032</c:v>
                </c:pt>
                <c:pt idx="301">
                  <c:v>21.100000000000033</c:v>
                </c:pt>
                <c:pt idx="302">
                  <c:v>21.200000000000035</c:v>
                </c:pt>
                <c:pt idx="303">
                  <c:v>21.300000000000036</c:v>
                </c:pt>
                <c:pt idx="304">
                  <c:v>21.400000000000038</c:v>
                </c:pt>
                <c:pt idx="305">
                  <c:v>21.500000000000039</c:v>
                </c:pt>
                <c:pt idx="306">
                  <c:v>21.600000000000041</c:v>
                </c:pt>
                <c:pt idx="307">
                  <c:v>21.700000000000042</c:v>
                </c:pt>
                <c:pt idx="308">
                  <c:v>21.800000000000043</c:v>
                </c:pt>
                <c:pt idx="309">
                  <c:v>21.900000000000045</c:v>
                </c:pt>
                <c:pt idx="310">
                  <c:v>22.000000000000046</c:v>
                </c:pt>
                <c:pt idx="311">
                  <c:v>22.100000000000048</c:v>
                </c:pt>
                <c:pt idx="312">
                  <c:v>22.200000000000049</c:v>
                </c:pt>
                <c:pt idx="313">
                  <c:v>22.30000000000005</c:v>
                </c:pt>
                <c:pt idx="314">
                  <c:v>22.400000000000052</c:v>
                </c:pt>
                <c:pt idx="315">
                  <c:v>22.500000000000053</c:v>
                </c:pt>
                <c:pt idx="316">
                  <c:v>22.600000000000055</c:v>
                </c:pt>
                <c:pt idx="317">
                  <c:v>22.700000000000056</c:v>
                </c:pt>
                <c:pt idx="318">
                  <c:v>22.800000000000058</c:v>
                </c:pt>
                <c:pt idx="319">
                  <c:v>22.900000000000059</c:v>
                </c:pt>
                <c:pt idx="320">
                  <c:v>23.00000000000006</c:v>
                </c:pt>
                <c:pt idx="321">
                  <c:v>23.100000000000062</c:v>
                </c:pt>
                <c:pt idx="322">
                  <c:v>23.200000000000063</c:v>
                </c:pt>
                <c:pt idx="323">
                  <c:v>23.300000000000065</c:v>
                </c:pt>
                <c:pt idx="324">
                  <c:v>23.400000000000066</c:v>
                </c:pt>
                <c:pt idx="325">
                  <c:v>23.500000000000068</c:v>
                </c:pt>
                <c:pt idx="326">
                  <c:v>23.600000000000069</c:v>
                </c:pt>
                <c:pt idx="327">
                  <c:v>23.70000000000007</c:v>
                </c:pt>
                <c:pt idx="328">
                  <c:v>23.800000000000072</c:v>
                </c:pt>
                <c:pt idx="329">
                  <c:v>23.900000000000073</c:v>
                </c:pt>
                <c:pt idx="330">
                  <c:v>24.000000000000075</c:v>
                </c:pt>
                <c:pt idx="331">
                  <c:v>24.100000000000076</c:v>
                </c:pt>
                <c:pt idx="332">
                  <c:v>24.200000000000077</c:v>
                </c:pt>
                <c:pt idx="333">
                  <c:v>24.300000000000079</c:v>
                </c:pt>
                <c:pt idx="334">
                  <c:v>24.40000000000008</c:v>
                </c:pt>
                <c:pt idx="335">
                  <c:v>24.500000000000082</c:v>
                </c:pt>
                <c:pt idx="336">
                  <c:v>24.600000000000083</c:v>
                </c:pt>
                <c:pt idx="337">
                  <c:v>24.700000000000085</c:v>
                </c:pt>
                <c:pt idx="338">
                  <c:v>24.800000000000086</c:v>
                </c:pt>
                <c:pt idx="339">
                  <c:v>24.900000000000087</c:v>
                </c:pt>
                <c:pt idx="340">
                  <c:v>25.000000000000089</c:v>
                </c:pt>
                <c:pt idx="341">
                  <c:v>25.10000000000009</c:v>
                </c:pt>
                <c:pt idx="342">
                  <c:v>25.200000000000092</c:v>
                </c:pt>
                <c:pt idx="343">
                  <c:v>25.300000000000093</c:v>
                </c:pt>
                <c:pt idx="344">
                  <c:v>25.400000000000095</c:v>
                </c:pt>
                <c:pt idx="345">
                  <c:v>25.500000000000096</c:v>
                </c:pt>
                <c:pt idx="346">
                  <c:v>25.600000000000097</c:v>
                </c:pt>
                <c:pt idx="347">
                  <c:v>25.700000000000099</c:v>
                </c:pt>
                <c:pt idx="348">
                  <c:v>25.8000000000001</c:v>
                </c:pt>
                <c:pt idx="349">
                  <c:v>25.900000000000102</c:v>
                </c:pt>
                <c:pt idx="350">
                  <c:v>26.000000000000103</c:v>
                </c:pt>
                <c:pt idx="351">
                  <c:v>26.100000000000104</c:v>
                </c:pt>
                <c:pt idx="352">
                  <c:v>26.200000000000106</c:v>
                </c:pt>
                <c:pt idx="353">
                  <c:v>26.300000000000107</c:v>
                </c:pt>
                <c:pt idx="354">
                  <c:v>26.400000000000109</c:v>
                </c:pt>
                <c:pt idx="355">
                  <c:v>26.50000000000011</c:v>
                </c:pt>
                <c:pt idx="356">
                  <c:v>26.600000000000112</c:v>
                </c:pt>
                <c:pt idx="357">
                  <c:v>26.700000000000113</c:v>
                </c:pt>
                <c:pt idx="358">
                  <c:v>26.800000000000114</c:v>
                </c:pt>
                <c:pt idx="359">
                  <c:v>26.900000000000116</c:v>
                </c:pt>
                <c:pt idx="360">
                  <c:v>27.000000000000117</c:v>
                </c:pt>
                <c:pt idx="361">
                  <c:v>27.100000000000119</c:v>
                </c:pt>
                <c:pt idx="362">
                  <c:v>27.20000000000012</c:v>
                </c:pt>
                <c:pt idx="363">
                  <c:v>27.300000000000122</c:v>
                </c:pt>
                <c:pt idx="364">
                  <c:v>27.400000000000123</c:v>
                </c:pt>
                <c:pt idx="365">
                  <c:v>27.500000000000124</c:v>
                </c:pt>
                <c:pt idx="366">
                  <c:v>27.600000000000126</c:v>
                </c:pt>
                <c:pt idx="367">
                  <c:v>27.700000000000127</c:v>
                </c:pt>
                <c:pt idx="368">
                  <c:v>27.800000000000129</c:v>
                </c:pt>
                <c:pt idx="369">
                  <c:v>27.90000000000013</c:v>
                </c:pt>
                <c:pt idx="370">
                  <c:v>28.000000000000131</c:v>
                </c:pt>
                <c:pt idx="371">
                  <c:v>28.100000000000133</c:v>
                </c:pt>
                <c:pt idx="372">
                  <c:v>28.200000000000134</c:v>
                </c:pt>
                <c:pt idx="373">
                  <c:v>28.300000000000136</c:v>
                </c:pt>
                <c:pt idx="374">
                  <c:v>28.400000000000137</c:v>
                </c:pt>
                <c:pt idx="375">
                  <c:v>28.500000000000139</c:v>
                </c:pt>
                <c:pt idx="376">
                  <c:v>28.60000000000014</c:v>
                </c:pt>
                <c:pt idx="377">
                  <c:v>28.700000000000141</c:v>
                </c:pt>
                <c:pt idx="378">
                  <c:v>28.800000000000143</c:v>
                </c:pt>
                <c:pt idx="379">
                  <c:v>28.900000000000144</c:v>
                </c:pt>
                <c:pt idx="380">
                  <c:v>29.000000000000146</c:v>
                </c:pt>
                <c:pt idx="381">
                  <c:v>29.100000000000147</c:v>
                </c:pt>
                <c:pt idx="382">
                  <c:v>29.200000000000149</c:v>
                </c:pt>
                <c:pt idx="383">
                  <c:v>29.200100000000148</c:v>
                </c:pt>
                <c:pt idx="384">
                  <c:v>29.200200000000148</c:v>
                </c:pt>
                <c:pt idx="385">
                  <c:v>29.200300000000148</c:v>
                </c:pt>
                <c:pt idx="386">
                  <c:v>29.200400000000148</c:v>
                </c:pt>
                <c:pt idx="387">
                  <c:v>29.200500000000147</c:v>
                </c:pt>
                <c:pt idx="388">
                  <c:v>29.200600000000147</c:v>
                </c:pt>
                <c:pt idx="389">
                  <c:v>29.200700000000147</c:v>
                </c:pt>
                <c:pt idx="390">
                  <c:v>29.200800000000147</c:v>
                </c:pt>
                <c:pt idx="391">
                  <c:v>29.200900000000146</c:v>
                </c:pt>
                <c:pt idx="392">
                  <c:v>29.201000000000146</c:v>
                </c:pt>
                <c:pt idx="393">
                  <c:v>29.201100000000146</c:v>
                </c:pt>
                <c:pt idx="394">
                  <c:v>29.201200000000146</c:v>
                </c:pt>
                <c:pt idx="395">
                  <c:v>29.201300000000145</c:v>
                </c:pt>
                <c:pt idx="396">
                  <c:v>29.201400000000145</c:v>
                </c:pt>
                <c:pt idx="397">
                  <c:v>29.201500000000145</c:v>
                </c:pt>
                <c:pt idx="398">
                  <c:v>29.201600000000145</c:v>
                </c:pt>
                <c:pt idx="399">
                  <c:v>29.201700000000145</c:v>
                </c:pt>
                <c:pt idx="400">
                  <c:v>29.201800000000144</c:v>
                </c:pt>
                <c:pt idx="401">
                  <c:v>29.201900000000144</c:v>
                </c:pt>
                <c:pt idx="402">
                  <c:v>29.202000000000144</c:v>
                </c:pt>
                <c:pt idx="403">
                  <c:v>29.202100000000144</c:v>
                </c:pt>
                <c:pt idx="404">
                  <c:v>29.202200000000143</c:v>
                </c:pt>
                <c:pt idx="405">
                  <c:v>29.202300000000143</c:v>
                </c:pt>
                <c:pt idx="406">
                  <c:v>29.202400000000143</c:v>
                </c:pt>
                <c:pt idx="407">
                  <c:v>29.202500000000143</c:v>
                </c:pt>
                <c:pt idx="408">
                  <c:v>29.202600000000142</c:v>
                </c:pt>
                <c:pt idx="409">
                  <c:v>29.202700000000142</c:v>
                </c:pt>
                <c:pt idx="410">
                  <c:v>29.202800000000142</c:v>
                </c:pt>
                <c:pt idx="411">
                  <c:v>29.202900000000142</c:v>
                </c:pt>
                <c:pt idx="412">
                  <c:v>29.203000000000142</c:v>
                </c:pt>
                <c:pt idx="413">
                  <c:v>29.203100000000141</c:v>
                </c:pt>
                <c:pt idx="414">
                  <c:v>29.203200000000141</c:v>
                </c:pt>
                <c:pt idx="415">
                  <c:v>29.203300000000141</c:v>
                </c:pt>
                <c:pt idx="416">
                  <c:v>29.203400000000141</c:v>
                </c:pt>
                <c:pt idx="417">
                  <c:v>29.20350000000014</c:v>
                </c:pt>
                <c:pt idx="418">
                  <c:v>29.20360000000014</c:v>
                </c:pt>
                <c:pt idx="419">
                  <c:v>29.20370000000014</c:v>
                </c:pt>
                <c:pt idx="420">
                  <c:v>29.20380000000014</c:v>
                </c:pt>
                <c:pt idx="421">
                  <c:v>29.203900000000139</c:v>
                </c:pt>
                <c:pt idx="422">
                  <c:v>29.204000000000139</c:v>
                </c:pt>
                <c:pt idx="423">
                  <c:v>29.204100000000139</c:v>
                </c:pt>
                <c:pt idx="424">
                  <c:v>29.204200000000139</c:v>
                </c:pt>
                <c:pt idx="425">
                  <c:v>29.204300000000138</c:v>
                </c:pt>
                <c:pt idx="426">
                  <c:v>29.204400000000138</c:v>
                </c:pt>
                <c:pt idx="427">
                  <c:v>29.204500000000138</c:v>
                </c:pt>
                <c:pt idx="428">
                  <c:v>29.204600000000138</c:v>
                </c:pt>
                <c:pt idx="429">
                  <c:v>29.204700000000138</c:v>
                </c:pt>
                <c:pt idx="430">
                  <c:v>29.204800000000137</c:v>
                </c:pt>
                <c:pt idx="431">
                  <c:v>29.204900000000137</c:v>
                </c:pt>
                <c:pt idx="432">
                  <c:v>29.205000000000137</c:v>
                </c:pt>
                <c:pt idx="433">
                  <c:v>29.205100000000137</c:v>
                </c:pt>
                <c:pt idx="434">
                  <c:v>29.205200000000136</c:v>
                </c:pt>
                <c:pt idx="435">
                  <c:v>29.205300000000136</c:v>
                </c:pt>
                <c:pt idx="436">
                  <c:v>29.205400000000136</c:v>
                </c:pt>
                <c:pt idx="437">
                  <c:v>29.205500000000136</c:v>
                </c:pt>
                <c:pt idx="438">
                  <c:v>29.205600000000135</c:v>
                </c:pt>
                <c:pt idx="439">
                  <c:v>29.205700000000135</c:v>
                </c:pt>
                <c:pt idx="440">
                  <c:v>29.205800000000135</c:v>
                </c:pt>
                <c:pt idx="441">
                  <c:v>29.205900000000135</c:v>
                </c:pt>
                <c:pt idx="442">
                  <c:v>29.206000000000135</c:v>
                </c:pt>
                <c:pt idx="443">
                  <c:v>29.206100000000134</c:v>
                </c:pt>
                <c:pt idx="444">
                  <c:v>29.206200000000134</c:v>
                </c:pt>
                <c:pt idx="445">
                  <c:v>29.206300000000134</c:v>
                </c:pt>
                <c:pt idx="446">
                  <c:v>29.206400000000134</c:v>
                </c:pt>
                <c:pt idx="447">
                  <c:v>29.206500000000133</c:v>
                </c:pt>
                <c:pt idx="448">
                  <c:v>29.206600000000133</c:v>
                </c:pt>
                <c:pt idx="449">
                  <c:v>29.206700000000133</c:v>
                </c:pt>
                <c:pt idx="450">
                  <c:v>29.206800000000133</c:v>
                </c:pt>
                <c:pt idx="451">
                  <c:v>29.206900000000132</c:v>
                </c:pt>
                <c:pt idx="452">
                  <c:v>29.207000000000132</c:v>
                </c:pt>
                <c:pt idx="453">
                  <c:v>29.207100000000132</c:v>
                </c:pt>
                <c:pt idx="454">
                  <c:v>29.207200000000132</c:v>
                </c:pt>
                <c:pt idx="455">
                  <c:v>29.207300000000131</c:v>
                </c:pt>
                <c:pt idx="456">
                  <c:v>29.207400000000131</c:v>
                </c:pt>
                <c:pt idx="457">
                  <c:v>29.207500000000131</c:v>
                </c:pt>
                <c:pt idx="458">
                  <c:v>29.207600000000131</c:v>
                </c:pt>
                <c:pt idx="459">
                  <c:v>29.207700000000131</c:v>
                </c:pt>
                <c:pt idx="460">
                  <c:v>29.20780000000013</c:v>
                </c:pt>
                <c:pt idx="461">
                  <c:v>29.20790000000013</c:v>
                </c:pt>
                <c:pt idx="462">
                  <c:v>29.20800000000013</c:v>
                </c:pt>
                <c:pt idx="463">
                  <c:v>29.20810000000013</c:v>
                </c:pt>
                <c:pt idx="464">
                  <c:v>29.208200000000129</c:v>
                </c:pt>
                <c:pt idx="465">
                  <c:v>29.208300000000129</c:v>
                </c:pt>
                <c:pt idx="466">
                  <c:v>29.208400000000129</c:v>
                </c:pt>
                <c:pt idx="467">
                  <c:v>29.208500000000129</c:v>
                </c:pt>
                <c:pt idx="468">
                  <c:v>29.208600000000128</c:v>
                </c:pt>
                <c:pt idx="469">
                  <c:v>29.208700000000128</c:v>
                </c:pt>
                <c:pt idx="470">
                  <c:v>29.208800000000128</c:v>
                </c:pt>
                <c:pt idx="471">
                  <c:v>29.208900000000128</c:v>
                </c:pt>
                <c:pt idx="472">
                  <c:v>29.209000000000128</c:v>
                </c:pt>
                <c:pt idx="473">
                  <c:v>29.209100000000127</c:v>
                </c:pt>
                <c:pt idx="474">
                  <c:v>29.209200000000127</c:v>
                </c:pt>
                <c:pt idx="475">
                  <c:v>29.209300000000127</c:v>
                </c:pt>
                <c:pt idx="476">
                  <c:v>29.209400000000127</c:v>
                </c:pt>
                <c:pt idx="477">
                  <c:v>29.209500000000126</c:v>
                </c:pt>
                <c:pt idx="478">
                  <c:v>29.209600000000126</c:v>
                </c:pt>
                <c:pt idx="479">
                  <c:v>29.209700000000126</c:v>
                </c:pt>
                <c:pt idx="480">
                  <c:v>29.209800000000126</c:v>
                </c:pt>
                <c:pt idx="481">
                  <c:v>29.209900000000125</c:v>
                </c:pt>
                <c:pt idx="482">
                  <c:v>29.210000000000125</c:v>
                </c:pt>
                <c:pt idx="483">
                  <c:v>29.210100000000125</c:v>
                </c:pt>
                <c:pt idx="484">
                  <c:v>29.210200000000125</c:v>
                </c:pt>
                <c:pt idx="485">
                  <c:v>29.210300000000124</c:v>
                </c:pt>
                <c:pt idx="486">
                  <c:v>29.210400000000124</c:v>
                </c:pt>
                <c:pt idx="487">
                  <c:v>29.210500000000124</c:v>
                </c:pt>
                <c:pt idx="488">
                  <c:v>29.210600000000124</c:v>
                </c:pt>
                <c:pt idx="489">
                  <c:v>29.210700000000124</c:v>
                </c:pt>
                <c:pt idx="490">
                  <c:v>29.210800000000123</c:v>
                </c:pt>
                <c:pt idx="491">
                  <c:v>29.210900000000123</c:v>
                </c:pt>
                <c:pt idx="492">
                  <c:v>29.211000000000123</c:v>
                </c:pt>
                <c:pt idx="493">
                  <c:v>29.211100000000123</c:v>
                </c:pt>
                <c:pt idx="494">
                  <c:v>29.211200000000122</c:v>
                </c:pt>
                <c:pt idx="495">
                  <c:v>29.211300000000122</c:v>
                </c:pt>
                <c:pt idx="496">
                  <c:v>29.211400000000122</c:v>
                </c:pt>
                <c:pt idx="497">
                  <c:v>29.211500000000122</c:v>
                </c:pt>
                <c:pt idx="498">
                  <c:v>29.211600000000121</c:v>
                </c:pt>
                <c:pt idx="499">
                  <c:v>29.211700000000121</c:v>
                </c:pt>
                <c:pt idx="500">
                  <c:v>29.211800000000121</c:v>
                </c:pt>
                <c:pt idx="501">
                  <c:v>29.211900000000121</c:v>
                </c:pt>
                <c:pt idx="502">
                  <c:v>29.212000000000121</c:v>
                </c:pt>
                <c:pt idx="503">
                  <c:v>29.21210000000012</c:v>
                </c:pt>
                <c:pt idx="504">
                  <c:v>29.21220000000012</c:v>
                </c:pt>
                <c:pt idx="505">
                  <c:v>29.21230000000012</c:v>
                </c:pt>
                <c:pt idx="506">
                  <c:v>29.21240000000012</c:v>
                </c:pt>
                <c:pt idx="507">
                  <c:v>29.212500000000119</c:v>
                </c:pt>
                <c:pt idx="508">
                  <c:v>29.212600000000119</c:v>
                </c:pt>
                <c:pt idx="509">
                  <c:v>29.212700000000119</c:v>
                </c:pt>
                <c:pt idx="510">
                  <c:v>29.212800000000119</c:v>
                </c:pt>
                <c:pt idx="511">
                  <c:v>29.212900000000118</c:v>
                </c:pt>
                <c:pt idx="512">
                  <c:v>29.213000000000118</c:v>
                </c:pt>
                <c:pt idx="513">
                  <c:v>29.213100000000118</c:v>
                </c:pt>
                <c:pt idx="514">
                  <c:v>29.213200000000118</c:v>
                </c:pt>
                <c:pt idx="515">
                  <c:v>29.213300000000118</c:v>
                </c:pt>
                <c:pt idx="516">
                  <c:v>29.213400000000117</c:v>
                </c:pt>
                <c:pt idx="517">
                  <c:v>29.213500000000117</c:v>
                </c:pt>
                <c:pt idx="518">
                  <c:v>29.213600000000117</c:v>
                </c:pt>
                <c:pt idx="519">
                  <c:v>29.213700000000117</c:v>
                </c:pt>
                <c:pt idx="520">
                  <c:v>29.213800000000116</c:v>
                </c:pt>
                <c:pt idx="521">
                  <c:v>29.213900000000116</c:v>
                </c:pt>
                <c:pt idx="522">
                  <c:v>29.214000000000116</c:v>
                </c:pt>
                <c:pt idx="523">
                  <c:v>29.214100000000116</c:v>
                </c:pt>
                <c:pt idx="524">
                  <c:v>29.214200000000115</c:v>
                </c:pt>
                <c:pt idx="525">
                  <c:v>29.214300000000115</c:v>
                </c:pt>
                <c:pt idx="526">
                  <c:v>29.214400000000115</c:v>
                </c:pt>
                <c:pt idx="527">
                  <c:v>29.214500000000115</c:v>
                </c:pt>
                <c:pt idx="528">
                  <c:v>29.214600000000114</c:v>
                </c:pt>
                <c:pt idx="529">
                  <c:v>29.214700000000114</c:v>
                </c:pt>
                <c:pt idx="530">
                  <c:v>29.214800000000114</c:v>
                </c:pt>
                <c:pt idx="531">
                  <c:v>29.214900000000114</c:v>
                </c:pt>
                <c:pt idx="532">
                  <c:v>29.215000000000114</c:v>
                </c:pt>
                <c:pt idx="533">
                  <c:v>29.215100000000113</c:v>
                </c:pt>
                <c:pt idx="534">
                  <c:v>29.215200000000113</c:v>
                </c:pt>
                <c:pt idx="535">
                  <c:v>29.215300000000113</c:v>
                </c:pt>
                <c:pt idx="536">
                  <c:v>29.215400000000113</c:v>
                </c:pt>
                <c:pt idx="537">
                  <c:v>29.215500000000112</c:v>
                </c:pt>
                <c:pt idx="538">
                  <c:v>29.215600000000112</c:v>
                </c:pt>
                <c:pt idx="539">
                  <c:v>29.215700000000112</c:v>
                </c:pt>
                <c:pt idx="540">
                  <c:v>29.215800000000112</c:v>
                </c:pt>
                <c:pt idx="541">
                  <c:v>29.215900000000111</c:v>
                </c:pt>
                <c:pt idx="542">
                  <c:v>29.216000000000111</c:v>
                </c:pt>
                <c:pt idx="543">
                  <c:v>29.216100000000111</c:v>
                </c:pt>
                <c:pt idx="544">
                  <c:v>29.216200000000111</c:v>
                </c:pt>
                <c:pt idx="545">
                  <c:v>29.216300000000111</c:v>
                </c:pt>
                <c:pt idx="546">
                  <c:v>29.21640000000011</c:v>
                </c:pt>
                <c:pt idx="547">
                  <c:v>29.21650000000011</c:v>
                </c:pt>
                <c:pt idx="548">
                  <c:v>29.21660000000011</c:v>
                </c:pt>
                <c:pt idx="549">
                  <c:v>29.21670000000011</c:v>
                </c:pt>
                <c:pt idx="550">
                  <c:v>29.216800000000109</c:v>
                </c:pt>
                <c:pt idx="551">
                  <c:v>29.216900000000109</c:v>
                </c:pt>
                <c:pt idx="552">
                  <c:v>29.217000000000109</c:v>
                </c:pt>
                <c:pt idx="553">
                  <c:v>29.217100000000109</c:v>
                </c:pt>
                <c:pt idx="554">
                  <c:v>29.217200000000108</c:v>
                </c:pt>
                <c:pt idx="555">
                  <c:v>29.217300000000108</c:v>
                </c:pt>
                <c:pt idx="556">
                  <c:v>29.217400000000108</c:v>
                </c:pt>
                <c:pt idx="557">
                  <c:v>29.217500000000108</c:v>
                </c:pt>
                <c:pt idx="558">
                  <c:v>29.217600000000107</c:v>
                </c:pt>
                <c:pt idx="559">
                  <c:v>29.217700000000107</c:v>
                </c:pt>
                <c:pt idx="560">
                  <c:v>29.217800000000107</c:v>
                </c:pt>
                <c:pt idx="561">
                  <c:v>29.217900000000107</c:v>
                </c:pt>
                <c:pt idx="562">
                  <c:v>29.218000000000107</c:v>
                </c:pt>
                <c:pt idx="563">
                  <c:v>29.218100000000106</c:v>
                </c:pt>
                <c:pt idx="564">
                  <c:v>29.218200000000106</c:v>
                </c:pt>
                <c:pt idx="565">
                  <c:v>29.218300000000106</c:v>
                </c:pt>
                <c:pt idx="566">
                  <c:v>29.218400000000106</c:v>
                </c:pt>
                <c:pt idx="567">
                  <c:v>29.218500000000105</c:v>
                </c:pt>
                <c:pt idx="568">
                  <c:v>29.218600000000105</c:v>
                </c:pt>
                <c:pt idx="569">
                  <c:v>29.218700000000105</c:v>
                </c:pt>
                <c:pt idx="570">
                  <c:v>29.218800000000105</c:v>
                </c:pt>
                <c:pt idx="571">
                  <c:v>29.218900000000104</c:v>
                </c:pt>
                <c:pt idx="572">
                  <c:v>29.219000000000104</c:v>
                </c:pt>
                <c:pt idx="573">
                  <c:v>29.219100000000104</c:v>
                </c:pt>
                <c:pt idx="574">
                  <c:v>29.219200000000104</c:v>
                </c:pt>
                <c:pt idx="575">
                  <c:v>29.219300000000104</c:v>
                </c:pt>
                <c:pt idx="576">
                  <c:v>29.219400000000103</c:v>
                </c:pt>
                <c:pt idx="577">
                  <c:v>29.219500000000103</c:v>
                </c:pt>
                <c:pt idx="578">
                  <c:v>29.219600000000103</c:v>
                </c:pt>
                <c:pt idx="579">
                  <c:v>29.219700000000103</c:v>
                </c:pt>
                <c:pt idx="580">
                  <c:v>29.219800000000102</c:v>
                </c:pt>
                <c:pt idx="581">
                  <c:v>29.219900000000102</c:v>
                </c:pt>
                <c:pt idx="582">
                  <c:v>29.220000000000102</c:v>
                </c:pt>
                <c:pt idx="583">
                  <c:v>29.220100000000102</c:v>
                </c:pt>
                <c:pt idx="584">
                  <c:v>29.220200000000101</c:v>
                </c:pt>
                <c:pt idx="585">
                  <c:v>29.220300000000101</c:v>
                </c:pt>
                <c:pt idx="586">
                  <c:v>29.220400000000101</c:v>
                </c:pt>
                <c:pt idx="587">
                  <c:v>29.220500000000101</c:v>
                </c:pt>
                <c:pt idx="588">
                  <c:v>29.2206000000001</c:v>
                </c:pt>
                <c:pt idx="589">
                  <c:v>29.2207000000001</c:v>
                </c:pt>
                <c:pt idx="590">
                  <c:v>29.2208000000001</c:v>
                </c:pt>
                <c:pt idx="591">
                  <c:v>29.2209000000001</c:v>
                </c:pt>
                <c:pt idx="592">
                  <c:v>29.2210000000001</c:v>
                </c:pt>
                <c:pt idx="593">
                  <c:v>29.221100000000099</c:v>
                </c:pt>
                <c:pt idx="594">
                  <c:v>29.221200000000099</c:v>
                </c:pt>
                <c:pt idx="595">
                  <c:v>29.221300000000099</c:v>
                </c:pt>
                <c:pt idx="596">
                  <c:v>29.221400000000099</c:v>
                </c:pt>
                <c:pt idx="597">
                  <c:v>29.221500000000098</c:v>
                </c:pt>
                <c:pt idx="598">
                  <c:v>29.221600000000098</c:v>
                </c:pt>
                <c:pt idx="599">
                  <c:v>29.221700000000098</c:v>
                </c:pt>
                <c:pt idx="600">
                  <c:v>29.221800000000098</c:v>
                </c:pt>
                <c:pt idx="601">
                  <c:v>29.221900000000097</c:v>
                </c:pt>
                <c:pt idx="602">
                  <c:v>29.222000000000097</c:v>
                </c:pt>
                <c:pt idx="603">
                  <c:v>29.222100000000097</c:v>
                </c:pt>
                <c:pt idx="604">
                  <c:v>29.222200000000097</c:v>
                </c:pt>
                <c:pt idx="605">
                  <c:v>29.222300000000097</c:v>
                </c:pt>
                <c:pt idx="606">
                  <c:v>29.222400000000096</c:v>
                </c:pt>
                <c:pt idx="607">
                  <c:v>29.222500000000096</c:v>
                </c:pt>
                <c:pt idx="608">
                  <c:v>29.222600000000096</c:v>
                </c:pt>
                <c:pt idx="609">
                  <c:v>29.222700000000096</c:v>
                </c:pt>
                <c:pt idx="610">
                  <c:v>29.222800000000095</c:v>
                </c:pt>
                <c:pt idx="611">
                  <c:v>29.222900000000095</c:v>
                </c:pt>
                <c:pt idx="612">
                  <c:v>29.223000000000095</c:v>
                </c:pt>
                <c:pt idx="613">
                  <c:v>29.223100000000095</c:v>
                </c:pt>
                <c:pt idx="614">
                  <c:v>29.223200000000094</c:v>
                </c:pt>
                <c:pt idx="615">
                  <c:v>29.223300000000094</c:v>
                </c:pt>
                <c:pt idx="616">
                  <c:v>29.223400000000094</c:v>
                </c:pt>
                <c:pt idx="617">
                  <c:v>29.223500000000094</c:v>
                </c:pt>
                <c:pt idx="618">
                  <c:v>29.223600000000094</c:v>
                </c:pt>
                <c:pt idx="619">
                  <c:v>29.223700000000093</c:v>
                </c:pt>
                <c:pt idx="620">
                  <c:v>29.223800000000093</c:v>
                </c:pt>
                <c:pt idx="621">
                  <c:v>29.223900000000093</c:v>
                </c:pt>
                <c:pt idx="622">
                  <c:v>29.224000000000093</c:v>
                </c:pt>
                <c:pt idx="623">
                  <c:v>29.224100000000092</c:v>
                </c:pt>
                <c:pt idx="624">
                  <c:v>29.224200000000092</c:v>
                </c:pt>
                <c:pt idx="625">
                  <c:v>29.224300000000092</c:v>
                </c:pt>
                <c:pt idx="626">
                  <c:v>29.224400000000092</c:v>
                </c:pt>
                <c:pt idx="627">
                  <c:v>29.224500000000091</c:v>
                </c:pt>
                <c:pt idx="628">
                  <c:v>29.224600000000091</c:v>
                </c:pt>
                <c:pt idx="629">
                  <c:v>29.224700000000091</c:v>
                </c:pt>
                <c:pt idx="630">
                  <c:v>29.224800000000091</c:v>
                </c:pt>
                <c:pt idx="631">
                  <c:v>29.22490000000009</c:v>
                </c:pt>
                <c:pt idx="632">
                  <c:v>29.22500000000009</c:v>
                </c:pt>
                <c:pt idx="633">
                  <c:v>29.22510000000009</c:v>
                </c:pt>
                <c:pt idx="634">
                  <c:v>29.22520000000009</c:v>
                </c:pt>
                <c:pt idx="635">
                  <c:v>29.22530000000009</c:v>
                </c:pt>
                <c:pt idx="636">
                  <c:v>29.225400000000089</c:v>
                </c:pt>
                <c:pt idx="637">
                  <c:v>29.225500000000089</c:v>
                </c:pt>
                <c:pt idx="638">
                  <c:v>29.225600000000089</c:v>
                </c:pt>
                <c:pt idx="639">
                  <c:v>29.225700000000089</c:v>
                </c:pt>
                <c:pt idx="640">
                  <c:v>29.225800000000088</c:v>
                </c:pt>
                <c:pt idx="641">
                  <c:v>29.225900000000088</c:v>
                </c:pt>
                <c:pt idx="642">
                  <c:v>29.226000000000088</c:v>
                </c:pt>
                <c:pt idx="643">
                  <c:v>29.226100000000088</c:v>
                </c:pt>
                <c:pt idx="644">
                  <c:v>29.226200000000087</c:v>
                </c:pt>
                <c:pt idx="645">
                  <c:v>29.226300000000087</c:v>
                </c:pt>
                <c:pt idx="646">
                  <c:v>29.226400000000087</c:v>
                </c:pt>
                <c:pt idx="647">
                  <c:v>29.226500000000087</c:v>
                </c:pt>
                <c:pt idx="648">
                  <c:v>29.226600000000087</c:v>
                </c:pt>
                <c:pt idx="649">
                  <c:v>29.226700000000086</c:v>
                </c:pt>
                <c:pt idx="650">
                  <c:v>29.226800000000086</c:v>
                </c:pt>
                <c:pt idx="651">
                  <c:v>29.226900000000086</c:v>
                </c:pt>
                <c:pt idx="652">
                  <c:v>29.227000000000086</c:v>
                </c:pt>
                <c:pt idx="653">
                  <c:v>29.227100000000085</c:v>
                </c:pt>
                <c:pt idx="654">
                  <c:v>29.227200000000085</c:v>
                </c:pt>
                <c:pt idx="655">
                  <c:v>29.227300000000085</c:v>
                </c:pt>
                <c:pt idx="656">
                  <c:v>29.227400000000085</c:v>
                </c:pt>
                <c:pt idx="657">
                  <c:v>29.227500000000084</c:v>
                </c:pt>
                <c:pt idx="658">
                  <c:v>29.227600000000084</c:v>
                </c:pt>
                <c:pt idx="659">
                  <c:v>29.227700000000084</c:v>
                </c:pt>
                <c:pt idx="660">
                  <c:v>29.227800000000084</c:v>
                </c:pt>
                <c:pt idx="661">
                  <c:v>29.227900000000083</c:v>
                </c:pt>
                <c:pt idx="662">
                  <c:v>29.228000000000083</c:v>
                </c:pt>
                <c:pt idx="663">
                  <c:v>29.228100000000083</c:v>
                </c:pt>
                <c:pt idx="664">
                  <c:v>29.228200000000083</c:v>
                </c:pt>
                <c:pt idx="665">
                  <c:v>29.228300000000083</c:v>
                </c:pt>
                <c:pt idx="666">
                  <c:v>29.228400000000082</c:v>
                </c:pt>
                <c:pt idx="667">
                  <c:v>29.228500000000082</c:v>
                </c:pt>
                <c:pt idx="668">
                  <c:v>29.228600000000082</c:v>
                </c:pt>
                <c:pt idx="669">
                  <c:v>29.228700000000082</c:v>
                </c:pt>
                <c:pt idx="670">
                  <c:v>29.228800000000081</c:v>
                </c:pt>
                <c:pt idx="671">
                  <c:v>29.228900000000081</c:v>
                </c:pt>
                <c:pt idx="672">
                  <c:v>29.229000000000081</c:v>
                </c:pt>
                <c:pt idx="673">
                  <c:v>29.229100000000081</c:v>
                </c:pt>
                <c:pt idx="674">
                  <c:v>29.22920000000008</c:v>
                </c:pt>
                <c:pt idx="675">
                  <c:v>29.22930000000008</c:v>
                </c:pt>
                <c:pt idx="676">
                  <c:v>29.22940000000008</c:v>
                </c:pt>
                <c:pt idx="677">
                  <c:v>29.22950000000008</c:v>
                </c:pt>
                <c:pt idx="678">
                  <c:v>29.22960000000008</c:v>
                </c:pt>
                <c:pt idx="679">
                  <c:v>29.229700000000079</c:v>
                </c:pt>
                <c:pt idx="680">
                  <c:v>29.229800000000079</c:v>
                </c:pt>
                <c:pt idx="681">
                  <c:v>29.229900000000079</c:v>
                </c:pt>
                <c:pt idx="682">
                  <c:v>29.230000000000079</c:v>
                </c:pt>
                <c:pt idx="683">
                  <c:v>29.230100000000078</c:v>
                </c:pt>
                <c:pt idx="684">
                  <c:v>29.230200000000078</c:v>
                </c:pt>
                <c:pt idx="685">
                  <c:v>29.230300000000078</c:v>
                </c:pt>
                <c:pt idx="686">
                  <c:v>29.230400000000078</c:v>
                </c:pt>
                <c:pt idx="687">
                  <c:v>29.230500000000077</c:v>
                </c:pt>
                <c:pt idx="688">
                  <c:v>29.230600000000077</c:v>
                </c:pt>
                <c:pt idx="689">
                  <c:v>29.230700000000077</c:v>
                </c:pt>
                <c:pt idx="690">
                  <c:v>29.230800000000077</c:v>
                </c:pt>
                <c:pt idx="691">
                  <c:v>29.230900000000076</c:v>
                </c:pt>
                <c:pt idx="692">
                  <c:v>29.231000000000076</c:v>
                </c:pt>
                <c:pt idx="693">
                  <c:v>29.231100000000076</c:v>
                </c:pt>
                <c:pt idx="694">
                  <c:v>29.231200000000076</c:v>
                </c:pt>
                <c:pt idx="695">
                  <c:v>29.231300000000076</c:v>
                </c:pt>
                <c:pt idx="696">
                  <c:v>29.231400000000075</c:v>
                </c:pt>
                <c:pt idx="697">
                  <c:v>29.231500000000075</c:v>
                </c:pt>
                <c:pt idx="698">
                  <c:v>29.231600000000075</c:v>
                </c:pt>
                <c:pt idx="699">
                  <c:v>29.231700000000075</c:v>
                </c:pt>
                <c:pt idx="700">
                  <c:v>29.231800000000074</c:v>
                </c:pt>
                <c:pt idx="701">
                  <c:v>29.231900000000074</c:v>
                </c:pt>
                <c:pt idx="702">
                  <c:v>29.232000000000074</c:v>
                </c:pt>
                <c:pt idx="703">
                  <c:v>29.232100000000074</c:v>
                </c:pt>
                <c:pt idx="704">
                  <c:v>29.232200000000073</c:v>
                </c:pt>
                <c:pt idx="705">
                  <c:v>29.232300000000073</c:v>
                </c:pt>
                <c:pt idx="706">
                  <c:v>29.232400000000073</c:v>
                </c:pt>
                <c:pt idx="707">
                  <c:v>29.232500000000073</c:v>
                </c:pt>
                <c:pt idx="708">
                  <c:v>29.232600000000073</c:v>
                </c:pt>
                <c:pt idx="709">
                  <c:v>29.232700000000072</c:v>
                </c:pt>
                <c:pt idx="710">
                  <c:v>29.232800000000072</c:v>
                </c:pt>
                <c:pt idx="711">
                  <c:v>29.232900000000072</c:v>
                </c:pt>
                <c:pt idx="712">
                  <c:v>29.233000000000072</c:v>
                </c:pt>
                <c:pt idx="713">
                  <c:v>29.233100000000071</c:v>
                </c:pt>
                <c:pt idx="714">
                  <c:v>29.233200000000071</c:v>
                </c:pt>
                <c:pt idx="715">
                  <c:v>29.233300000000071</c:v>
                </c:pt>
                <c:pt idx="716">
                  <c:v>29.233400000000071</c:v>
                </c:pt>
                <c:pt idx="717">
                  <c:v>29.23350000000007</c:v>
                </c:pt>
                <c:pt idx="718">
                  <c:v>29.23360000000007</c:v>
                </c:pt>
                <c:pt idx="719">
                  <c:v>29.23370000000007</c:v>
                </c:pt>
                <c:pt idx="720">
                  <c:v>29.23380000000007</c:v>
                </c:pt>
                <c:pt idx="721">
                  <c:v>29.233900000000069</c:v>
                </c:pt>
                <c:pt idx="722">
                  <c:v>29.234000000000069</c:v>
                </c:pt>
                <c:pt idx="723">
                  <c:v>29.234100000000069</c:v>
                </c:pt>
                <c:pt idx="724">
                  <c:v>29.234200000000069</c:v>
                </c:pt>
                <c:pt idx="725">
                  <c:v>29.234300000000069</c:v>
                </c:pt>
                <c:pt idx="726">
                  <c:v>29.234400000000068</c:v>
                </c:pt>
                <c:pt idx="727">
                  <c:v>29.234500000000068</c:v>
                </c:pt>
                <c:pt idx="728">
                  <c:v>29.234600000000068</c:v>
                </c:pt>
                <c:pt idx="729">
                  <c:v>29.234700000000068</c:v>
                </c:pt>
                <c:pt idx="730">
                  <c:v>29.234800000000067</c:v>
                </c:pt>
                <c:pt idx="731">
                  <c:v>29.234900000000067</c:v>
                </c:pt>
                <c:pt idx="732">
                  <c:v>29.235000000000067</c:v>
                </c:pt>
                <c:pt idx="733">
                  <c:v>29.235100000000067</c:v>
                </c:pt>
                <c:pt idx="734">
                  <c:v>29.235200000000066</c:v>
                </c:pt>
                <c:pt idx="735">
                  <c:v>29.235300000000066</c:v>
                </c:pt>
                <c:pt idx="736">
                  <c:v>29.235400000000066</c:v>
                </c:pt>
                <c:pt idx="737">
                  <c:v>29.235500000000066</c:v>
                </c:pt>
                <c:pt idx="738">
                  <c:v>29.235600000000066</c:v>
                </c:pt>
                <c:pt idx="739">
                  <c:v>29.235700000000065</c:v>
                </c:pt>
                <c:pt idx="740">
                  <c:v>29.235800000000065</c:v>
                </c:pt>
                <c:pt idx="741">
                  <c:v>29.235900000000065</c:v>
                </c:pt>
                <c:pt idx="742">
                  <c:v>29.236000000000065</c:v>
                </c:pt>
                <c:pt idx="743">
                  <c:v>29.236100000000064</c:v>
                </c:pt>
                <c:pt idx="744">
                  <c:v>29.236200000000064</c:v>
                </c:pt>
                <c:pt idx="745">
                  <c:v>29.236300000000064</c:v>
                </c:pt>
                <c:pt idx="746">
                  <c:v>29.236400000000064</c:v>
                </c:pt>
                <c:pt idx="747">
                  <c:v>29.236500000000063</c:v>
                </c:pt>
                <c:pt idx="748">
                  <c:v>29.236600000000063</c:v>
                </c:pt>
                <c:pt idx="749">
                  <c:v>29.236700000000063</c:v>
                </c:pt>
                <c:pt idx="750">
                  <c:v>29.236800000000063</c:v>
                </c:pt>
                <c:pt idx="751">
                  <c:v>29.236900000000063</c:v>
                </c:pt>
                <c:pt idx="752">
                  <c:v>29.237000000000062</c:v>
                </c:pt>
                <c:pt idx="753">
                  <c:v>29.237100000000062</c:v>
                </c:pt>
                <c:pt idx="754">
                  <c:v>29.237200000000062</c:v>
                </c:pt>
                <c:pt idx="755">
                  <c:v>29.237300000000062</c:v>
                </c:pt>
                <c:pt idx="756">
                  <c:v>29.237400000000061</c:v>
                </c:pt>
                <c:pt idx="757">
                  <c:v>29.237500000000061</c:v>
                </c:pt>
                <c:pt idx="758">
                  <c:v>29.237600000000061</c:v>
                </c:pt>
                <c:pt idx="759">
                  <c:v>29.237700000000061</c:v>
                </c:pt>
                <c:pt idx="760">
                  <c:v>29.23780000000006</c:v>
                </c:pt>
                <c:pt idx="761">
                  <c:v>29.23790000000006</c:v>
                </c:pt>
                <c:pt idx="762">
                  <c:v>29.23800000000006</c:v>
                </c:pt>
                <c:pt idx="763">
                  <c:v>29.23810000000006</c:v>
                </c:pt>
                <c:pt idx="764">
                  <c:v>29.238200000000059</c:v>
                </c:pt>
                <c:pt idx="765">
                  <c:v>29.238300000000059</c:v>
                </c:pt>
                <c:pt idx="766">
                  <c:v>29.238400000000059</c:v>
                </c:pt>
                <c:pt idx="767">
                  <c:v>29.238500000000059</c:v>
                </c:pt>
                <c:pt idx="768">
                  <c:v>29.238600000000059</c:v>
                </c:pt>
                <c:pt idx="769">
                  <c:v>29.238700000000058</c:v>
                </c:pt>
                <c:pt idx="770">
                  <c:v>29.238800000000058</c:v>
                </c:pt>
                <c:pt idx="771">
                  <c:v>29.238900000000058</c:v>
                </c:pt>
                <c:pt idx="772">
                  <c:v>29.239000000000058</c:v>
                </c:pt>
                <c:pt idx="773">
                  <c:v>29.239100000000057</c:v>
                </c:pt>
                <c:pt idx="774">
                  <c:v>29.239200000000057</c:v>
                </c:pt>
                <c:pt idx="775">
                  <c:v>29.239300000000057</c:v>
                </c:pt>
                <c:pt idx="776">
                  <c:v>29.239400000000057</c:v>
                </c:pt>
                <c:pt idx="777">
                  <c:v>29.239500000000056</c:v>
                </c:pt>
                <c:pt idx="778">
                  <c:v>29.239600000000056</c:v>
                </c:pt>
                <c:pt idx="779">
                  <c:v>29.239700000000056</c:v>
                </c:pt>
                <c:pt idx="780">
                  <c:v>29.239800000000056</c:v>
                </c:pt>
                <c:pt idx="781">
                  <c:v>29.239900000000056</c:v>
                </c:pt>
                <c:pt idx="782">
                  <c:v>29.240000000000055</c:v>
                </c:pt>
                <c:pt idx="783">
                  <c:v>29.240100000000055</c:v>
                </c:pt>
                <c:pt idx="784">
                  <c:v>29.240200000000055</c:v>
                </c:pt>
                <c:pt idx="785">
                  <c:v>29.240300000000055</c:v>
                </c:pt>
                <c:pt idx="786">
                  <c:v>29.240400000000054</c:v>
                </c:pt>
                <c:pt idx="787">
                  <c:v>29.240500000000054</c:v>
                </c:pt>
                <c:pt idx="788">
                  <c:v>29.240600000000054</c:v>
                </c:pt>
                <c:pt idx="789">
                  <c:v>29.240700000000054</c:v>
                </c:pt>
                <c:pt idx="790">
                  <c:v>29.240800000000053</c:v>
                </c:pt>
                <c:pt idx="791">
                  <c:v>29.240900000000053</c:v>
                </c:pt>
                <c:pt idx="792">
                  <c:v>29.241000000000053</c:v>
                </c:pt>
                <c:pt idx="793">
                  <c:v>29.241100000000053</c:v>
                </c:pt>
                <c:pt idx="794">
                  <c:v>29.241200000000052</c:v>
                </c:pt>
                <c:pt idx="795">
                  <c:v>29.241300000000052</c:v>
                </c:pt>
                <c:pt idx="796">
                  <c:v>29.241400000000052</c:v>
                </c:pt>
                <c:pt idx="797">
                  <c:v>29.241500000000052</c:v>
                </c:pt>
                <c:pt idx="798">
                  <c:v>29.241600000000052</c:v>
                </c:pt>
                <c:pt idx="799">
                  <c:v>29.241700000000051</c:v>
                </c:pt>
                <c:pt idx="800">
                  <c:v>29.241800000000051</c:v>
                </c:pt>
                <c:pt idx="801">
                  <c:v>29.241900000000051</c:v>
                </c:pt>
                <c:pt idx="802">
                  <c:v>29.242000000000051</c:v>
                </c:pt>
                <c:pt idx="803">
                  <c:v>29.24210000000005</c:v>
                </c:pt>
                <c:pt idx="804">
                  <c:v>29.24220000000005</c:v>
                </c:pt>
                <c:pt idx="805">
                  <c:v>29.24230000000005</c:v>
                </c:pt>
                <c:pt idx="806">
                  <c:v>29.24240000000005</c:v>
                </c:pt>
                <c:pt idx="807">
                  <c:v>29.242500000000049</c:v>
                </c:pt>
                <c:pt idx="808">
                  <c:v>29.242600000000049</c:v>
                </c:pt>
                <c:pt idx="809">
                  <c:v>29.242700000000049</c:v>
                </c:pt>
                <c:pt idx="810">
                  <c:v>29.242800000000049</c:v>
                </c:pt>
                <c:pt idx="811">
                  <c:v>29.242900000000049</c:v>
                </c:pt>
                <c:pt idx="812">
                  <c:v>29.243000000000048</c:v>
                </c:pt>
                <c:pt idx="813">
                  <c:v>29.243100000000048</c:v>
                </c:pt>
                <c:pt idx="814">
                  <c:v>29.243200000000048</c:v>
                </c:pt>
                <c:pt idx="815">
                  <c:v>29.243300000000048</c:v>
                </c:pt>
                <c:pt idx="816">
                  <c:v>29.243400000000047</c:v>
                </c:pt>
                <c:pt idx="817">
                  <c:v>29.243500000000047</c:v>
                </c:pt>
                <c:pt idx="818">
                  <c:v>29.243600000000047</c:v>
                </c:pt>
                <c:pt idx="819">
                  <c:v>29.243700000000047</c:v>
                </c:pt>
                <c:pt idx="820">
                  <c:v>29.243800000000046</c:v>
                </c:pt>
                <c:pt idx="821">
                  <c:v>29.243900000000046</c:v>
                </c:pt>
                <c:pt idx="822">
                  <c:v>29.244000000000046</c:v>
                </c:pt>
                <c:pt idx="823">
                  <c:v>29.244100000000046</c:v>
                </c:pt>
                <c:pt idx="824">
                  <c:v>29.244200000000045</c:v>
                </c:pt>
                <c:pt idx="825">
                  <c:v>29.244300000000045</c:v>
                </c:pt>
                <c:pt idx="826">
                  <c:v>29.244400000000045</c:v>
                </c:pt>
                <c:pt idx="827">
                  <c:v>29.244500000000045</c:v>
                </c:pt>
                <c:pt idx="828">
                  <c:v>29.244600000000045</c:v>
                </c:pt>
                <c:pt idx="829">
                  <c:v>29.244700000000044</c:v>
                </c:pt>
                <c:pt idx="830">
                  <c:v>29.244800000000044</c:v>
                </c:pt>
                <c:pt idx="831">
                  <c:v>29.244900000000044</c:v>
                </c:pt>
                <c:pt idx="832">
                  <c:v>29.245000000000044</c:v>
                </c:pt>
                <c:pt idx="833">
                  <c:v>29.245100000000043</c:v>
                </c:pt>
                <c:pt idx="834">
                  <c:v>29.245200000000043</c:v>
                </c:pt>
                <c:pt idx="835">
                  <c:v>29.245300000000043</c:v>
                </c:pt>
                <c:pt idx="836">
                  <c:v>29.245400000000043</c:v>
                </c:pt>
                <c:pt idx="837">
                  <c:v>29.245500000000042</c:v>
                </c:pt>
                <c:pt idx="838">
                  <c:v>29.245600000000042</c:v>
                </c:pt>
                <c:pt idx="839">
                  <c:v>29.245700000000042</c:v>
                </c:pt>
                <c:pt idx="840">
                  <c:v>29.245800000000042</c:v>
                </c:pt>
                <c:pt idx="841">
                  <c:v>29.245900000000042</c:v>
                </c:pt>
                <c:pt idx="842">
                  <c:v>29.246000000000041</c:v>
                </c:pt>
                <c:pt idx="843">
                  <c:v>29.246100000000041</c:v>
                </c:pt>
                <c:pt idx="844">
                  <c:v>29.246200000000041</c:v>
                </c:pt>
                <c:pt idx="845">
                  <c:v>29.246300000000041</c:v>
                </c:pt>
                <c:pt idx="846">
                  <c:v>29.24640000000004</c:v>
                </c:pt>
                <c:pt idx="847">
                  <c:v>29.24650000000004</c:v>
                </c:pt>
                <c:pt idx="848">
                  <c:v>29.24660000000004</c:v>
                </c:pt>
                <c:pt idx="849">
                  <c:v>29.24670000000004</c:v>
                </c:pt>
                <c:pt idx="850">
                  <c:v>29.246800000000039</c:v>
                </c:pt>
                <c:pt idx="851">
                  <c:v>29.246900000000039</c:v>
                </c:pt>
                <c:pt idx="852">
                  <c:v>29.247000000000039</c:v>
                </c:pt>
                <c:pt idx="853">
                  <c:v>29.247100000000039</c:v>
                </c:pt>
                <c:pt idx="854">
                  <c:v>29.247200000000039</c:v>
                </c:pt>
                <c:pt idx="855">
                  <c:v>29.247300000000038</c:v>
                </c:pt>
                <c:pt idx="856">
                  <c:v>29.247400000000038</c:v>
                </c:pt>
                <c:pt idx="857">
                  <c:v>29.247500000000038</c:v>
                </c:pt>
                <c:pt idx="858">
                  <c:v>29.247600000000038</c:v>
                </c:pt>
                <c:pt idx="859">
                  <c:v>29.247700000000037</c:v>
                </c:pt>
                <c:pt idx="860">
                  <c:v>29.247800000000037</c:v>
                </c:pt>
                <c:pt idx="861">
                  <c:v>29.247900000000037</c:v>
                </c:pt>
                <c:pt idx="862">
                  <c:v>29.248000000000037</c:v>
                </c:pt>
                <c:pt idx="863">
                  <c:v>29.248100000000036</c:v>
                </c:pt>
                <c:pt idx="864">
                  <c:v>29.248200000000036</c:v>
                </c:pt>
                <c:pt idx="865">
                  <c:v>29.248300000000036</c:v>
                </c:pt>
                <c:pt idx="866">
                  <c:v>29.248400000000036</c:v>
                </c:pt>
                <c:pt idx="867">
                  <c:v>29.248500000000035</c:v>
                </c:pt>
                <c:pt idx="868">
                  <c:v>29.248600000000035</c:v>
                </c:pt>
                <c:pt idx="869">
                  <c:v>29.248700000000035</c:v>
                </c:pt>
                <c:pt idx="870">
                  <c:v>29.248800000000035</c:v>
                </c:pt>
                <c:pt idx="871">
                  <c:v>29.248900000000035</c:v>
                </c:pt>
                <c:pt idx="872">
                  <c:v>29.249000000000034</c:v>
                </c:pt>
                <c:pt idx="873">
                  <c:v>29.249100000000034</c:v>
                </c:pt>
                <c:pt idx="874">
                  <c:v>29.249200000000034</c:v>
                </c:pt>
                <c:pt idx="875">
                  <c:v>29.249300000000034</c:v>
                </c:pt>
                <c:pt idx="876">
                  <c:v>29.249400000000033</c:v>
                </c:pt>
                <c:pt idx="877">
                  <c:v>29.249500000000033</c:v>
                </c:pt>
                <c:pt idx="878">
                  <c:v>29.249600000000033</c:v>
                </c:pt>
                <c:pt idx="879">
                  <c:v>29.249700000000033</c:v>
                </c:pt>
                <c:pt idx="880">
                  <c:v>29.249800000000032</c:v>
                </c:pt>
                <c:pt idx="881">
                  <c:v>29.249900000000032</c:v>
                </c:pt>
                <c:pt idx="882">
                  <c:v>29.250000000000032</c:v>
                </c:pt>
                <c:pt idx="883">
                  <c:v>29.250100000000032</c:v>
                </c:pt>
                <c:pt idx="884">
                  <c:v>29.250200000000032</c:v>
                </c:pt>
                <c:pt idx="885">
                  <c:v>29.250300000000031</c:v>
                </c:pt>
                <c:pt idx="886">
                  <c:v>29.250400000000031</c:v>
                </c:pt>
                <c:pt idx="887">
                  <c:v>29.250500000000031</c:v>
                </c:pt>
                <c:pt idx="888">
                  <c:v>29.250600000000031</c:v>
                </c:pt>
                <c:pt idx="889">
                  <c:v>29.25070000000003</c:v>
                </c:pt>
                <c:pt idx="890">
                  <c:v>29.25080000000003</c:v>
                </c:pt>
                <c:pt idx="891">
                  <c:v>29.25090000000003</c:v>
                </c:pt>
                <c:pt idx="892">
                  <c:v>29.25100000000003</c:v>
                </c:pt>
                <c:pt idx="893">
                  <c:v>29.251100000000029</c:v>
                </c:pt>
                <c:pt idx="894">
                  <c:v>29.251200000000029</c:v>
                </c:pt>
                <c:pt idx="895">
                  <c:v>29.251300000000029</c:v>
                </c:pt>
                <c:pt idx="896">
                  <c:v>29.251400000000029</c:v>
                </c:pt>
                <c:pt idx="897">
                  <c:v>29.251500000000028</c:v>
                </c:pt>
                <c:pt idx="898">
                  <c:v>29.251600000000028</c:v>
                </c:pt>
                <c:pt idx="899">
                  <c:v>29.251700000000028</c:v>
                </c:pt>
                <c:pt idx="900">
                  <c:v>29.251800000000028</c:v>
                </c:pt>
                <c:pt idx="901">
                  <c:v>29.251900000000028</c:v>
                </c:pt>
                <c:pt idx="902">
                  <c:v>29.252000000000027</c:v>
                </c:pt>
                <c:pt idx="903">
                  <c:v>29.252100000000027</c:v>
                </c:pt>
                <c:pt idx="904">
                  <c:v>29.252200000000027</c:v>
                </c:pt>
                <c:pt idx="905">
                  <c:v>29.252300000000027</c:v>
                </c:pt>
                <c:pt idx="906">
                  <c:v>29.252400000000026</c:v>
                </c:pt>
                <c:pt idx="907">
                  <c:v>29.252500000000026</c:v>
                </c:pt>
                <c:pt idx="908">
                  <c:v>29.252600000000026</c:v>
                </c:pt>
                <c:pt idx="909">
                  <c:v>29.252700000000026</c:v>
                </c:pt>
                <c:pt idx="910">
                  <c:v>29.252800000000025</c:v>
                </c:pt>
                <c:pt idx="911">
                  <c:v>29.252900000000025</c:v>
                </c:pt>
                <c:pt idx="912">
                  <c:v>29.253000000000025</c:v>
                </c:pt>
                <c:pt idx="913">
                  <c:v>29.253100000000025</c:v>
                </c:pt>
                <c:pt idx="914">
                  <c:v>29.253200000000025</c:v>
                </c:pt>
                <c:pt idx="915">
                  <c:v>29.253300000000024</c:v>
                </c:pt>
                <c:pt idx="916">
                  <c:v>29.253400000000024</c:v>
                </c:pt>
                <c:pt idx="917">
                  <c:v>29.253500000000024</c:v>
                </c:pt>
                <c:pt idx="918">
                  <c:v>29.253600000000024</c:v>
                </c:pt>
                <c:pt idx="919">
                  <c:v>29.253700000000023</c:v>
                </c:pt>
                <c:pt idx="920">
                  <c:v>29.253800000000023</c:v>
                </c:pt>
                <c:pt idx="921">
                  <c:v>29.253900000000023</c:v>
                </c:pt>
                <c:pt idx="922">
                  <c:v>29.254000000000023</c:v>
                </c:pt>
                <c:pt idx="923">
                  <c:v>29.254100000000022</c:v>
                </c:pt>
                <c:pt idx="924">
                  <c:v>29.254200000000022</c:v>
                </c:pt>
                <c:pt idx="925">
                  <c:v>29.254300000000022</c:v>
                </c:pt>
                <c:pt idx="926">
                  <c:v>29.254400000000022</c:v>
                </c:pt>
                <c:pt idx="927">
                  <c:v>29.254500000000021</c:v>
                </c:pt>
                <c:pt idx="928">
                  <c:v>29.254600000000021</c:v>
                </c:pt>
                <c:pt idx="929">
                  <c:v>29.254700000000021</c:v>
                </c:pt>
                <c:pt idx="930">
                  <c:v>29.254800000000021</c:v>
                </c:pt>
                <c:pt idx="931">
                  <c:v>29.254900000000021</c:v>
                </c:pt>
                <c:pt idx="932">
                  <c:v>29.25500000000002</c:v>
                </c:pt>
                <c:pt idx="933">
                  <c:v>29.25510000000002</c:v>
                </c:pt>
                <c:pt idx="934">
                  <c:v>29.25520000000002</c:v>
                </c:pt>
                <c:pt idx="935">
                  <c:v>29.25530000000002</c:v>
                </c:pt>
                <c:pt idx="936">
                  <c:v>29.255400000000019</c:v>
                </c:pt>
                <c:pt idx="937">
                  <c:v>29.255500000000019</c:v>
                </c:pt>
                <c:pt idx="938">
                  <c:v>29.255600000000019</c:v>
                </c:pt>
                <c:pt idx="939">
                  <c:v>29.255700000000019</c:v>
                </c:pt>
                <c:pt idx="940">
                  <c:v>29.255800000000018</c:v>
                </c:pt>
                <c:pt idx="941">
                  <c:v>29.255900000000018</c:v>
                </c:pt>
                <c:pt idx="942">
                  <c:v>29.256000000000018</c:v>
                </c:pt>
                <c:pt idx="943">
                  <c:v>29.256100000000018</c:v>
                </c:pt>
                <c:pt idx="944">
                  <c:v>29.256200000000018</c:v>
                </c:pt>
                <c:pt idx="945">
                  <c:v>29.256300000000017</c:v>
                </c:pt>
                <c:pt idx="946">
                  <c:v>29.256400000000017</c:v>
                </c:pt>
                <c:pt idx="947">
                  <c:v>29.256500000000017</c:v>
                </c:pt>
                <c:pt idx="948">
                  <c:v>29.256600000000017</c:v>
                </c:pt>
                <c:pt idx="949">
                  <c:v>29.256700000000016</c:v>
                </c:pt>
                <c:pt idx="950">
                  <c:v>29.256800000000016</c:v>
                </c:pt>
                <c:pt idx="951">
                  <c:v>29.256900000000016</c:v>
                </c:pt>
                <c:pt idx="952">
                  <c:v>29.257000000000016</c:v>
                </c:pt>
                <c:pt idx="953">
                  <c:v>29.257100000000015</c:v>
                </c:pt>
                <c:pt idx="954">
                  <c:v>29.257200000000015</c:v>
                </c:pt>
                <c:pt idx="955">
                  <c:v>29.257300000000015</c:v>
                </c:pt>
                <c:pt idx="956">
                  <c:v>29.257400000000015</c:v>
                </c:pt>
                <c:pt idx="957">
                  <c:v>29.257500000000014</c:v>
                </c:pt>
                <c:pt idx="958">
                  <c:v>29.257600000000014</c:v>
                </c:pt>
                <c:pt idx="959">
                  <c:v>29.257700000000014</c:v>
                </c:pt>
                <c:pt idx="960">
                  <c:v>29.257800000000014</c:v>
                </c:pt>
                <c:pt idx="961">
                  <c:v>29.257900000000014</c:v>
                </c:pt>
                <c:pt idx="962">
                  <c:v>29.258000000000013</c:v>
                </c:pt>
                <c:pt idx="963">
                  <c:v>29.258100000000013</c:v>
                </c:pt>
                <c:pt idx="964">
                  <c:v>29.258200000000013</c:v>
                </c:pt>
                <c:pt idx="965">
                  <c:v>29.258300000000013</c:v>
                </c:pt>
                <c:pt idx="966">
                  <c:v>29.258400000000012</c:v>
                </c:pt>
                <c:pt idx="967">
                  <c:v>29.258500000000012</c:v>
                </c:pt>
                <c:pt idx="968">
                  <c:v>29.258600000000012</c:v>
                </c:pt>
                <c:pt idx="969">
                  <c:v>29.258700000000012</c:v>
                </c:pt>
                <c:pt idx="970">
                  <c:v>29.258800000000011</c:v>
                </c:pt>
                <c:pt idx="971">
                  <c:v>29.258900000000011</c:v>
                </c:pt>
                <c:pt idx="972">
                  <c:v>29.259000000000011</c:v>
                </c:pt>
                <c:pt idx="973">
                  <c:v>29.259100000000011</c:v>
                </c:pt>
                <c:pt idx="974">
                  <c:v>29.259200000000011</c:v>
                </c:pt>
                <c:pt idx="975">
                  <c:v>29.25930000000001</c:v>
                </c:pt>
                <c:pt idx="976">
                  <c:v>29.25940000000001</c:v>
                </c:pt>
                <c:pt idx="977">
                  <c:v>29.25950000000001</c:v>
                </c:pt>
                <c:pt idx="978">
                  <c:v>29.25960000000001</c:v>
                </c:pt>
                <c:pt idx="979">
                  <c:v>29.259700000000009</c:v>
                </c:pt>
                <c:pt idx="980">
                  <c:v>29.259800000000009</c:v>
                </c:pt>
                <c:pt idx="981">
                  <c:v>29.259900000000009</c:v>
                </c:pt>
                <c:pt idx="982">
                  <c:v>29.260000000000009</c:v>
                </c:pt>
                <c:pt idx="983">
                  <c:v>29.260100000000008</c:v>
                </c:pt>
                <c:pt idx="984">
                  <c:v>29.260200000000008</c:v>
                </c:pt>
                <c:pt idx="985">
                  <c:v>29.260300000000008</c:v>
                </c:pt>
                <c:pt idx="986">
                  <c:v>29.260400000000008</c:v>
                </c:pt>
                <c:pt idx="987">
                  <c:v>29.260500000000008</c:v>
                </c:pt>
                <c:pt idx="988">
                  <c:v>29.260600000000007</c:v>
                </c:pt>
                <c:pt idx="989">
                  <c:v>29.260700000000007</c:v>
                </c:pt>
                <c:pt idx="990">
                  <c:v>29.260800000000007</c:v>
                </c:pt>
                <c:pt idx="991">
                  <c:v>29.260900000000007</c:v>
                </c:pt>
                <c:pt idx="992">
                  <c:v>29.261000000000006</c:v>
                </c:pt>
                <c:pt idx="993">
                  <c:v>29.261100000000006</c:v>
                </c:pt>
                <c:pt idx="994">
                  <c:v>29.261200000000006</c:v>
                </c:pt>
                <c:pt idx="995">
                  <c:v>29.261300000000006</c:v>
                </c:pt>
                <c:pt idx="996">
                  <c:v>29.261400000000005</c:v>
                </c:pt>
                <c:pt idx="997">
                  <c:v>29.261500000000005</c:v>
                </c:pt>
                <c:pt idx="998">
                  <c:v>29.261600000000005</c:v>
                </c:pt>
                <c:pt idx="999">
                  <c:v>29.261700000000005</c:v>
                </c:pt>
                <c:pt idx="1000">
                  <c:v>29.261800000000004</c:v>
                </c:pt>
              </c:numCache>
            </c:numRef>
          </c:xVal>
          <c:yVal>
            <c:numRef>
              <c:f>Calculs!$Q$4:$Q$1004</c:f>
              <c:numCache>
                <c:formatCode>0.00</c:formatCode>
                <c:ptCount val="1001"/>
                <c:pt idx="0">
                  <c:v>0</c:v>
                </c:pt>
                <c:pt idx="1">
                  <c:v>5.0000000000000001E-4</c:v>
                </c:pt>
                <c:pt idx="2">
                  <c:v>1.4999999999999998E-3</c:v>
                </c:pt>
                <c:pt idx="3">
                  <c:v>2.4999999999999996E-3</c:v>
                </c:pt>
                <c:pt idx="4">
                  <c:v>3.5000000000000001E-3</c:v>
                </c:pt>
                <c:pt idx="5">
                  <c:v>4.5000000000000005E-3</c:v>
                </c:pt>
                <c:pt idx="6">
                  <c:v>5.5000000000000005E-3</c:v>
                </c:pt>
                <c:pt idx="7">
                  <c:v>6.4999999999999997E-3</c:v>
                </c:pt>
                <c:pt idx="8">
                  <c:v>7.4999999999999989E-3</c:v>
                </c:pt>
                <c:pt idx="9">
                  <c:v>8.4999999999999989E-3</c:v>
                </c:pt>
                <c:pt idx="10">
                  <c:v>9.499999999999998E-3</c:v>
                </c:pt>
                <c:pt idx="11">
                  <c:v>9.5000000000000032E-3</c:v>
                </c:pt>
                <c:pt idx="12">
                  <c:v>8.5000000000000041E-3</c:v>
                </c:pt>
                <c:pt idx="13">
                  <c:v>7.5000000000000032E-3</c:v>
                </c:pt>
                <c:pt idx="14">
                  <c:v>6.5000000000000023E-3</c:v>
                </c:pt>
                <c:pt idx="15">
                  <c:v>5.5000000000000023E-3</c:v>
                </c:pt>
                <c:pt idx="16">
                  <c:v>4.5000000000000014E-3</c:v>
                </c:pt>
                <c:pt idx="17">
                  <c:v>3.5000000000000005E-3</c:v>
                </c:pt>
                <c:pt idx="18">
                  <c:v>2.4999999999999996E-3</c:v>
                </c:pt>
                <c:pt idx="19">
                  <c:v>1.4999999999999996E-3</c:v>
                </c:pt>
                <c:pt idx="20">
                  <c:v>4.9999999999999871E-4</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numCache>
            </c:numRef>
          </c:yVal>
          <c:smooth val="0"/>
          <c:extLst>
            <c:ext xmlns:c16="http://schemas.microsoft.com/office/drawing/2014/chart" uri="{C3380CC4-5D6E-409C-BE32-E72D297353CC}">
              <c16:uniqueId val="{00000000-B98B-46BB-BB51-DAAA2071230C}"/>
            </c:ext>
          </c:extLst>
        </c:ser>
        <c:ser>
          <c:idx val="2"/>
          <c:order val="1"/>
          <c:tx>
            <c:strRef>
              <c:f>Courbes!$B$135</c:f>
              <c:strCache>
                <c:ptCount val="1"/>
                <c:pt idx="0">
                  <c:v>Poids</c:v>
                </c:pt>
              </c:strCache>
            </c:strRef>
          </c:tx>
          <c:spPr>
            <a:ln w="25400">
              <a:solidFill>
                <a:srgbClr val="0000FF"/>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1.1000000000000008</c:v>
                </c:pt>
                <c:pt idx="102">
                  <c:v>1.2000000000000008</c:v>
                </c:pt>
                <c:pt idx="103">
                  <c:v>1.3000000000000009</c:v>
                </c:pt>
                <c:pt idx="104">
                  <c:v>1.400000000000001</c:v>
                </c:pt>
                <c:pt idx="105">
                  <c:v>1.5000000000000011</c:v>
                </c:pt>
                <c:pt idx="106">
                  <c:v>1.6000000000000012</c:v>
                </c:pt>
                <c:pt idx="107">
                  <c:v>1.7000000000000013</c:v>
                </c:pt>
                <c:pt idx="108">
                  <c:v>1.8000000000000014</c:v>
                </c:pt>
                <c:pt idx="109">
                  <c:v>1.9000000000000015</c:v>
                </c:pt>
                <c:pt idx="110">
                  <c:v>2.0000000000000013</c:v>
                </c:pt>
                <c:pt idx="111">
                  <c:v>2.1000000000000014</c:v>
                </c:pt>
                <c:pt idx="112">
                  <c:v>2.2000000000000015</c:v>
                </c:pt>
                <c:pt idx="113">
                  <c:v>2.3000000000000016</c:v>
                </c:pt>
                <c:pt idx="114">
                  <c:v>2.4000000000000017</c:v>
                </c:pt>
                <c:pt idx="115">
                  <c:v>2.5000000000000018</c:v>
                </c:pt>
                <c:pt idx="116">
                  <c:v>2.6000000000000019</c:v>
                </c:pt>
                <c:pt idx="117">
                  <c:v>2.700000000000002</c:v>
                </c:pt>
                <c:pt idx="118">
                  <c:v>2.800000000000002</c:v>
                </c:pt>
                <c:pt idx="119">
                  <c:v>2.9000000000000021</c:v>
                </c:pt>
                <c:pt idx="120">
                  <c:v>3.0000000000000022</c:v>
                </c:pt>
                <c:pt idx="121">
                  <c:v>3.1000000000000023</c:v>
                </c:pt>
                <c:pt idx="122">
                  <c:v>3.2000000000000024</c:v>
                </c:pt>
                <c:pt idx="123">
                  <c:v>3.3000000000000025</c:v>
                </c:pt>
                <c:pt idx="124">
                  <c:v>3.4000000000000026</c:v>
                </c:pt>
                <c:pt idx="125">
                  <c:v>3.5000000000000027</c:v>
                </c:pt>
                <c:pt idx="126">
                  <c:v>3.6000000000000028</c:v>
                </c:pt>
                <c:pt idx="127">
                  <c:v>3.7000000000000028</c:v>
                </c:pt>
                <c:pt idx="128">
                  <c:v>3.8000000000000029</c:v>
                </c:pt>
                <c:pt idx="129">
                  <c:v>3.900000000000003</c:v>
                </c:pt>
                <c:pt idx="130">
                  <c:v>4.0000000000000027</c:v>
                </c:pt>
                <c:pt idx="131">
                  <c:v>4.1000000000000023</c:v>
                </c:pt>
                <c:pt idx="132">
                  <c:v>4.200000000000002</c:v>
                </c:pt>
                <c:pt idx="133">
                  <c:v>4.3000000000000016</c:v>
                </c:pt>
                <c:pt idx="134">
                  <c:v>4.4000000000000012</c:v>
                </c:pt>
                <c:pt idx="135">
                  <c:v>4.5000000000000009</c:v>
                </c:pt>
                <c:pt idx="136">
                  <c:v>4.6000000000000005</c:v>
                </c:pt>
                <c:pt idx="137">
                  <c:v>4.7</c:v>
                </c:pt>
                <c:pt idx="138">
                  <c:v>4.8</c:v>
                </c:pt>
                <c:pt idx="139">
                  <c:v>4.8999999999999995</c:v>
                </c:pt>
                <c:pt idx="140">
                  <c:v>4.9999999999999991</c:v>
                </c:pt>
                <c:pt idx="141">
                  <c:v>5.0999999999999988</c:v>
                </c:pt>
                <c:pt idx="142">
                  <c:v>5.1999999999999984</c:v>
                </c:pt>
                <c:pt idx="143">
                  <c:v>5.299999999999998</c:v>
                </c:pt>
                <c:pt idx="144">
                  <c:v>5.3999999999999977</c:v>
                </c:pt>
                <c:pt idx="145">
                  <c:v>5.4999999999999973</c:v>
                </c:pt>
                <c:pt idx="146">
                  <c:v>5.599999999999997</c:v>
                </c:pt>
                <c:pt idx="147">
                  <c:v>5.6999999999999966</c:v>
                </c:pt>
                <c:pt idx="148">
                  <c:v>5.7999999999999963</c:v>
                </c:pt>
                <c:pt idx="149">
                  <c:v>5.8999999999999959</c:v>
                </c:pt>
                <c:pt idx="150">
                  <c:v>5.9999999999999956</c:v>
                </c:pt>
                <c:pt idx="151">
                  <c:v>6.0999999999999952</c:v>
                </c:pt>
                <c:pt idx="152">
                  <c:v>6.1999999999999948</c:v>
                </c:pt>
                <c:pt idx="153">
                  <c:v>6.2999999999999945</c:v>
                </c:pt>
                <c:pt idx="154">
                  <c:v>6.3999999999999941</c:v>
                </c:pt>
                <c:pt idx="155">
                  <c:v>6.4999999999999938</c:v>
                </c:pt>
                <c:pt idx="156">
                  <c:v>6.5999999999999934</c:v>
                </c:pt>
                <c:pt idx="157">
                  <c:v>6.6999999999999931</c:v>
                </c:pt>
                <c:pt idx="158">
                  <c:v>6.7999999999999927</c:v>
                </c:pt>
                <c:pt idx="159">
                  <c:v>6.8999999999999924</c:v>
                </c:pt>
                <c:pt idx="160">
                  <c:v>6.999999999999992</c:v>
                </c:pt>
                <c:pt idx="161">
                  <c:v>7.0999999999999917</c:v>
                </c:pt>
                <c:pt idx="162">
                  <c:v>7.1999999999999913</c:v>
                </c:pt>
                <c:pt idx="163">
                  <c:v>7.2999999999999909</c:v>
                </c:pt>
                <c:pt idx="164">
                  <c:v>7.3999999999999906</c:v>
                </c:pt>
                <c:pt idx="165">
                  <c:v>7.4999999999999902</c:v>
                </c:pt>
                <c:pt idx="166">
                  <c:v>7.5999999999999899</c:v>
                </c:pt>
                <c:pt idx="167">
                  <c:v>7.6999999999999895</c:v>
                </c:pt>
                <c:pt idx="168">
                  <c:v>7.7999999999999892</c:v>
                </c:pt>
                <c:pt idx="169">
                  <c:v>7.8999999999999888</c:v>
                </c:pt>
                <c:pt idx="170">
                  <c:v>7.9999999999999885</c:v>
                </c:pt>
                <c:pt idx="171">
                  <c:v>8.099999999999989</c:v>
                </c:pt>
                <c:pt idx="172">
                  <c:v>8.1999999999999886</c:v>
                </c:pt>
                <c:pt idx="173">
                  <c:v>8.2999999999999883</c:v>
                </c:pt>
                <c:pt idx="174">
                  <c:v>8.3999999999999879</c:v>
                </c:pt>
                <c:pt idx="175">
                  <c:v>8.4999999999999876</c:v>
                </c:pt>
                <c:pt idx="176">
                  <c:v>8.5999999999999872</c:v>
                </c:pt>
                <c:pt idx="177">
                  <c:v>8.6999999999999869</c:v>
                </c:pt>
                <c:pt idx="178">
                  <c:v>8.7999999999999865</c:v>
                </c:pt>
                <c:pt idx="179">
                  <c:v>8.8999999999999861</c:v>
                </c:pt>
                <c:pt idx="180">
                  <c:v>8.9999999999999858</c:v>
                </c:pt>
                <c:pt idx="181">
                  <c:v>9.0999999999999854</c:v>
                </c:pt>
                <c:pt idx="182">
                  <c:v>9.1999999999999851</c:v>
                </c:pt>
                <c:pt idx="183">
                  <c:v>9.2999999999999847</c:v>
                </c:pt>
                <c:pt idx="184">
                  <c:v>9.3999999999999844</c:v>
                </c:pt>
                <c:pt idx="185">
                  <c:v>9.499999999999984</c:v>
                </c:pt>
                <c:pt idx="186">
                  <c:v>9.5999999999999837</c:v>
                </c:pt>
                <c:pt idx="187">
                  <c:v>9.6999999999999833</c:v>
                </c:pt>
                <c:pt idx="188">
                  <c:v>9.7999999999999829</c:v>
                </c:pt>
                <c:pt idx="189">
                  <c:v>9.8999999999999826</c:v>
                </c:pt>
                <c:pt idx="190">
                  <c:v>9.9999999999999822</c:v>
                </c:pt>
                <c:pt idx="191">
                  <c:v>10.099999999999982</c:v>
                </c:pt>
                <c:pt idx="192">
                  <c:v>10.199999999999982</c:v>
                </c:pt>
                <c:pt idx="193">
                  <c:v>10.299999999999981</c:v>
                </c:pt>
                <c:pt idx="194">
                  <c:v>10.399999999999981</c:v>
                </c:pt>
                <c:pt idx="195">
                  <c:v>10.49999999999998</c:v>
                </c:pt>
                <c:pt idx="196">
                  <c:v>10.59999999999998</c:v>
                </c:pt>
                <c:pt idx="197">
                  <c:v>10.69999999999998</c:v>
                </c:pt>
                <c:pt idx="198">
                  <c:v>10.799999999999979</c:v>
                </c:pt>
                <c:pt idx="199">
                  <c:v>10.899999999999979</c:v>
                </c:pt>
                <c:pt idx="200">
                  <c:v>10.999999999999979</c:v>
                </c:pt>
                <c:pt idx="201">
                  <c:v>11.099999999999978</c:v>
                </c:pt>
                <c:pt idx="202">
                  <c:v>11.199999999999978</c:v>
                </c:pt>
                <c:pt idx="203">
                  <c:v>11.299999999999978</c:v>
                </c:pt>
                <c:pt idx="204">
                  <c:v>11.399999999999977</c:v>
                </c:pt>
                <c:pt idx="205">
                  <c:v>11.499999999999977</c:v>
                </c:pt>
                <c:pt idx="206">
                  <c:v>11.599999999999977</c:v>
                </c:pt>
                <c:pt idx="207">
                  <c:v>11.699999999999976</c:v>
                </c:pt>
                <c:pt idx="208">
                  <c:v>11.799999999999976</c:v>
                </c:pt>
                <c:pt idx="209">
                  <c:v>11.899999999999975</c:v>
                </c:pt>
                <c:pt idx="210">
                  <c:v>11.999999999999975</c:v>
                </c:pt>
                <c:pt idx="211">
                  <c:v>12.099999999999975</c:v>
                </c:pt>
                <c:pt idx="212">
                  <c:v>12.199999999999974</c:v>
                </c:pt>
                <c:pt idx="213">
                  <c:v>12.299999999999974</c:v>
                </c:pt>
                <c:pt idx="214">
                  <c:v>12.399999999999974</c:v>
                </c:pt>
                <c:pt idx="215">
                  <c:v>12.499999999999973</c:v>
                </c:pt>
                <c:pt idx="216">
                  <c:v>12.599999999999973</c:v>
                </c:pt>
                <c:pt idx="217">
                  <c:v>12.699999999999973</c:v>
                </c:pt>
                <c:pt idx="218">
                  <c:v>12.799999999999972</c:v>
                </c:pt>
                <c:pt idx="219">
                  <c:v>12.899999999999972</c:v>
                </c:pt>
                <c:pt idx="220">
                  <c:v>12.999999999999972</c:v>
                </c:pt>
                <c:pt idx="221">
                  <c:v>13.099999999999971</c:v>
                </c:pt>
                <c:pt idx="222">
                  <c:v>13.199999999999971</c:v>
                </c:pt>
                <c:pt idx="223">
                  <c:v>13.299999999999971</c:v>
                </c:pt>
                <c:pt idx="224">
                  <c:v>13.39999999999997</c:v>
                </c:pt>
                <c:pt idx="225">
                  <c:v>13.49999999999997</c:v>
                </c:pt>
                <c:pt idx="226">
                  <c:v>13.599999999999969</c:v>
                </c:pt>
                <c:pt idx="227">
                  <c:v>13.699999999999969</c:v>
                </c:pt>
                <c:pt idx="228">
                  <c:v>13.799999999999969</c:v>
                </c:pt>
                <c:pt idx="229">
                  <c:v>13.899999999999968</c:v>
                </c:pt>
                <c:pt idx="230">
                  <c:v>13.999999999999968</c:v>
                </c:pt>
                <c:pt idx="231">
                  <c:v>14.099999999999968</c:v>
                </c:pt>
                <c:pt idx="232">
                  <c:v>14.199999999999967</c:v>
                </c:pt>
                <c:pt idx="233">
                  <c:v>14.299999999999967</c:v>
                </c:pt>
                <c:pt idx="234">
                  <c:v>14.399999999999967</c:v>
                </c:pt>
                <c:pt idx="235">
                  <c:v>14.499999999999966</c:v>
                </c:pt>
                <c:pt idx="236">
                  <c:v>14.599999999999966</c:v>
                </c:pt>
                <c:pt idx="237">
                  <c:v>14.699999999999966</c:v>
                </c:pt>
                <c:pt idx="238">
                  <c:v>14.799999999999965</c:v>
                </c:pt>
                <c:pt idx="239">
                  <c:v>14.899999999999965</c:v>
                </c:pt>
                <c:pt idx="240">
                  <c:v>14.999999999999964</c:v>
                </c:pt>
                <c:pt idx="241">
                  <c:v>15.099999999999964</c:v>
                </c:pt>
                <c:pt idx="242">
                  <c:v>15.199999999999964</c:v>
                </c:pt>
                <c:pt idx="243">
                  <c:v>15.299999999999963</c:v>
                </c:pt>
                <c:pt idx="244">
                  <c:v>15.399999999999963</c:v>
                </c:pt>
                <c:pt idx="245">
                  <c:v>15.499999999999963</c:v>
                </c:pt>
                <c:pt idx="246">
                  <c:v>15.599999999999962</c:v>
                </c:pt>
                <c:pt idx="247">
                  <c:v>15.699999999999962</c:v>
                </c:pt>
                <c:pt idx="248">
                  <c:v>15.799999999999962</c:v>
                </c:pt>
                <c:pt idx="249">
                  <c:v>15.899999999999961</c:v>
                </c:pt>
                <c:pt idx="250">
                  <c:v>15.999999999999961</c:v>
                </c:pt>
                <c:pt idx="251">
                  <c:v>16.099999999999962</c:v>
                </c:pt>
                <c:pt idx="252">
                  <c:v>16.199999999999964</c:v>
                </c:pt>
                <c:pt idx="253">
                  <c:v>16.299999999999965</c:v>
                </c:pt>
                <c:pt idx="254">
                  <c:v>16.399999999999967</c:v>
                </c:pt>
                <c:pt idx="255">
                  <c:v>16.499999999999968</c:v>
                </c:pt>
                <c:pt idx="256">
                  <c:v>16.599999999999969</c:v>
                </c:pt>
                <c:pt idx="257">
                  <c:v>16.699999999999971</c:v>
                </c:pt>
                <c:pt idx="258">
                  <c:v>16.799999999999972</c:v>
                </c:pt>
                <c:pt idx="259">
                  <c:v>16.899999999999974</c:v>
                </c:pt>
                <c:pt idx="260">
                  <c:v>16.999999999999975</c:v>
                </c:pt>
                <c:pt idx="261">
                  <c:v>17.099999999999977</c:v>
                </c:pt>
                <c:pt idx="262">
                  <c:v>17.199999999999978</c:v>
                </c:pt>
                <c:pt idx="263">
                  <c:v>17.299999999999979</c:v>
                </c:pt>
                <c:pt idx="264">
                  <c:v>17.399999999999981</c:v>
                </c:pt>
                <c:pt idx="265">
                  <c:v>17.499999999999982</c:v>
                </c:pt>
                <c:pt idx="266">
                  <c:v>17.599999999999984</c:v>
                </c:pt>
                <c:pt idx="267">
                  <c:v>17.699999999999985</c:v>
                </c:pt>
                <c:pt idx="268">
                  <c:v>17.799999999999986</c:v>
                </c:pt>
                <c:pt idx="269">
                  <c:v>17.899999999999988</c:v>
                </c:pt>
                <c:pt idx="270">
                  <c:v>17.999999999999989</c:v>
                </c:pt>
                <c:pt idx="271">
                  <c:v>18.099999999999991</c:v>
                </c:pt>
                <c:pt idx="272">
                  <c:v>18.199999999999992</c:v>
                </c:pt>
                <c:pt idx="273">
                  <c:v>18.299999999999994</c:v>
                </c:pt>
                <c:pt idx="274">
                  <c:v>18.399999999999995</c:v>
                </c:pt>
                <c:pt idx="275">
                  <c:v>18.499999999999996</c:v>
                </c:pt>
                <c:pt idx="276">
                  <c:v>18.599999999999998</c:v>
                </c:pt>
                <c:pt idx="277">
                  <c:v>18.7</c:v>
                </c:pt>
                <c:pt idx="278">
                  <c:v>18.8</c:v>
                </c:pt>
                <c:pt idx="279">
                  <c:v>18.900000000000002</c:v>
                </c:pt>
                <c:pt idx="280">
                  <c:v>19.000000000000004</c:v>
                </c:pt>
                <c:pt idx="281">
                  <c:v>19.100000000000005</c:v>
                </c:pt>
                <c:pt idx="282">
                  <c:v>19.200000000000006</c:v>
                </c:pt>
                <c:pt idx="283">
                  <c:v>19.300000000000008</c:v>
                </c:pt>
                <c:pt idx="284">
                  <c:v>19.400000000000009</c:v>
                </c:pt>
                <c:pt idx="285">
                  <c:v>19.500000000000011</c:v>
                </c:pt>
                <c:pt idx="286">
                  <c:v>19.600000000000012</c:v>
                </c:pt>
                <c:pt idx="287">
                  <c:v>19.700000000000014</c:v>
                </c:pt>
                <c:pt idx="288">
                  <c:v>19.800000000000015</c:v>
                </c:pt>
                <c:pt idx="289">
                  <c:v>19.900000000000016</c:v>
                </c:pt>
                <c:pt idx="290">
                  <c:v>20.000000000000018</c:v>
                </c:pt>
                <c:pt idx="291">
                  <c:v>20.100000000000019</c:v>
                </c:pt>
                <c:pt idx="292">
                  <c:v>20.200000000000021</c:v>
                </c:pt>
                <c:pt idx="293">
                  <c:v>20.300000000000022</c:v>
                </c:pt>
                <c:pt idx="294">
                  <c:v>20.400000000000023</c:v>
                </c:pt>
                <c:pt idx="295">
                  <c:v>20.500000000000025</c:v>
                </c:pt>
                <c:pt idx="296">
                  <c:v>20.600000000000026</c:v>
                </c:pt>
                <c:pt idx="297">
                  <c:v>20.700000000000028</c:v>
                </c:pt>
                <c:pt idx="298">
                  <c:v>20.800000000000029</c:v>
                </c:pt>
                <c:pt idx="299">
                  <c:v>20.900000000000031</c:v>
                </c:pt>
                <c:pt idx="300">
                  <c:v>21.000000000000032</c:v>
                </c:pt>
                <c:pt idx="301">
                  <c:v>21.100000000000033</c:v>
                </c:pt>
                <c:pt idx="302">
                  <c:v>21.200000000000035</c:v>
                </c:pt>
                <c:pt idx="303">
                  <c:v>21.300000000000036</c:v>
                </c:pt>
                <c:pt idx="304">
                  <c:v>21.400000000000038</c:v>
                </c:pt>
                <c:pt idx="305">
                  <c:v>21.500000000000039</c:v>
                </c:pt>
                <c:pt idx="306">
                  <c:v>21.600000000000041</c:v>
                </c:pt>
                <c:pt idx="307">
                  <c:v>21.700000000000042</c:v>
                </c:pt>
                <c:pt idx="308">
                  <c:v>21.800000000000043</c:v>
                </c:pt>
                <c:pt idx="309">
                  <c:v>21.900000000000045</c:v>
                </c:pt>
                <c:pt idx="310">
                  <c:v>22.000000000000046</c:v>
                </c:pt>
                <c:pt idx="311">
                  <c:v>22.100000000000048</c:v>
                </c:pt>
                <c:pt idx="312">
                  <c:v>22.200000000000049</c:v>
                </c:pt>
                <c:pt idx="313">
                  <c:v>22.30000000000005</c:v>
                </c:pt>
                <c:pt idx="314">
                  <c:v>22.400000000000052</c:v>
                </c:pt>
                <c:pt idx="315">
                  <c:v>22.500000000000053</c:v>
                </c:pt>
                <c:pt idx="316">
                  <c:v>22.600000000000055</c:v>
                </c:pt>
                <c:pt idx="317">
                  <c:v>22.700000000000056</c:v>
                </c:pt>
                <c:pt idx="318">
                  <c:v>22.800000000000058</c:v>
                </c:pt>
                <c:pt idx="319">
                  <c:v>22.900000000000059</c:v>
                </c:pt>
                <c:pt idx="320">
                  <c:v>23.00000000000006</c:v>
                </c:pt>
                <c:pt idx="321">
                  <c:v>23.100000000000062</c:v>
                </c:pt>
                <c:pt idx="322">
                  <c:v>23.200000000000063</c:v>
                </c:pt>
                <c:pt idx="323">
                  <c:v>23.300000000000065</c:v>
                </c:pt>
                <c:pt idx="324">
                  <c:v>23.400000000000066</c:v>
                </c:pt>
                <c:pt idx="325">
                  <c:v>23.500000000000068</c:v>
                </c:pt>
                <c:pt idx="326">
                  <c:v>23.600000000000069</c:v>
                </c:pt>
                <c:pt idx="327">
                  <c:v>23.70000000000007</c:v>
                </c:pt>
                <c:pt idx="328">
                  <c:v>23.800000000000072</c:v>
                </c:pt>
                <c:pt idx="329">
                  <c:v>23.900000000000073</c:v>
                </c:pt>
                <c:pt idx="330">
                  <c:v>24.000000000000075</c:v>
                </c:pt>
                <c:pt idx="331">
                  <c:v>24.100000000000076</c:v>
                </c:pt>
                <c:pt idx="332">
                  <c:v>24.200000000000077</c:v>
                </c:pt>
                <c:pt idx="333">
                  <c:v>24.300000000000079</c:v>
                </c:pt>
                <c:pt idx="334">
                  <c:v>24.40000000000008</c:v>
                </c:pt>
                <c:pt idx="335">
                  <c:v>24.500000000000082</c:v>
                </c:pt>
                <c:pt idx="336">
                  <c:v>24.600000000000083</c:v>
                </c:pt>
                <c:pt idx="337">
                  <c:v>24.700000000000085</c:v>
                </c:pt>
                <c:pt idx="338">
                  <c:v>24.800000000000086</c:v>
                </c:pt>
                <c:pt idx="339">
                  <c:v>24.900000000000087</c:v>
                </c:pt>
                <c:pt idx="340">
                  <c:v>25.000000000000089</c:v>
                </c:pt>
                <c:pt idx="341">
                  <c:v>25.10000000000009</c:v>
                </c:pt>
                <c:pt idx="342">
                  <c:v>25.200000000000092</c:v>
                </c:pt>
                <c:pt idx="343">
                  <c:v>25.300000000000093</c:v>
                </c:pt>
                <c:pt idx="344">
                  <c:v>25.400000000000095</c:v>
                </c:pt>
                <c:pt idx="345">
                  <c:v>25.500000000000096</c:v>
                </c:pt>
                <c:pt idx="346">
                  <c:v>25.600000000000097</c:v>
                </c:pt>
                <c:pt idx="347">
                  <c:v>25.700000000000099</c:v>
                </c:pt>
                <c:pt idx="348">
                  <c:v>25.8000000000001</c:v>
                </c:pt>
                <c:pt idx="349">
                  <c:v>25.900000000000102</c:v>
                </c:pt>
                <c:pt idx="350">
                  <c:v>26.000000000000103</c:v>
                </c:pt>
                <c:pt idx="351">
                  <c:v>26.100000000000104</c:v>
                </c:pt>
                <c:pt idx="352">
                  <c:v>26.200000000000106</c:v>
                </c:pt>
                <c:pt idx="353">
                  <c:v>26.300000000000107</c:v>
                </c:pt>
                <c:pt idx="354">
                  <c:v>26.400000000000109</c:v>
                </c:pt>
                <c:pt idx="355">
                  <c:v>26.50000000000011</c:v>
                </c:pt>
                <c:pt idx="356">
                  <c:v>26.600000000000112</c:v>
                </c:pt>
                <c:pt idx="357">
                  <c:v>26.700000000000113</c:v>
                </c:pt>
                <c:pt idx="358">
                  <c:v>26.800000000000114</c:v>
                </c:pt>
                <c:pt idx="359">
                  <c:v>26.900000000000116</c:v>
                </c:pt>
                <c:pt idx="360">
                  <c:v>27.000000000000117</c:v>
                </c:pt>
                <c:pt idx="361">
                  <c:v>27.100000000000119</c:v>
                </c:pt>
                <c:pt idx="362">
                  <c:v>27.20000000000012</c:v>
                </c:pt>
                <c:pt idx="363">
                  <c:v>27.300000000000122</c:v>
                </c:pt>
                <c:pt idx="364">
                  <c:v>27.400000000000123</c:v>
                </c:pt>
                <c:pt idx="365">
                  <c:v>27.500000000000124</c:v>
                </c:pt>
                <c:pt idx="366">
                  <c:v>27.600000000000126</c:v>
                </c:pt>
                <c:pt idx="367">
                  <c:v>27.700000000000127</c:v>
                </c:pt>
                <c:pt idx="368">
                  <c:v>27.800000000000129</c:v>
                </c:pt>
                <c:pt idx="369">
                  <c:v>27.90000000000013</c:v>
                </c:pt>
                <c:pt idx="370">
                  <c:v>28.000000000000131</c:v>
                </c:pt>
                <c:pt idx="371">
                  <c:v>28.100000000000133</c:v>
                </c:pt>
                <c:pt idx="372">
                  <c:v>28.200000000000134</c:v>
                </c:pt>
                <c:pt idx="373">
                  <c:v>28.300000000000136</c:v>
                </c:pt>
                <c:pt idx="374">
                  <c:v>28.400000000000137</c:v>
                </c:pt>
                <c:pt idx="375">
                  <c:v>28.500000000000139</c:v>
                </c:pt>
                <c:pt idx="376">
                  <c:v>28.60000000000014</c:v>
                </c:pt>
                <c:pt idx="377">
                  <c:v>28.700000000000141</c:v>
                </c:pt>
                <c:pt idx="378">
                  <c:v>28.800000000000143</c:v>
                </c:pt>
                <c:pt idx="379">
                  <c:v>28.900000000000144</c:v>
                </c:pt>
                <c:pt idx="380">
                  <c:v>29.000000000000146</c:v>
                </c:pt>
                <c:pt idx="381">
                  <c:v>29.100000000000147</c:v>
                </c:pt>
                <c:pt idx="382">
                  <c:v>29.200000000000149</c:v>
                </c:pt>
                <c:pt idx="383">
                  <c:v>29.200100000000148</c:v>
                </c:pt>
                <c:pt idx="384">
                  <c:v>29.200200000000148</c:v>
                </c:pt>
                <c:pt idx="385">
                  <c:v>29.200300000000148</c:v>
                </c:pt>
                <c:pt idx="386">
                  <c:v>29.200400000000148</c:v>
                </c:pt>
                <c:pt idx="387">
                  <c:v>29.200500000000147</c:v>
                </c:pt>
                <c:pt idx="388">
                  <c:v>29.200600000000147</c:v>
                </c:pt>
                <c:pt idx="389">
                  <c:v>29.200700000000147</c:v>
                </c:pt>
                <c:pt idx="390">
                  <c:v>29.200800000000147</c:v>
                </c:pt>
                <c:pt idx="391">
                  <c:v>29.200900000000146</c:v>
                </c:pt>
                <c:pt idx="392">
                  <c:v>29.201000000000146</c:v>
                </c:pt>
                <c:pt idx="393">
                  <c:v>29.201100000000146</c:v>
                </c:pt>
                <c:pt idx="394">
                  <c:v>29.201200000000146</c:v>
                </c:pt>
                <c:pt idx="395">
                  <c:v>29.201300000000145</c:v>
                </c:pt>
                <c:pt idx="396">
                  <c:v>29.201400000000145</c:v>
                </c:pt>
                <c:pt idx="397">
                  <c:v>29.201500000000145</c:v>
                </c:pt>
                <c:pt idx="398">
                  <c:v>29.201600000000145</c:v>
                </c:pt>
                <c:pt idx="399">
                  <c:v>29.201700000000145</c:v>
                </c:pt>
                <c:pt idx="400">
                  <c:v>29.201800000000144</c:v>
                </c:pt>
                <c:pt idx="401">
                  <c:v>29.201900000000144</c:v>
                </c:pt>
                <c:pt idx="402">
                  <c:v>29.202000000000144</c:v>
                </c:pt>
                <c:pt idx="403">
                  <c:v>29.202100000000144</c:v>
                </c:pt>
                <c:pt idx="404">
                  <c:v>29.202200000000143</c:v>
                </c:pt>
                <c:pt idx="405">
                  <c:v>29.202300000000143</c:v>
                </c:pt>
                <c:pt idx="406">
                  <c:v>29.202400000000143</c:v>
                </c:pt>
                <c:pt idx="407">
                  <c:v>29.202500000000143</c:v>
                </c:pt>
                <c:pt idx="408">
                  <c:v>29.202600000000142</c:v>
                </c:pt>
                <c:pt idx="409">
                  <c:v>29.202700000000142</c:v>
                </c:pt>
                <c:pt idx="410">
                  <c:v>29.202800000000142</c:v>
                </c:pt>
                <c:pt idx="411">
                  <c:v>29.202900000000142</c:v>
                </c:pt>
                <c:pt idx="412">
                  <c:v>29.203000000000142</c:v>
                </c:pt>
                <c:pt idx="413">
                  <c:v>29.203100000000141</c:v>
                </c:pt>
                <c:pt idx="414">
                  <c:v>29.203200000000141</c:v>
                </c:pt>
                <c:pt idx="415">
                  <c:v>29.203300000000141</c:v>
                </c:pt>
                <c:pt idx="416">
                  <c:v>29.203400000000141</c:v>
                </c:pt>
                <c:pt idx="417">
                  <c:v>29.20350000000014</c:v>
                </c:pt>
                <c:pt idx="418">
                  <c:v>29.20360000000014</c:v>
                </c:pt>
                <c:pt idx="419">
                  <c:v>29.20370000000014</c:v>
                </c:pt>
                <c:pt idx="420">
                  <c:v>29.20380000000014</c:v>
                </c:pt>
                <c:pt idx="421">
                  <c:v>29.203900000000139</c:v>
                </c:pt>
                <c:pt idx="422">
                  <c:v>29.204000000000139</c:v>
                </c:pt>
                <c:pt idx="423">
                  <c:v>29.204100000000139</c:v>
                </c:pt>
                <c:pt idx="424">
                  <c:v>29.204200000000139</c:v>
                </c:pt>
                <c:pt idx="425">
                  <c:v>29.204300000000138</c:v>
                </c:pt>
                <c:pt idx="426">
                  <c:v>29.204400000000138</c:v>
                </c:pt>
                <c:pt idx="427">
                  <c:v>29.204500000000138</c:v>
                </c:pt>
                <c:pt idx="428">
                  <c:v>29.204600000000138</c:v>
                </c:pt>
                <c:pt idx="429">
                  <c:v>29.204700000000138</c:v>
                </c:pt>
                <c:pt idx="430">
                  <c:v>29.204800000000137</c:v>
                </c:pt>
                <c:pt idx="431">
                  <c:v>29.204900000000137</c:v>
                </c:pt>
                <c:pt idx="432">
                  <c:v>29.205000000000137</c:v>
                </c:pt>
                <c:pt idx="433">
                  <c:v>29.205100000000137</c:v>
                </c:pt>
                <c:pt idx="434">
                  <c:v>29.205200000000136</c:v>
                </c:pt>
                <c:pt idx="435">
                  <c:v>29.205300000000136</c:v>
                </c:pt>
                <c:pt idx="436">
                  <c:v>29.205400000000136</c:v>
                </c:pt>
                <c:pt idx="437">
                  <c:v>29.205500000000136</c:v>
                </c:pt>
                <c:pt idx="438">
                  <c:v>29.205600000000135</c:v>
                </c:pt>
                <c:pt idx="439">
                  <c:v>29.205700000000135</c:v>
                </c:pt>
                <c:pt idx="440">
                  <c:v>29.205800000000135</c:v>
                </c:pt>
                <c:pt idx="441">
                  <c:v>29.205900000000135</c:v>
                </c:pt>
                <c:pt idx="442">
                  <c:v>29.206000000000135</c:v>
                </c:pt>
                <c:pt idx="443">
                  <c:v>29.206100000000134</c:v>
                </c:pt>
                <c:pt idx="444">
                  <c:v>29.206200000000134</c:v>
                </c:pt>
                <c:pt idx="445">
                  <c:v>29.206300000000134</c:v>
                </c:pt>
                <c:pt idx="446">
                  <c:v>29.206400000000134</c:v>
                </c:pt>
                <c:pt idx="447">
                  <c:v>29.206500000000133</c:v>
                </c:pt>
                <c:pt idx="448">
                  <c:v>29.206600000000133</c:v>
                </c:pt>
                <c:pt idx="449">
                  <c:v>29.206700000000133</c:v>
                </c:pt>
                <c:pt idx="450">
                  <c:v>29.206800000000133</c:v>
                </c:pt>
                <c:pt idx="451">
                  <c:v>29.206900000000132</c:v>
                </c:pt>
                <c:pt idx="452">
                  <c:v>29.207000000000132</c:v>
                </c:pt>
                <c:pt idx="453">
                  <c:v>29.207100000000132</c:v>
                </c:pt>
                <c:pt idx="454">
                  <c:v>29.207200000000132</c:v>
                </c:pt>
                <c:pt idx="455">
                  <c:v>29.207300000000131</c:v>
                </c:pt>
                <c:pt idx="456">
                  <c:v>29.207400000000131</c:v>
                </c:pt>
                <c:pt idx="457">
                  <c:v>29.207500000000131</c:v>
                </c:pt>
                <c:pt idx="458">
                  <c:v>29.207600000000131</c:v>
                </c:pt>
                <c:pt idx="459">
                  <c:v>29.207700000000131</c:v>
                </c:pt>
                <c:pt idx="460">
                  <c:v>29.20780000000013</c:v>
                </c:pt>
                <c:pt idx="461">
                  <c:v>29.20790000000013</c:v>
                </c:pt>
                <c:pt idx="462">
                  <c:v>29.20800000000013</c:v>
                </c:pt>
                <c:pt idx="463">
                  <c:v>29.20810000000013</c:v>
                </c:pt>
                <c:pt idx="464">
                  <c:v>29.208200000000129</c:v>
                </c:pt>
                <c:pt idx="465">
                  <c:v>29.208300000000129</c:v>
                </c:pt>
                <c:pt idx="466">
                  <c:v>29.208400000000129</c:v>
                </c:pt>
                <c:pt idx="467">
                  <c:v>29.208500000000129</c:v>
                </c:pt>
                <c:pt idx="468">
                  <c:v>29.208600000000128</c:v>
                </c:pt>
                <c:pt idx="469">
                  <c:v>29.208700000000128</c:v>
                </c:pt>
                <c:pt idx="470">
                  <c:v>29.208800000000128</c:v>
                </c:pt>
                <c:pt idx="471">
                  <c:v>29.208900000000128</c:v>
                </c:pt>
                <c:pt idx="472">
                  <c:v>29.209000000000128</c:v>
                </c:pt>
                <c:pt idx="473">
                  <c:v>29.209100000000127</c:v>
                </c:pt>
                <c:pt idx="474">
                  <c:v>29.209200000000127</c:v>
                </c:pt>
                <c:pt idx="475">
                  <c:v>29.209300000000127</c:v>
                </c:pt>
                <c:pt idx="476">
                  <c:v>29.209400000000127</c:v>
                </c:pt>
                <c:pt idx="477">
                  <c:v>29.209500000000126</c:v>
                </c:pt>
                <c:pt idx="478">
                  <c:v>29.209600000000126</c:v>
                </c:pt>
                <c:pt idx="479">
                  <c:v>29.209700000000126</c:v>
                </c:pt>
                <c:pt idx="480">
                  <c:v>29.209800000000126</c:v>
                </c:pt>
                <c:pt idx="481">
                  <c:v>29.209900000000125</c:v>
                </c:pt>
                <c:pt idx="482">
                  <c:v>29.210000000000125</c:v>
                </c:pt>
                <c:pt idx="483">
                  <c:v>29.210100000000125</c:v>
                </c:pt>
                <c:pt idx="484">
                  <c:v>29.210200000000125</c:v>
                </c:pt>
                <c:pt idx="485">
                  <c:v>29.210300000000124</c:v>
                </c:pt>
                <c:pt idx="486">
                  <c:v>29.210400000000124</c:v>
                </c:pt>
                <c:pt idx="487">
                  <c:v>29.210500000000124</c:v>
                </c:pt>
                <c:pt idx="488">
                  <c:v>29.210600000000124</c:v>
                </c:pt>
                <c:pt idx="489">
                  <c:v>29.210700000000124</c:v>
                </c:pt>
                <c:pt idx="490">
                  <c:v>29.210800000000123</c:v>
                </c:pt>
                <c:pt idx="491">
                  <c:v>29.210900000000123</c:v>
                </c:pt>
                <c:pt idx="492">
                  <c:v>29.211000000000123</c:v>
                </c:pt>
                <c:pt idx="493">
                  <c:v>29.211100000000123</c:v>
                </c:pt>
                <c:pt idx="494">
                  <c:v>29.211200000000122</c:v>
                </c:pt>
                <c:pt idx="495">
                  <c:v>29.211300000000122</c:v>
                </c:pt>
                <c:pt idx="496">
                  <c:v>29.211400000000122</c:v>
                </c:pt>
                <c:pt idx="497">
                  <c:v>29.211500000000122</c:v>
                </c:pt>
                <c:pt idx="498">
                  <c:v>29.211600000000121</c:v>
                </c:pt>
                <c:pt idx="499">
                  <c:v>29.211700000000121</c:v>
                </c:pt>
                <c:pt idx="500">
                  <c:v>29.211800000000121</c:v>
                </c:pt>
                <c:pt idx="501">
                  <c:v>29.211900000000121</c:v>
                </c:pt>
                <c:pt idx="502">
                  <c:v>29.212000000000121</c:v>
                </c:pt>
                <c:pt idx="503">
                  <c:v>29.21210000000012</c:v>
                </c:pt>
                <c:pt idx="504">
                  <c:v>29.21220000000012</c:v>
                </c:pt>
                <c:pt idx="505">
                  <c:v>29.21230000000012</c:v>
                </c:pt>
                <c:pt idx="506">
                  <c:v>29.21240000000012</c:v>
                </c:pt>
                <c:pt idx="507">
                  <c:v>29.212500000000119</c:v>
                </c:pt>
                <c:pt idx="508">
                  <c:v>29.212600000000119</c:v>
                </c:pt>
                <c:pt idx="509">
                  <c:v>29.212700000000119</c:v>
                </c:pt>
                <c:pt idx="510">
                  <c:v>29.212800000000119</c:v>
                </c:pt>
                <c:pt idx="511">
                  <c:v>29.212900000000118</c:v>
                </c:pt>
                <c:pt idx="512">
                  <c:v>29.213000000000118</c:v>
                </c:pt>
                <c:pt idx="513">
                  <c:v>29.213100000000118</c:v>
                </c:pt>
                <c:pt idx="514">
                  <c:v>29.213200000000118</c:v>
                </c:pt>
                <c:pt idx="515">
                  <c:v>29.213300000000118</c:v>
                </c:pt>
                <c:pt idx="516">
                  <c:v>29.213400000000117</c:v>
                </c:pt>
                <c:pt idx="517">
                  <c:v>29.213500000000117</c:v>
                </c:pt>
                <c:pt idx="518">
                  <c:v>29.213600000000117</c:v>
                </c:pt>
                <c:pt idx="519">
                  <c:v>29.213700000000117</c:v>
                </c:pt>
                <c:pt idx="520">
                  <c:v>29.213800000000116</c:v>
                </c:pt>
                <c:pt idx="521">
                  <c:v>29.213900000000116</c:v>
                </c:pt>
                <c:pt idx="522">
                  <c:v>29.214000000000116</c:v>
                </c:pt>
                <c:pt idx="523">
                  <c:v>29.214100000000116</c:v>
                </c:pt>
                <c:pt idx="524">
                  <c:v>29.214200000000115</c:v>
                </c:pt>
                <c:pt idx="525">
                  <c:v>29.214300000000115</c:v>
                </c:pt>
                <c:pt idx="526">
                  <c:v>29.214400000000115</c:v>
                </c:pt>
                <c:pt idx="527">
                  <c:v>29.214500000000115</c:v>
                </c:pt>
                <c:pt idx="528">
                  <c:v>29.214600000000114</c:v>
                </c:pt>
                <c:pt idx="529">
                  <c:v>29.214700000000114</c:v>
                </c:pt>
                <c:pt idx="530">
                  <c:v>29.214800000000114</c:v>
                </c:pt>
                <c:pt idx="531">
                  <c:v>29.214900000000114</c:v>
                </c:pt>
                <c:pt idx="532">
                  <c:v>29.215000000000114</c:v>
                </c:pt>
                <c:pt idx="533">
                  <c:v>29.215100000000113</c:v>
                </c:pt>
                <c:pt idx="534">
                  <c:v>29.215200000000113</c:v>
                </c:pt>
                <c:pt idx="535">
                  <c:v>29.215300000000113</c:v>
                </c:pt>
                <c:pt idx="536">
                  <c:v>29.215400000000113</c:v>
                </c:pt>
                <c:pt idx="537">
                  <c:v>29.215500000000112</c:v>
                </c:pt>
                <c:pt idx="538">
                  <c:v>29.215600000000112</c:v>
                </c:pt>
                <c:pt idx="539">
                  <c:v>29.215700000000112</c:v>
                </c:pt>
                <c:pt idx="540">
                  <c:v>29.215800000000112</c:v>
                </c:pt>
                <c:pt idx="541">
                  <c:v>29.215900000000111</c:v>
                </c:pt>
                <c:pt idx="542">
                  <c:v>29.216000000000111</c:v>
                </c:pt>
                <c:pt idx="543">
                  <c:v>29.216100000000111</c:v>
                </c:pt>
                <c:pt idx="544">
                  <c:v>29.216200000000111</c:v>
                </c:pt>
                <c:pt idx="545">
                  <c:v>29.216300000000111</c:v>
                </c:pt>
                <c:pt idx="546">
                  <c:v>29.21640000000011</c:v>
                </c:pt>
                <c:pt idx="547">
                  <c:v>29.21650000000011</c:v>
                </c:pt>
                <c:pt idx="548">
                  <c:v>29.21660000000011</c:v>
                </c:pt>
                <c:pt idx="549">
                  <c:v>29.21670000000011</c:v>
                </c:pt>
                <c:pt idx="550">
                  <c:v>29.216800000000109</c:v>
                </c:pt>
                <c:pt idx="551">
                  <c:v>29.216900000000109</c:v>
                </c:pt>
                <c:pt idx="552">
                  <c:v>29.217000000000109</c:v>
                </c:pt>
                <c:pt idx="553">
                  <c:v>29.217100000000109</c:v>
                </c:pt>
                <c:pt idx="554">
                  <c:v>29.217200000000108</c:v>
                </c:pt>
                <c:pt idx="555">
                  <c:v>29.217300000000108</c:v>
                </c:pt>
                <c:pt idx="556">
                  <c:v>29.217400000000108</c:v>
                </c:pt>
                <c:pt idx="557">
                  <c:v>29.217500000000108</c:v>
                </c:pt>
                <c:pt idx="558">
                  <c:v>29.217600000000107</c:v>
                </c:pt>
                <c:pt idx="559">
                  <c:v>29.217700000000107</c:v>
                </c:pt>
                <c:pt idx="560">
                  <c:v>29.217800000000107</c:v>
                </c:pt>
                <c:pt idx="561">
                  <c:v>29.217900000000107</c:v>
                </c:pt>
                <c:pt idx="562">
                  <c:v>29.218000000000107</c:v>
                </c:pt>
                <c:pt idx="563">
                  <c:v>29.218100000000106</c:v>
                </c:pt>
                <c:pt idx="564">
                  <c:v>29.218200000000106</c:v>
                </c:pt>
                <c:pt idx="565">
                  <c:v>29.218300000000106</c:v>
                </c:pt>
                <c:pt idx="566">
                  <c:v>29.218400000000106</c:v>
                </c:pt>
                <c:pt idx="567">
                  <c:v>29.218500000000105</c:v>
                </c:pt>
                <c:pt idx="568">
                  <c:v>29.218600000000105</c:v>
                </c:pt>
                <c:pt idx="569">
                  <c:v>29.218700000000105</c:v>
                </c:pt>
                <c:pt idx="570">
                  <c:v>29.218800000000105</c:v>
                </c:pt>
                <c:pt idx="571">
                  <c:v>29.218900000000104</c:v>
                </c:pt>
                <c:pt idx="572">
                  <c:v>29.219000000000104</c:v>
                </c:pt>
                <c:pt idx="573">
                  <c:v>29.219100000000104</c:v>
                </c:pt>
                <c:pt idx="574">
                  <c:v>29.219200000000104</c:v>
                </c:pt>
                <c:pt idx="575">
                  <c:v>29.219300000000104</c:v>
                </c:pt>
                <c:pt idx="576">
                  <c:v>29.219400000000103</c:v>
                </c:pt>
                <c:pt idx="577">
                  <c:v>29.219500000000103</c:v>
                </c:pt>
                <c:pt idx="578">
                  <c:v>29.219600000000103</c:v>
                </c:pt>
                <c:pt idx="579">
                  <c:v>29.219700000000103</c:v>
                </c:pt>
                <c:pt idx="580">
                  <c:v>29.219800000000102</c:v>
                </c:pt>
                <c:pt idx="581">
                  <c:v>29.219900000000102</c:v>
                </c:pt>
                <c:pt idx="582">
                  <c:v>29.220000000000102</c:v>
                </c:pt>
                <c:pt idx="583">
                  <c:v>29.220100000000102</c:v>
                </c:pt>
                <c:pt idx="584">
                  <c:v>29.220200000000101</c:v>
                </c:pt>
                <c:pt idx="585">
                  <c:v>29.220300000000101</c:v>
                </c:pt>
                <c:pt idx="586">
                  <c:v>29.220400000000101</c:v>
                </c:pt>
                <c:pt idx="587">
                  <c:v>29.220500000000101</c:v>
                </c:pt>
                <c:pt idx="588">
                  <c:v>29.2206000000001</c:v>
                </c:pt>
                <c:pt idx="589">
                  <c:v>29.2207000000001</c:v>
                </c:pt>
                <c:pt idx="590">
                  <c:v>29.2208000000001</c:v>
                </c:pt>
                <c:pt idx="591">
                  <c:v>29.2209000000001</c:v>
                </c:pt>
                <c:pt idx="592">
                  <c:v>29.2210000000001</c:v>
                </c:pt>
                <c:pt idx="593">
                  <c:v>29.221100000000099</c:v>
                </c:pt>
                <c:pt idx="594">
                  <c:v>29.221200000000099</c:v>
                </c:pt>
                <c:pt idx="595">
                  <c:v>29.221300000000099</c:v>
                </c:pt>
                <c:pt idx="596">
                  <c:v>29.221400000000099</c:v>
                </c:pt>
                <c:pt idx="597">
                  <c:v>29.221500000000098</c:v>
                </c:pt>
                <c:pt idx="598">
                  <c:v>29.221600000000098</c:v>
                </c:pt>
                <c:pt idx="599">
                  <c:v>29.221700000000098</c:v>
                </c:pt>
                <c:pt idx="600">
                  <c:v>29.221800000000098</c:v>
                </c:pt>
                <c:pt idx="601">
                  <c:v>29.221900000000097</c:v>
                </c:pt>
                <c:pt idx="602">
                  <c:v>29.222000000000097</c:v>
                </c:pt>
                <c:pt idx="603">
                  <c:v>29.222100000000097</c:v>
                </c:pt>
                <c:pt idx="604">
                  <c:v>29.222200000000097</c:v>
                </c:pt>
                <c:pt idx="605">
                  <c:v>29.222300000000097</c:v>
                </c:pt>
                <c:pt idx="606">
                  <c:v>29.222400000000096</c:v>
                </c:pt>
                <c:pt idx="607">
                  <c:v>29.222500000000096</c:v>
                </c:pt>
                <c:pt idx="608">
                  <c:v>29.222600000000096</c:v>
                </c:pt>
                <c:pt idx="609">
                  <c:v>29.222700000000096</c:v>
                </c:pt>
                <c:pt idx="610">
                  <c:v>29.222800000000095</c:v>
                </c:pt>
                <c:pt idx="611">
                  <c:v>29.222900000000095</c:v>
                </c:pt>
                <c:pt idx="612">
                  <c:v>29.223000000000095</c:v>
                </c:pt>
                <c:pt idx="613">
                  <c:v>29.223100000000095</c:v>
                </c:pt>
                <c:pt idx="614">
                  <c:v>29.223200000000094</c:v>
                </c:pt>
                <c:pt idx="615">
                  <c:v>29.223300000000094</c:v>
                </c:pt>
                <c:pt idx="616">
                  <c:v>29.223400000000094</c:v>
                </c:pt>
                <c:pt idx="617">
                  <c:v>29.223500000000094</c:v>
                </c:pt>
                <c:pt idx="618">
                  <c:v>29.223600000000094</c:v>
                </c:pt>
                <c:pt idx="619">
                  <c:v>29.223700000000093</c:v>
                </c:pt>
                <c:pt idx="620">
                  <c:v>29.223800000000093</c:v>
                </c:pt>
                <c:pt idx="621">
                  <c:v>29.223900000000093</c:v>
                </c:pt>
                <c:pt idx="622">
                  <c:v>29.224000000000093</c:v>
                </c:pt>
                <c:pt idx="623">
                  <c:v>29.224100000000092</c:v>
                </c:pt>
                <c:pt idx="624">
                  <c:v>29.224200000000092</c:v>
                </c:pt>
                <c:pt idx="625">
                  <c:v>29.224300000000092</c:v>
                </c:pt>
                <c:pt idx="626">
                  <c:v>29.224400000000092</c:v>
                </c:pt>
                <c:pt idx="627">
                  <c:v>29.224500000000091</c:v>
                </c:pt>
                <c:pt idx="628">
                  <c:v>29.224600000000091</c:v>
                </c:pt>
                <c:pt idx="629">
                  <c:v>29.224700000000091</c:v>
                </c:pt>
                <c:pt idx="630">
                  <c:v>29.224800000000091</c:v>
                </c:pt>
                <c:pt idx="631">
                  <c:v>29.22490000000009</c:v>
                </c:pt>
                <c:pt idx="632">
                  <c:v>29.22500000000009</c:v>
                </c:pt>
                <c:pt idx="633">
                  <c:v>29.22510000000009</c:v>
                </c:pt>
                <c:pt idx="634">
                  <c:v>29.22520000000009</c:v>
                </c:pt>
                <c:pt idx="635">
                  <c:v>29.22530000000009</c:v>
                </c:pt>
                <c:pt idx="636">
                  <c:v>29.225400000000089</c:v>
                </c:pt>
                <c:pt idx="637">
                  <c:v>29.225500000000089</c:v>
                </c:pt>
                <c:pt idx="638">
                  <c:v>29.225600000000089</c:v>
                </c:pt>
                <c:pt idx="639">
                  <c:v>29.225700000000089</c:v>
                </c:pt>
                <c:pt idx="640">
                  <c:v>29.225800000000088</c:v>
                </c:pt>
                <c:pt idx="641">
                  <c:v>29.225900000000088</c:v>
                </c:pt>
                <c:pt idx="642">
                  <c:v>29.226000000000088</c:v>
                </c:pt>
                <c:pt idx="643">
                  <c:v>29.226100000000088</c:v>
                </c:pt>
                <c:pt idx="644">
                  <c:v>29.226200000000087</c:v>
                </c:pt>
                <c:pt idx="645">
                  <c:v>29.226300000000087</c:v>
                </c:pt>
                <c:pt idx="646">
                  <c:v>29.226400000000087</c:v>
                </c:pt>
                <c:pt idx="647">
                  <c:v>29.226500000000087</c:v>
                </c:pt>
                <c:pt idx="648">
                  <c:v>29.226600000000087</c:v>
                </c:pt>
                <c:pt idx="649">
                  <c:v>29.226700000000086</c:v>
                </c:pt>
                <c:pt idx="650">
                  <c:v>29.226800000000086</c:v>
                </c:pt>
                <c:pt idx="651">
                  <c:v>29.226900000000086</c:v>
                </c:pt>
                <c:pt idx="652">
                  <c:v>29.227000000000086</c:v>
                </c:pt>
                <c:pt idx="653">
                  <c:v>29.227100000000085</c:v>
                </c:pt>
                <c:pt idx="654">
                  <c:v>29.227200000000085</c:v>
                </c:pt>
                <c:pt idx="655">
                  <c:v>29.227300000000085</c:v>
                </c:pt>
                <c:pt idx="656">
                  <c:v>29.227400000000085</c:v>
                </c:pt>
                <c:pt idx="657">
                  <c:v>29.227500000000084</c:v>
                </c:pt>
                <c:pt idx="658">
                  <c:v>29.227600000000084</c:v>
                </c:pt>
                <c:pt idx="659">
                  <c:v>29.227700000000084</c:v>
                </c:pt>
                <c:pt idx="660">
                  <c:v>29.227800000000084</c:v>
                </c:pt>
                <c:pt idx="661">
                  <c:v>29.227900000000083</c:v>
                </c:pt>
                <c:pt idx="662">
                  <c:v>29.228000000000083</c:v>
                </c:pt>
                <c:pt idx="663">
                  <c:v>29.228100000000083</c:v>
                </c:pt>
                <c:pt idx="664">
                  <c:v>29.228200000000083</c:v>
                </c:pt>
                <c:pt idx="665">
                  <c:v>29.228300000000083</c:v>
                </c:pt>
                <c:pt idx="666">
                  <c:v>29.228400000000082</c:v>
                </c:pt>
                <c:pt idx="667">
                  <c:v>29.228500000000082</c:v>
                </c:pt>
                <c:pt idx="668">
                  <c:v>29.228600000000082</c:v>
                </c:pt>
                <c:pt idx="669">
                  <c:v>29.228700000000082</c:v>
                </c:pt>
                <c:pt idx="670">
                  <c:v>29.228800000000081</c:v>
                </c:pt>
                <c:pt idx="671">
                  <c:v>29.228900000000081</c:v>
                </c:pt>
                <c:pt idx="672">
                  <c:v>29.229000000000081</c:v>
                </c:pt>
                <c:pt idx="673">
                  <c:v>29.229100000000081</c:v>
                </c:pt>
                <c:pt idx="674">
                  <c:v>29.22920000000008</c:v>
                </c:pt>
                <c:pt idx="675">
                  <c:v>29.22930000000008</c:v>
                </c:pt>
                <c:pt idx="676">
                  <c:v>29.22940000000008</c:v>
                </c:pt>
                <c:pt idx="677">
                  <c:v>29.22950000000008</c:v>
                </c:pt>
                <c:pt idx="678">
                  <c:v>29.22960000000008</c:v>
                </c:pt>
                <c:pt idx="679">
                  <c:v>29.229700000000079</c:v>
                </c:pt>
                <c:pt idx="680">
                  <c:v>29.229800000000079</c:v>
                </c:pt>
                <c:pt idx="681">
                  <c:v>29.229900000000079</c:v>
                </c:pt>
                <c:pt idx="682">
                  <c:v>29.230000000000079</c:v>
                </c:pt>
                <c:pt idx="683">
                  <c:v>29.230100000000078</c:v>
                </c:pt>
                <c:pt idx="684">
                  <c:v>29.230200000000078</c:v>
                </c:pt>
                <c:pt idx="685">
                  <c:v>29.230300000000078</c:v>
                </c:pt>
                <c:pt idx="686">
                  <c:v>29.230400000000078</c:v>
                </c:pt>
                <c:pt idx="687">
                  <c:v>29.230500000000077</c:v>
                </c:pt>
                <c:pt idx="688">
                  <c:v>29.230600000000077</c:v>
                </c:pt>
                <c:pt idx="689">
                  <c:v>29.230700000000077</c:v>
                </c:pt>
                <c:pt idx="690">
                  <c:v>29.230800000000077</c:v>
                </c:pt>
                <c:pt idx="691">
                  <c:v>29.230900000000076</c:v>
                </c:pt>
                <c:pt idx="692">
                  <c:v>29.231000000000076</c:v>
                </c:pt>
                <c:pt idx="693">
                  <c:v>29.231100000000076</c:v>
                </c:pt>
                <c:pt idx="694">
                  <c:v>29.231200000000076</c:v>
                </c:pt>
                <c:pt idx="695">
                  <c:v>29.231300000000076</c:v>
                </c:pt>
                <c:pt idx="696">
                  <c:v>29.231400000000075</c:v>
                </c:pt>
                <c:pt idx="697">
                  <c:v>29.231500000000075</c:v>
                </c:pt>
                <c:pt idx="698">
                  <c:v>29.231600000000075</c:v>
                </c:pt>
                <c:pt idx="699">
                  <c:v>29.231700000000075</c:v>
                </c:pt>
                <c:pt idx="700">
                  <c:v>29.231800000000074</c:v>
                </c:pt>
                <c:pt idx="701">
                  <c:v>29.231900000000074</c:v>
                </c:pt>
                <c:pt idx="702">
                  <c:v>29.232000000000074</c:v>
                </c:pt>
                <c:pt idx="703">
                  <c:v>29.232100000000074</c:v>
                </c:pt>
                <c:pt idx="704">
                  <c:v>29.232200000000073</c:v>
                </c:pt>
                <c:pt idx="705">
                  <c:v>29.232300000000073</c:v>
                </c:pt>
                <c:pt idx="706">
                  <c:v>29.232400000000073</c:v>
                </c:pt>
                <c:pt idx="707">
                  <c:v>29.232500000000073</c:v>
                </c:pt>
                <c:pt idx="708">
                  <c:v>29.232600000000073</c:v>
                </c:pt>
                <c:pt idx="709">
                  <c:v>29.232700000000072</c:v>
                </c:pt>
                <c:pt idx="710">
                  <c:v>29.232800000000072</c:v>
                </c:pt>
                <c:pt idx="711">
                  <c:v>29.232900000000072</c:v>
                </c:pt>
                <c:pt idx="712">
                  <c:v>29.233000000000072</c:v>
                </c:pt>
                <c:pt idx="713">
                  <c:v>29.233100000000071</c:v>
                </c:pt>
                <c:pt idx="714">
                  <c:v>29.233200000000071</c:v>
                </c:pt>
                <c:pt idx="715">
                  <c:v>29.233300000000071</c:v>
                </c:pt>
                <c:pt idx="716">
                  <c:v>29.233400000000071</c:v>
                </c:pt>
                <c:pt idx="717">
                  <c:v>29.23350000000007</c:v>
                </c:pt>
                <c:pt idx="718">
                  <c:v>29.23360000000007</c:v>
                </c:pt>
                <c:pt idx="719">
                  <c:v>29.23370000000007</c:v>
                </c:pt>
                <c:pt idx="720">
                  <c:v>29.23380000000007</c:v>
                </c:pt>
                <c:pt idx="721">
                  <c:v>29.233900000000069</c:v>
                </c:pt>
                <c:pt idx="722">
                  <c:v>29.234000000000069</c:v>
                </c:pt>
                <c:pt idx="723">
                  <c:v>29.234100000000069</c:v>
                </c:pt>
                <c:pt idx="724">
                  <c:v>29.234200000000069</c:v>
                </c:pt>
                <c:pt idx="725">
                  <c:v>29.234300000000069</c:v>
                </c:pt>
                <c:pt idx="726">
                  <c:v>29.234400000000068</c:v>
                </c:pt>
                <c:pt idx="727">
                  <c:v>29.234500000000068</c:v>
                </c:pt>
                <c:pt idx="728">
                  <c:v>29.234600000000068</c:v>
                </c:pt>
                <c:pt idx="729">
                  <c:v>29.234700000000068</c:v>
                </c:pt>
                <c:pt idx="730">
                  <c:v>29.234800000000067</c:v>
                </c:pt>
                <c:pt idx="731">
                  <c:v>29.234900000000067</c:v>
                </c:pt>
                <c:pt idx="732">
                  <c:v>29.235000000000067</c:v>
                </c:pt>
                <c:pt idx="733">
                  <c:v>29.235100000000067</c:v>
                </c:pt>
                <c:pt idx="734">
                  <c:v>29.235200000000066</c:v>
                </c:pt>
                <c:pt idx="735">
                  <c:v>29.235300000000066</c:v>
                </c:pt>
                <c:pt idx="736">
                  <c:v>29.235400000000066</c:v>
                </c:pt>
                <c:pt idx="737">
                  <c:v>29.235500000000066</c:v>
                </c:pt>
                <c:pt idx="738">
                  <c:v>29.235600000000066</c:v>
                </c:pt>
                <c:pt idx="739">
                  <c:v>29.235700000000065</c:v>
                </c:pt>
                <c:pt idx="740">
                  <c:v>29.235800000000065</c:v>
                </c:pt>
                <c:pt idx="741">
                  <c:v>29.235900000000065</c:v>
                </c:pt>
                <c:pt idx="742">
                  <c:v>29.236000000000065</c:v>
                </c:pt>
                <c:pt idx="743">
                  <c:v>29.236100000000064</c:v>
                </c:pt>
                <c:pt idx="744">
                  <c:v>29.236200000000064</c:v>
                </c:pt>
                <c:pt idx="745">
                  <c:v>29.236300000000064</c:v>
                </c:pt>
                <c:pt idx="746">
                  <c:v>29.236400000000064</c:v>
                </c:pt>
                <c:pt idx="747">
                  <c:v>29.236500000000063</c:v>
                </c:pt>
                <c:pt idx="748">
                  <c:v>29.236600000000063</c:v>
                </c:pt>
                <c:pt idx="749">
                  <c:v>29.236700000000063</c:v>
                </c:pt>
                <c:pt idx="750">
                  <c:v>29.236800000000063</c:v>
                </c:pt>
                <c:pt idx="751">
                  <c:v>29.236900000000063</c:v>
                </c:pt>
                <c:pt idx="752">
                  <c:v>29.237000000000062</c:v>
                </c:pt>
                <c:pt idx="753">
                  <c:v>29.237100000000062</c:v>
                </c:pt>
                <c:pt idx="754">
                  <c:v>29.237200000000062</c:v>
                </c:pt>
                <c:pt idx="755">
                  <c:v>29.237300000000062</c:v>
                </c:pt>
                <c:pt idx="756">
                  <c:v>29.237400000000061</c:v>
                </c:pt>
                <c:pt idx="757">
                  <c:v>29.237500000000061</c:v>
                </c:pt>
                <c:pt idx="758">
                  <c:v>29.237600000000061</c:v>
                </c:pt>
                <c:pt idx="759">
                  <c:v>29.237700000000061</c:v>
                </c:pt>
                <c:pt idx="760">
                  <c:v>29.23780000000006</c:v>
                </c:pt>
                <c:pt idx="761">
                  <c:v>29.23790000000006</c:v>
                </c:pt>
                <c:pt idx="762">
                  <c:v>29.23800000000006</c:v>
                </c:pt>
                <c:pt idx="763">
                  <c:v>29.23810000000006</c:v>
                </c:pt>
                <c:pt idx="764">
                  <c:v>29.238200000000059</c:v>
                </c:pt>
                <c:pt idx="765">
                  <c:v>29.238300000000059</c:v>
                </c:pt>
                <c:pt idx="766">
                  <c:v>29.238400000000059</c:v>
                </c:pt>
                <c:pt idx="767">
                  <c:v>29.238500000000059</c:v>
                </c:pt>
                <c:pt idx="768">
                  <c:v>29.238600000000059</c:v>
                </c:pt>
                <c:pt idx="769">
                  <c:v>29.238700000000058</c:v>
                </c:pt>
                <c:pt idx="770">
                  <c:v>29.238800000000058</c:v>
                </c:pt>
                <c:pt idx="771">
                  <c:v>29.238900000000058</c:v>
                </c:pt>
                <c:pt idx="772">
                  <c:v>29.239000000000058</c:v>
                </c:pt>
                <c:pt idx="773">
                  <c:v>29.239100000000057</c:v>
                </c:pt>
                <c:pt idx="774">
                  <c:v>29.239200000000057</c:v>
                </c:pt>
                <c:pt idx="775">
                  <c:v>29.239300000000057</c:v>
                </c:pt>
                <c:pt idx="776">
                  <c:v>29.239400000000057</c:v>
                </c:pt>
                <c:pt idx="777">
                  <c:v>29.239500000000056</c:v>
                </c:pt>
                <c:pt idx="778">
                  <c:v>29.239600000000056</c:v>
                </c:pt>
                <c:pt idx="779">
                  <c:v>29.239700000000056</c:v>
                </c:pt>
                <c:pt idx="780">
                  <c:v>29.239800000000056</c:v>
                </c:pt>
                <c:pt idx="781">
                  <c:v>29.239900000000056</c:v>
                </c:pt>
                <c:pt idx="782">
                  <c:v>29.240000000000055</c:v>
                </c:pt>
                <c:pt idx="783">
                  <c:v>29.240100000000055</c:v>
                </c:pt>
                <c:pt idx="784">
                  <c:v>29.240200000000055</c:v>
                </c:pt>
                <c:pt idx="785">
                  <c:v>29.240300000000055</c:v>
                </c:pt>
                <c:pt idx="786">
                  <c:v>29.240400000000054</c:v>
                </c:pt>
                <c:pt idx="787">
                  <c:v>29.240500000000054</c:v>
                </c:pt>
                <c:pt idx="788">
                  <c:v>29.240600000000054</c:v>
                </c:pt>
                <c:pt idx="789">
                  <c:v>29.240700000000054</c:v>
                </c:pt>
                <c:pt idx="790">
                  <c:v>29.240800000000053</c:v>
                </c:pt>
                <c:pt idx="791">
                  <c:v>29.240900000000053</c:v>
                </c:pt>
                <c:pt idx="792">
                  <c:v>29.241000000000053</c:v>
                </c:pt>
                <c:pt idx="793">
                  <c:v>29.241100000000053</c:v>
                </c:pt>
                <c:pt idx="794">
                  <c:v>29.241200000000052</c:v>
                </c:pt>
                <c:pt idx="795">
                  <c:v>29.241300000000052</c:v>
                </c:pt>
                <c:pt idx="796">
                  <c:v>29.241400000000052</c:v>
                </c:pt>
                <c:pt idx="797">
                  <c:v>29.241500000000052</c:v>
                </c:pt>
                <c:pt idx="798">
                  <c:v>29.241600000000052</c:v>
                </c:pt>
                <c:pt idx="799">
                  <c:v>29.241700000000051</c:v>
                </c:pt>
                <c:pt idx="800">
                  <c:v>29.241800000000051</c:v>
                </c:pt>
                <c:pt idx="801">
                  <c:v>29.241900000000051</c:v>
                </c:pt>
                <c:pt idx="802">
                  <c:v>29.242000000000051</c:v>
                </c:pt>
                <c:pt idx="803">
                  <c:v>29.24210000000005</c:v>
                </c:pt>
                <c:pt idx="804">
                  <c:v>29.24220000000005</c:v>
                </c:pt>
                <c:pt idx="805">
                  <c:v>29.24230000000005</c:v>
                </c:pt>
                <c:pt idx="806">
                  <c:v>29.24240000000005</c:v>
                </c:pt>
                <c:pt idx="807">
                  <c:v>29.242500000000049</c:v>
                </c:pt>
                <c:pt idx="808">
                  <c:v>29.242600000000049</c:v>
                </c:pt>
                <c:pt idx="809">
                  <c:v>29.242700000000049</c:v>
                </c:pt>
                <c:pt idx="810">
                  <c:v>29.242800000000049</c:v>
                </c:pt>
                <c:pt idx="811">
                  <c:v>29.242900000000049</c:v>
                </c:pt>
                <c:pt idx="812">
                  <c:v>29.243000000000048</c:v>
                </c:pt>
                <c:pt idx="813">
                  <c:v>29.243100000000048</c:v>
                </c:pt>
                <c:pt idx="814">
                  <c:v>29.243200000000048</c:v>
                </c:pt>
                <c:pt idx="815">
                  <c:v>29.243300000000048</c:v>
                </c:pt>
                <c:pt idx="816">
                  <c:v>29.243400000000047</c:v>
                </c:pt>
                <c:pt idx="817">
                  <c:v>29.243500000000047</c:v>
                </c:pt>
                <c:pt idx="818">
                  <c:v>29.243600000000047</c:v>
                </c:pt>
                <c:pt idx="819">
                  <c:v>29.243700000000047</c:v>
                </c:pt>
                <c:pt idx="820">
                  <c:v>29.243800000000046</c:v>
                </c:pt>
                <c:pt idx="821">
                  <c:v>29.243900000000046</c:v>
                </c:pt>
                <c:pt idx="822">
                  <c:v>29.244000000000046</c:v>
                </c:pt>
                <c:pt idx="823">
                  <c:v>29.244100000000046</c:v>
                </c:pt>
                <c:pt idx="824">
                  <c:v>29.244200000000045</c:v>
                </c:pt>
                <c:pt idx="825">
                  <c:v>29.244300000000045</c:v>
                </c:pt>
                <c:pt idx="826">
                  <c:v>29.244400000000045</c:v>
                </c:pt>
                <c:pt idx="827">
                  <c:v>29.244500000000045</c:v>
                </c:pt>
                <c:pt idx="828">
                  <c:v>29.244600000000045</c:v>
                </c:pt>
                <c:pt idx="829">
                  <c:v>29.244700000000044</c:v>
                </c:pt>
                <c:pt idx="830">
                  <c:v>29.244800000000044</c:v>
                </c:pt>
                <c:pt idx="831">
                  <c:v>29.244900000000044</c:v>
                </c:pt>
                <c:pt idx="832">
                  <c:v>29.245000000000044</c:v>
                </c:pt>
                <c:pt idx="833">
                  <c:v>29.245100000000043</c:v>
                </c:pt>
                <c:pt idx="834">
                  <c:v>29.245200000000043</c:v>
                </c:pt>
                <c:pt idx="835">
                  <c:v>29.245300000000043</c:v>
                </c:pt>
                <c:pt idx="836">
                  <c:v>29.245400000000043</c:v>
                </c:pt>
                <c:pt idx="837">
                  <c:v>29.245500000000042</c:v>
                </c:pt>
                <c:pt idx="838">
                  <c:v>29.245600000000042</c:v>
                </c:pt>
                <c:pt idx="839">
                  <c:v>29.245700000000042</c:v>
                </c:pt>
                <c:pt idx="840">
                  <c:v>29.245800000000042</c:v>
                </c:pt>
                <c:pt idx="841">
                  <c:v>29.245900000000042</c:v>
                </c:pt>
                <c:pt idx="842">
                  <c:v>29.246000000000041</c:v>
                </c:pt>
                <c:pt idx="843">
                  <c:v>29.246100000000041</c:v>
                </c:pt>
                <c:pt idx="844">
                  <c:v>29.246200000000041</c:v>
                </c:pt>
                <c:pt idx="845">
                  <c:v>29.246300000000041</c:v>
                </c:pt>
                <c:pt idx="846">
                  <c:v>29.24640000000004</c:v>
                </c:pt>
                <c:pt idx="847">
                  <c:v>29.24650000000004</c:v>
                </c:pt>
                <c:pt idx="848">
                  <c:v>29.24660000000004</c:v>
                </c:pt>
                <c:pt idx="849">
                  <c:v>29.24670000000004</c:v>
                </c:pt>
                <c:pt idx="850">
                  <c:v>29.246800000000039</c:v>
                </c:pt>
                <c:pt idx="851">
                  <c:v>29.246900000000039</c:v>
                </c:pt>
                <c:pt idx="852">
                  <c:v>29.247000000000039</c:v>
                </c:pt>
                <c:pt idx="853">
                  <c:v>29.247100000000039</c:v>
                </c:pt>
                <c:pt idx="854">
                  <c:v>29.247200000000039</c:v>
                </c:pt>
                <c:pt idx="855">
                  <c:v>29.247300000000038</c:v>
                </c:pt>
                <c:pt idx="856">
                  <c:v>29.247400000000038</c:v>
                </c:pt>
                <c:pt idx="857">
                  <c:v>29.247500000000038</c:v>
                </c:pt>
                <c:pt idx="858">
                  <c:v>29.247600000000038</c:v>
                </c:pt>
                <c:pt idx="859">
                  <c:v>29.247700000000037</c:v>
                </c:pt>
                <c:pt idx="860">
                  <c:v>29.247800000000037</c:v>
                </c:pt>
                <c:pt idx="861">
                  <c:v>29.247900000000037</c:v>
                </c:pt>
                <c:pt idx="862">
                  <c:v>29.248000000000037</c:v>
                </c:pt>
                <c:pt idx="863">
                  <c:v>29.248100000000036</c:v>
                </c:pt>
                <c:pt idx="864">
                  <c:v>29.248200000000036</c:v>
                </c:pt>
                <c:pt idx="865">
                  <c:v>29.248300000000036</c:v>
                </c:pt>
                <c:pt idx="866">
                  <c:v>29.248400000000036</c:v>
                </c:pt>
                <c:pt idx="867">
                  <c:v>29.248500000000035</c:v>
                </c:pt>
                <c:pt idx="868">
                  <c:v>29.248600000000035</c:v>
                </c:pt>
                <c:pt idx="869">
                  <c:v>29.248700000000035</c:v>
                </c:pt>
                <c:pt idx="870">
                  <c:v>29.248800000000035</c:v>
                </c:pt>
                <c:pt idx="871">
                  <c:v>29.248900000000035</c:v>
                </c:pt>
                <c:pt idx="872">
                  <c:v>29.249000000000034</c:v>
                </c:pt>
                <c:pt idx="873">
                  <c:v>29.249100000000034</c:v>
                </c:pt>
                <c:pt idx="874">
                  <c:v>29.249200000000034</c:v>
                </c:pt>
                <c:pt idx="875">
                  <c:v>29.249300000000034</c:v>
                </c:pt>
                <c:pt idx="876">
                  <c:v>29.249400000000033</c:v>
                </c:pt>
                <c:pt idx="877">
                  <c:v>29.249500000000033</c:v>
                </c:pt>
                <c:pt idx="878">
                  <c:v>29.249600000000033</c:v>
                </c:pt>
                <c:pt idx="879">
                  <c:v>29.249700000000033</c:v>
                </c:pt>
                <c:pt idx="880">
                  <c:v>29.249800000000032</c:v>
                </c:pt>
                <c:pt idx="881">
                  <c:v>29.249900000000032</c:v>
                </c:pt>
                <c:pt idx="882">
                  <c:v>29.250000000000032</c:v>
                </c:pt>
                <c:pt idx="883">
                  <c:v>29.250100000000032</c:v>
                </c:pt>
                <c:pt idx="884">
                  <c:v>29.250200000000032</c:v>
                </c:pt>
                <c:pt idx="885">
                  <c:v>29.250300000000031</c:v>
                </c:pt>
                <c:pt idx="886">
                  <c:v>29.250400000000031</c:v>
                </c:pt>
                <c:pt idx="887">
                  <c:v>29.250500000000031</c:v>
                </c:pt>
                <c:pt idx="888">
                  <c:v>29.250600000000031</c:v>
                </c:pt>
                <c:pt idx="889">
                  <c:v>29.25070000000003</c:v>
                </c:pt>
                <c:pt idx="890">
                  <c:v>29.25080000000003</c:v>
                </c:pt>
                <c:pt idx="891">
                  <c:v>29.25090000000003</c:v>
                </c:pt>
                <c:pt idx="892">
                  <c:v>29.25100000000003</c:v>
                </c:pt>
                <c:pt idx="893">
                  <c:v>29.251100000000029</c:v>
                </c:pt>
                <c:pt idx="894">
                  <c:v>29.251200000000029</c:v>
                </c:pt>
                <c:pt idx="895">
                  <c:v>29.251300000000029</c:v>
                </c:pt>
                <c:pt idx="896">
                  <c:v>29.251400000000029</c:v>
                </c:pt>
                <c:pt idx="897">
                  <c:v>29.251500000000028</c:v>
                </c:pt>
                <c:pt idx="898">
                  <c:v>29.251600000000028</c:v>
                </c:pt>
                <c:pt idx="899">
                  <c:v>29.251700000000028</c:v>
                </c:pt>
                <c:pt idx="900">
                  <c:v>29.251800000000028</c:v>
                </c:pt>
                <c:pt idx="901">
                  <c:v>29.251900000000028</c:v>
                </c:pt>
                <c:pt idx="902">
                  <c:v>29.252000000000027</c:v>
                </c:pt>
                <c:pt idx="903">
                  <c:v>29.252100000000027</c:v>
                </c:pt>
                <c:pt idx="904">
                  <c:v>29.252200000000027</c:v>
                </c:pt>
                <c:pt idx="905">
                  <c:v>29.252300000000027</c:v>
                </c:pt>
                <c:pt idx="906">
                  <c:v>29.252400000000026</c:v>
                </c:pt>
                <c:pt idx="907">
                  <c:v>29.252500000000026</c:v>
                </c:pt>
                <c:pt idx="908">
                  <c:v>29.252600000000026</c:v>
                </c:pt>
                <c:pt idx="909">
                  <c:v>29.252700000000026</c:v>
                </c:pt>
                <c:pt idx="910">
                  <c:v>29.252800000000025</c:v>
                </c:pt>
                <c:pt idx="911">
                  <c:v>29.252900000000025</c:v>
                </c:pt>
                <c:pt idx="912">
                  <c:v>29.253000000000025</c:v>
                </c:pt>
                <c:pt idx="913">
                  <c:v>29.253100000000025</c:v>
                </c:pt>
                <c:pt idx="914">
                  <c:v>29.253200000000025</c:v>
                </c:pt>
                <c:pt idx="915">
                  <c:v>29.253300000000024</c:v>
                </c:pt>
                <c:pt idx="916">
                  <c:v>29.253400000000024</c:v>
                </c:pt>
                <c:pt idx="917">
                  <c:v>29.253500000000024</c:v>
                </c:pt>
                <c:pt idx="918">
                  <c:v>29.253600000000024</c:v>
                </c:pt>
                <c:pt idx="919">
                  <c:v>29.253700000000023</c:v>
                </c:pt>
                <c:pt idx="920">
                  <c:v>29.253800000000023</c:v>
                </c:pt>
                <c:pt idx="921">
                  <c:v>29.253900000000023</c:v>
                </c:pt>
                <c:pt idx="922">
                  <c:v>29.254000000000023</c:v>
                </c:pt>
                <c:pt idx="923">
                  <c:v>29.254100000000022</c:v>
                </c:pt>
                <c:pt idx="924">
                  <c:v>29.254200000000022</c:v>
                </c:pt>
                <c:pt idx="925">
                  <c:v>29.254300000000022</c:v>
                </c:pt>
                <c:pt idx="926">
                  <c:v>29.254400000000022</c:v>
                </c:pt>
                <c:pt idx="927">
                  <c:v>29.254500000000021</c:v>
                </c:pt>
                <c:pt idx="928">
                  <c:v>29.254600000000021</c:v>
                </c:pt>
                <c:pt idx="929">
                  <c:v>29.254700000000021</c:v>
                </c:pt>
                <c:pt idx="930">
                  <c:v>29.254800000000021</c:v>
                </c:pt>
                <c:pt idx="931">
                  <c:v>29.254900000000021</c:v>
                </c:pt>
                <c:pt idx="932">
                  <c:v>29.25500000000002</c:v>
                </c:pt>
                <c:pt idx="933">
                  <c:v>29.25510000000002</c:v>
                </c:pt>
                <c:pt idx="934">
                  <c:v>29.25520000000002</c:v>
                </c:pt>
                <c:pt idx="935">
                  <c:v>29.25530000000002</c:v>
                </c:pt>
                <c:pt idx="936">
                  <c:v>29.255400000000019</c:v>
                </c:pt>
                <c:pt idx="937">
                  <c:v>29.255500000000019</c:v>
                </c:pt>
                <c:pt idx="938">
                  <c:v>29.255600000000019</c:v>
                </c:pt>
                <c:pt idx="939">
                  <c:v>29.255700000000019</c:v>
                </c:pt>
                <c:pt idx="940">
                  <c:v>29.255800000000018</c:v>
                </c:pt>
                <c:pt idx="941">
                  <c:v>29.255900000000018</c:v>
                </c:pt>
                <c:pt idx="942">
                  <c:v>29.256000000000018</c:v>
                </c:pt>
                <c:pt idx="943">
                  <c:v>29.256100000000018</c:v>
                </c:pt>
                <c:pt idx="944">
                  <c:v>29.256200000000018</c:v>
                </c:pt>
                <c:pt idx="945">
                  <c:v>29.256300000000017</c:v>
                </c:pt>
                <c:pt idx="946">
                  <c:v>29.256400000000017</c:v>
                </c:pt>
                <c:pt idx="947">
                  <c:v>29.256500000000017</c:v>
                </c:pt>
                <c:pt idx="948">
                  <c:v>29.256600000000017</c:v>
                </c:pt>
                <c:pt idx="949">
                  <c:v>29.256700000000016</c:v>
                </c:pt>
                <c:pt idx="950">
                  <c:v>29.256800000000016</c:v>
                </c:pt>
                <c:pt idx="951">
                  <c:v>29.256900000000016</c:v>
                </c:pt>
                <c:pt idx="952">
                  <c:v>29.257000000000016</c:v>
                </c:pt>
                <c:pt idx="953">
                  <c:v>29.257100000000015</c:v>
                </c:pt>
                <c:pt idx="954">
                  <c:v>29.257200000000015</c:v>
                </c:pt>
                <c:pt idx="955">
                  <c:v>29.257300000000015</c:v>
                </c:pt>
                <c:pt idx="956">
                  <c:v>29.257400000000015</c:v>
                </c:pt>
                <c:pt idx="957">
                  <c:v>29.257500000000014</c:v>
                </c:pt>
                <c:pt idx="958">
                  <c:v>29.257600000000014</c:v>
                </c:pt>
                <c:pt idx="959">
                  <c:v>29.257700000000014</c:v>
                </c:pt>
                <c:pt idx="960">
                  <c:v>29.257800000000014</c:v>
                </c:pt>
                <c:pt idx="961">
                  <c:v>29.257900000000014</c:v>
                </c:pt>
                <c:pt idx="962">
                  <c:v>29.258000000000013</c:v>
                </c:pt>
                <c:pt idx="963">
                  <c:v>29.258100000000013</c:v>
                </c:pt>
                <c:pt idx="964">
                  <c:v>29.258200000000013</c:v>
                </c:pt>
                <c:pt idx="965">
                  <c:v>29.258300000000013</c:v>
                </c:pt>
                <c:pt idx="966">
                  <c:v>29.258400000000012</c:v>
                </c:pt>
                <c:pt idx="967">
                  <c:v>29.258500000000012</c:v>
                </c:pt>
                <c:pt idx="968">
                  <c:v>29.258600000000012</c:v>
                </c:pt>
                <c:pt idx="969">
                  <c:v>29.258700000000012</c:v>
                </c:pt>
                <c:pt idx="970">
                  <c:v>29.258800000000011</c:v>
                </c:pt>
                <c:pt idx="971">
                  <c:v>29.258900000000011</c:v>
                </c:pt>
                <c:pt idx="972">
                  <c:v>29.259000000000011</c:v>
                </c:pt>
                <c:pt idx="973">
                  <c:v>29.259100000000011</c:v>
                </c:pt>
                <c:pt idx="974">
                  <c:v>29.259200000000011</c:v>
                </c:pt>
                <c:pt idx="975">
                  <c:v>29.25930000000001</c:v>
                </c:pt>
                <c:pt idx="976">
                  <c:v>29.25940000000001</c:v>
                </c:pt>
                <c:pt idx="977">
                  <c:v>29.25950000000001</c:v>
                </c:pt>
                <c:pt idx="978">
                  <c:v>29.25960000000001</c:v>
                </c:pt>
                <c:pt idx="979">
                  <c:v>29.259700000000009</c:v>
                </c:pt>
                <c:pt idx="980">
                  <c:v>29.259800000000009</c:v>
                </c:pt>
                <c:pt idx="981">
                  <c:v>29.259900000000009</c:v>
                </c:pt>
                <c:pt idx="982">
                  <c:v>29.260000000000009</c:v>
                </c:pt>
                <c:pt idx="983">
                  <c:v>29.260100000000008</c:v>
                </c:pt>
                <c:pt idx="984">
                  <c:v>29.260200000000008</c:v>
                </c:pt>
                <c:pt idx="985">
                  <c:v>29.260300000000008</c:v>
                </c:pt>
                <c:pt idx="986">
                  <c:v>29.260400000000008</c:v>
                </c:pt>
                <c:pt idx="987">
                  <c:v>29.260500000000008</c:v>
                </c:pt>
                <c:pt idx="988">
                  <c:v>29.260600000000007</c:v>
                </c:pt>
                <c:pt idx="989">
                  <c:v>29.260700000000007</c:v>
                </c:pt>
                <c:pt idx="990">
                  <c:v>29.260800000000007</c:v>
                </c:pt>
                <c:pt idx="991">
                  <c:v>29.260900000000007</c:v>
                </c:pt>
                <c:pt idx="992">
                  <c:v>29.261000000000006</c:v>
                </c:pt>
                <c:pt idx="993">
                  <c:v>29.261100000000006</c:v>
                </c:pt>
                <c:pt idx="994">
                  <c:v>29.261200000000006</c:v>
                </c:pt>
                <c:pt idx="995">
                  <c:v>29.261300000000006</c:v>
                </c:pt>
                <c:pt idx="996">
                  <c:v>29.261400000000005</c:v>
                </c:pt>
                <c:pt idx="997">
                  <c:v>29.261500000000005</c:v>
                </c:pt>
                <c:pt idx="998">
                  <c:v>29.261600000000005</c:v>
                </c:pt>
                <c:pt idx="999">
                  <c:v>29.261700000000005</c:v>
                </c:pt>
                <c:pt idx="1000">
                  <c:v>29.261800000000004</c:v>
                </c:pt>
              </c:numCache>
            </c:numRef>
          </c:xVal>
          <c:yVal>
            <c:numRef>
              <c:f>Calculs!$T$4:$T$1004</c:f>
              <c:numCache>
                <c:formatCode>0.00</c:formatCode>
                <c:ptCount val="1001"/>
                <c:pt idx="0">
                  <c:v>49.865211000000002</c:v>
                </c:pt>
                <c:pt idx="1">
                  <c:v>49.865206095000005</c:v>
                </c:pt>
                <c:pt idx="2">
                  <c:v>49.865191380000006</c:v>
                </c:pt>
                <c:pt idx="3">
                  <c:v>49.865166855000012</c:v>
                </c:pt>
                <c:pt idx="4">
                  <c:v>49.86513252000001</c:v>
                </c:pt>
                <c:pt idx="5">
                  <c:v>49.865088375000006</c:v>
                </c:pt>
                <c:pt idx="6">
                  <c:v>49.865034420000001</c:v>
                </c:pt>
                <c:pt idx="7">
                  <c:v>49.864970655000008</c:v>
                </c:pt>
                <c:pt idx="8">
                  <c:v>49.864897080000013</c:v>
                </c:pt>
                <c:pt idx="9">
                  <c:v>49.864813695000009</c:v>
                </c:pt>
                <c:pt idx="10">
                  <c:v>49.864720500000011</c:v>
                </c:pt>
                <c:pt idx="11">
                  <c:v>49.864627305000013</c:v>
                </c:pt>
                <c:pt idx="12">
                  <c:v>49.864543920000017</c:v>
                </c:pt>
                <c:pt idx="13">
                  <c:v>49.864470345000015</c:v>
                </c:pt>
                <c:pt idx="14">
                  <c:v>49.864406580000022</c:v>
                </c:pt>
                <c:pt idx="15">
                  <c:v>49.864352625000016</c:v>
                </c:pt>
                <c:pt idx="16">
                  <c:v>49.864308480000012</c:v>
                </c:pt>
                <c:pt idx="17">
                  <c:v>49.864274145000017</c:v>
                </c:pt>
                <c:pt idx="18">
                  <c:v>49.864249620000017</c:v>
                </c:pt>
                <c:pt idx="19">
                  <c:v>49.864234905000018</c:v>
                </c:pt>
                <c:pt idx="20">
                  <c:v>49.86423000000002</c:v>
                </c:pt>
                <c:pt idx="21">
                  <c:v>49.86423000000002</c:v>
                </c:pt>
                <c:pt idx="22">
                  <c:v>49.86423000000002</c:v>
                </c:pt>
                <c:pt idx="23">
                  <c:v>49.86423000000002</c:v>
                </c:pt>
                <c:pt idx="24">
                  <c:v>49.86423000000002</c:v>
                </c:pt>
                <c:pt idx="25">
                  <c:v>49.86423000000002</c:v>
                </c:pt>
                <c:pt idx="26">
                  <c:v>49.86423000000002</c:v>
                </c:pt>
                <c:pt idx="27">
                  <c:v>49.86423000000002</c:v>
                </c:pt>
                <c:pt idx="28">
                  <c:v>49.86423000000002</c:v>
                </c:pt>
                <c:pt idx="29">
                  <c:v>49.86423000000002</c:v>
                </c:pt>
                <c:pt idx="30">
                  <c:v>49.86423000000002</c:v>
                </c:pt>
                <c:pt idx="31">
                  <c:v>49.86423000000002</c:v>
                </c:pt>
                <c:pt idx="32">
                  <c:v>49.86423000000002</c:v>
                </c:pt>
                <c:pt idx="33">
                  <c:v>49.86423000000002</c:v>
                </c:pt>
                <c:pt idx="34">
                  <c:v>49.86423000000002</c:v>
                </c:pt>
                <c:pt idx="35">
                  <c:v>49.86423000000002</c:v>
                </c:pt>
                <c:pt idx="36">
                  <c:v>49.86423000000002</c:v>
                </c:pt>
                <c:pt idx="37">
                  <c:v>49.86423000000002</c:v>
                </c:pt>
                <c:pt idx="38">
                  <c:v>49.86423000000002</c:v>
                </c:pt>
                <c:pt idx="39">
                  <c:v>49.86423000000002</c:v>
                </c:pt>
                <c:pt idx="40">
                  <c:v>49.86423000000002</c:v>
                </c:pt>
                <c:pt idx="41">
                  <c:v>49.86423000000002</c:v>
                </c:pt>
                <c:pt idx="42">
                  <c:v>49.86423000000002</c:v>
                </c:pt>
                <c:pt idx="43">
                  <c:v>49.86423000000002</c:v>
                </c:pt>
                <c:pt idx="44">
                  <c:v>49.86423000000002</c:v>
                </c:pt>
                <c:pt idx="45">
                  <c:v>49.86423000000002</c:v>
                </c:pt>
                <c:pt idx="46">
                  <c:v>49.86423000000002</c:v>
                </c:pt>
                <c:pt idx="47">
                  <c:v>49.86423000000002</c:v>
                </c:pt>
                <c:pt idx="48">
                  <c:v>49.86423000000002</c:v>
                </c:pt>
                <c:pt idx="49">
                  <c:v>49.86423000000002</c:v>
                </c:pt>
                <c:pt idx="50">
                  <c:v>49.86423000000002</c:v>
                </c:pt>
                <c:pt idx="51">
                  <c:v>49.86423000000002</c:v>
                </c:pt>
                <c:pt idx="52">
                  <c:v>49.86423000000002</c:v>
                </c:pt>
                <c:pt idx="53">
                  <c:v>49.86423000000002</c:v>
                </c:pt>
                <c:pt idx="54">
                  <c:v>49.86423000000002</c:v>
                </c:pt>
                <c:pt idx="55">
                  <c:v>49.86423000000002</c:v>
                </c:pt>
                <c:pt idx="56">
                  <c:v>49.86423000000002</c:v>
                </c:pt>
                <c:pt idx="57">
                  <c:v>49.86423000000002</c:v>
                </c:pt>
                <c:pt idx="58">
                  <c:v>49.86423000000002</c:v>
                </c:pt>
                <c:pt idx="59">
                  <c:v>49.86423000000002</c:v>
                </c:pt>
                <c:pt idx="60">
                  <c:v>49.86423000000002</c:v>
                </c:pt>
                <c:pt idx="61">
                  <c:v>49.86423000000002</c:v>
                </c:pt>
                <c:pt idx="62">
                  <c:v>49.86423000000002</c:v>
                </c:pt>
                <c:pt idx="63">
                  <c:v>49.86423000000002</c:v>
                </c:pt>
                <c:pt idx="64">
                  <c:v>49.86423000000002</c:v>
                </c:pt>
                <c:pt idx="65">
                  <c:v>49.86423000000002</c:v>
                </c:pt>
                <c:pt idx="66">
                  <c:v>49.86423000000002</c:v>
                </c:pt>
                <c:pt idx="67">
                  <c:v>49.86423000000002</c:v>
                </c:pt>
                <c:pt idx="68">
                  <c:v>49.86423000000002</c:v>
                </c:pt>
                <c:pt idx="69">
                  <c:v>49.86423000000002</c:v>
                </c:pt>
                <c:pt idx="70">
                  <c:v>49.86423000000002</c:v>
                </c:pt>
                <c:pt idx="71">
                  <c:v>49.86423000000002</c:v>
                </c:pt>
                <c:pt idx="72">
                  <c:v>49.86423000000002</c:v>
                </c:pt>
                <c:pt idx="73">
                  <c:v>49.86423000000002</c:v>
                </c:pt>
                <c:pt idx="74">
                  <c:v>49.86423000000002</c:v>
                </c:pt>
                <c:pt idx="75">
                  <c:v>49.86423000000002</c:v>
                </c:pt>
                <c:pt idx="76">
                  <c:v>49.86423000000002</c:v>
                </c:pt>
                <c:pt idx="77">
                  <c:v>49.86423000000002</c:v>
                </c:pt>
                <c:pt idx="78">
                  <c:v>49.86423000000002</c:v>
                </c:pt>
                <c:pt idx="79">
                  <c:v>49.86423000000002</c:v>
                </c:pt>
                <c:pt idx="80">
                  <c:v>49.86423000000002</c:v>
                </c:pt>
                <c:pt idx="81">
                  <c:v>49.86423000000002</c:v>
                </c:pt>
                <c:pt idx="82">
                  <c:v>49.86423000000002</c:v>
                </c:pt>
                <c:pt idx="83">
                  <c:v>49.86423000000002</c:v>
                </c:pt>
                <c:pt idx="84">
                  <c:v>49.86423000000002</c:v>
                </c:pt>
                <c:pt idx="85">
                  <c:v>49.86423000000002</c:v>
                </c:pt>
                <c:pt idx="86">
                  <c:v>49.86423000000002</c:v>
                </c:pt>
                <c:pt idx="87">
                  <c:v>49.86423000000002</c:v>
                </c:pt>
                <c:pt idx="88">
                  <c:v>49.86423000000002</c:v>
                </c:pt>
                <c:pt idx="89">
                  <c:v>49.86423000000002</c:v>
                </c:pt>
                <c:pt idx="90">
                  <c:v>49.86423000000002</c:v>
                </c:pt>
                <c:pt idx="91">
                  <c:v>49.86423000000002</c:v>
                </c:pt>
                <c:pt idx="92">
                  <c:v>49.86423000000002</c:v>
                </c:pt>
                <c:pt idx="93">
                  <c:v>49.86423000000002</c:v>
                </c:pt>
                <c:pt idx="94">
                  <c:v>49.86423000000002</c:v>
                </c:pt>
                <c:pt idx="95">
                  <c:v>49.86423000000002</c:v>
                </c:pt>
                <c:pt idx="96">
                  <c:v>49.86423000000002</c:v>
                </c:pt>
                <c:pt idx="97">
                  <c:v>49.86423000000002</c:v>
                </c:pt>
                <c:pt idx="98">
                  <c:v>49.86423000000002</c:v>
                </c:pt>
                <c:pt idx="99">
                  <c:v>49.86423000000002</c:v>
                </c:pt>
                <c:pt idx="100">
                  <c:v>49.86423000000002</c:v>
                </c:pt>
                <c:pt idx="101">
                  <c:v>49.86423000000002</c:v>
                </c:pt>
                <c:pt idx="102">
                  <c:v>49.86423000000002</c:v>
                </c:pt>
                <c:pt idx="103">
                  <c:v>49.86423000000002</c:v>
                </c:pt>
                <c:pt idx="104">
                  <c:v>49.86423000000002</c:v>
                </c:pt>
                <c:pt idx="105">
                  <c:v>49.86423000000002</c:v>
                </c:pt>
                <c:pt idx="106">
                  <c:v>49.86423000000002</c:v>
                </c:pt>
                <c:pt idx="107">
                  <c:v>49.86423000000002</c:v>
                </c:pt>
                <c:pt idx="108">
                  <c:v>49.86423000000002</c:v>
                </c:pt>
                <c:pt idx="109">
                  <c:v>49.86423000000002</c:v>
                </c:pt>
                <c:pt idx="110">
                  <c:v>49.86423000000002</c:v>
                </c:pt>
                <c:pt idx="111">
                  <c:v>49.86423000000002</c:v>
                </c:pt>
                <c:pt idx="112">
                  <c:v>49.86423000000002</c:v>
                </c:pt>
                <c:pt idx="113">
                  <c:v>49.86423000000002</c:v>
                </c:pt>
                <c:pt idx="114">
                  <c:v>49.86423000000002</c:v>
                </c:pt>
                <c:pt idx="115">
                  <c:v>49.86423000000002</c:v>
                </c:pt>
                <c:pt idx="116">
                  <c:v>49.86423000000002</c:v>
                </c:pt>
                <c:pt idx="117">
                  <c:v>49.86423000000002</c:v>
                </c:pt>
                <c:pt idx="118">
                  <c:v>49.86423000000002</c:v>
                </c:pt>
                <c:pt idx="119">
                  <c:v>49.86423000000002</c:v>
                </c:pt>
                <c:pt idx="120">
                  <c:v>49.86423000000002</c:v>
                </c:pt>
                <c:pt idx="121">
                  <c:v>49.86423000000002</c:v>
                </c:pt>
                <c:pt idx="122">
                  <c:v>49.86423000000002</c:v>
                </c:pt>
                <c:pt idx="123">
                  <c:v>49.86423000000002</c:v>
                </c:pt>
                <c:pt idx="124">
                  <c:v>49.86423000000002</c:v>
                </c:pt>
                <c:pt idx="125">
                  <c:v>49.86423000000002</c:v>
                </c:pt>
                <c:pt idx="126">
                  <c:v>49.86423000000002</c:v>
                </c:pt>
                <c:pt idx="127">
                  <c:v>49.86423000000002</c:v>
                </c:pt>
                <c:pt idx="128">
                  <c:v>49.86423000000002</c:v>
                </c:pt>
                <c:pt idx="129">
                  <c:v>49.86423000000002</c:v>
                </c:pt>
                <c:pt idx="130">
                  <c:v>49.86423000000002</c:v>
                </c:pt>
                <c:pt idx="131">
                  <c:v>49.86423000000002</c:v>
                </c:pt>
                <c:pt idx="132">
                  <c:v>49.86423000000002</c:v>
                </c:pt>
                <c:pt idx="133">
                  <c:v>49.86423000000002</c:v>
                </c:pt>
                <c:pt idx="134">
                  <c:v>49.86423000000002</c:v>
                </c:pt>
                <c:pt idx="135">
                  <c:v>49.86423000000002</c:v>
                </c:pt>
                <c:pt idx="136">
                  <c:v>49.86423000000002</c:v>
                </c:pt>
                <c:pt idx="137">
                  <c:v>49.86423000000002</c:v>
                </c:pt>
                <c:pt idx="138">
                  <c:v>49.86423000000002</c:v>
                </c:pt>
                <c:pt idx="139">
                  <c:v>49.86423000000002</c:v>
                </c:pt>
                <c:pt idx="140">
                  <c:v>49.86423000000002</c:v>
                </c:pt>
                <c:pt idx="141">
                  <c:v>49.86423000000002</c:v>
                </c:pt>
                <c:pt idx="142">
                  <c:v>49.86423000000002</c:v>
                </c:pt>
                <c:pt idx="143">
                  <c:v>49.86423000000002</c:v>
                </c:pt>
                <c:pt idx="144">
                  <c:v>49.86423000000002</c:v>
                </c:pt>
                <c:pt idx="145">
                  <c:v>49.86423000000002</c:v>
                </c:pt>
                <c:pt idx="146">
                  <c:v>49.86423000000002</c:v>
                </c:pt>
                <c:pt idx="147">
                  <c:v>49.86423000000002</c:v>
                </c:pt>
                <c:pt idx="148">
                  <c:v>49.86423000000002</c:v>
                </c:pt>
                <c:pt idx="149">
                  <c:v>49.86423000000002</c:v>
                </c:pt>
                <c:pt idx="150">
                  <c:v>49.86423000000002</c:v>
                </c:pt>
                <c:pt idx="151">
                  <c:v>49.86423000000002</c:v>
                </c:pt>
                <c:pt idx="152">
                  <c:v>49.86423000000002</c:v>
                </c:pt>
                <c:pt idx="153">
                  <c:v>49.86423000000002</c:v>
                </c:pt>
                <c:pt idx="154">
                  <c:v>49.86423000000002</c:v>
                </c:pt>
                <c:pt idx="155">
                  <c:v>49.86423000000002</c:v>
                </c:pt>
                <c:pt idx="156">
                  <c:v>49.86423000000002</c:v>
                </c:pt>
                <c:pt idx="157">
                  <c:v>49.86423000000002</c:v>
                </c:pt>
                <c:pt idx="158">
                  <c:v>49.86423000000002</c:v>
                </c:pt>
                <c:pt idx="159">
                  <c:v>49.86423000000002</c:v>
                </c:pt>
                <c:pt idx="160">
                  <c:v>49.86423000000002</c:v>
                </c:pt>
                <c:pt idx="161">
                  <c:v>49.86423000000002</c:v>
                </c:pt>
                <c:pt idx="162">
                  <c:v>49.86423000000002</c:v>
                </c:pt>
                <c:pt idx="163">
                  <c:v>49.86423000000002</c:v>
                </c:pt>
                <c:pt idx="164">
                  <c:v>49.86423000000002</c:v>
                </c:pt>
                <c:pt idx="165">
                  <c:v>49.86423000000002</c:v>
                </c:pt>
                <c:pt idx="166">
                  <c:v>49.86423000000002</c:v>
                </c:pt>
                <c:pt idx="167">
                  <c:v>49.86423000000002</c:v>
                </c:pt>
                <c:pt idx="168">
                  <c:v>49.86423000000002</c:v>
                </c:pt>
                <c:pt idx="169">
                  <c:v>49.86423000000002</c:v>
                </c:pt>
                <c:pt idx="170">
                  <c:v>49.86423000000002</c:v>
                </c:pt>
                <c:pt idx="171">
                  <c:v>49.86423000000002</c:v>
                </c:pt>
                <c:pt idx="172">
                  <c:v>49.86423000000002</c:v>
                </c:pt>
                <c:pt idx="173">
                  <c:v>49.86423000000002</c:v>
                </c:pt>
                <c:pt idx="174">
                  <c:v>49.86423000000002</c:v>
                </c:pt>
                <c:pt idx="175">
                  <c:v>49.86423000000002</c:v>
                </c:pt>
                <c:pt idx="176">
                  <c:v>49.86423000000002</c:v>
                </c:pt>
                <c:pt idx="177">
                  <c:v>49.86423000000002</c:v>
                </c:pt>
                <c:pt idx="178">
                  <c:v>49.86423000000002</c:v>
                </c:pt>
                <c:pt idx="179">
                  <c:v>49.86423000000002</c:v>
                </c:pt>
                <c:pt idx="180">
                  <c:v>49.86423000000002</c:v>
                </c:pt>
                <c:pt idx="181">
                  <c:v>49.86423000000002</c:v>
                </c:pt>
                <c:pt idx="182">
                  <c:v>49.86423000000002</c:v>
                </c:pt>
                <c:pt idx="183">
                  <c:v>49.86423000000002</c:v>
                </c:pt>
                <c:pt idx="184">
                  <c:v>49.86423000000002</c:v>
                </c:pt>
                <c:pt idx="185">
                  <c:v>49.86423000000002</c:v>
                </c:pt>
                <c:pt idx="186">
                  <c:v>49.86423000000002</c:v>
                </c:pt>
                <c:pt idx="187">
                  <c:v>49.86423000000002</c:v>
                </c:pt>
                <c:pt idx="188">
                  <c:v>49.86423000000002</c:v>
                </c:pt>
                <c:pt idx="189">
                  <c:v>49.86423000000002</c:v>
                </c:pt>
                <c:pt idx="190">
                  <c:v>49.86423000000002</c:v>
                </c:pt>
                <c:pt idx="191">
                  <c:v>49.86423000000002</c:v>
                </c:pt>
                <c:pt idx="192">
                  <c:v>49.86423000000002</c:v>
                </c:pt>
                <c:pt idx="193">
                  <c:v>49.86423000000002</c:v>
                </c:pt>
                <c:pt idx="194">
                  <c:v>49.86423000000002</c:v>
                </c:pt>
                <c:pt idx="195">
                  <c:v>49.86423000000002</c:v>
                </c:pt>
                <c:pt idx="196">
                  <c:v>49.86423000000002</c:v>
                </c:pt>
                <c:pt idx="197">
                  <c:v>49.86423000000002</c:v>
                </c:pt>
                <c:pt idx="198">
                  <c:v>49.86423000000002</c:v>
                </c:pt>
                <c:pt idx="199">
                  <c:v>49.86423000000002</c:v>
                </c:pt>
                <c:pt idx="200">
                  <c:v>49.86423000000002</c:v>
                </c:pt>
                <c:pt idx="201">
                  <c:v>49.86423000000002</c:v>
                </c:pt>
                <c:pt idx="202">
                  <c:v>49.86423000000002</c:v>
                </c:pt>
                <c:pt idx="203">
                  <c:v>49.86423000000002</c:v>
                </c:pt>
                <c:pt idx="204">
                  <c:v>49.86423000000002</c:v>
                </c:pt>
                <c:pt idx="205">
                  <c:v>49.86423000000002</c:v>
                </c:pt>
                <c:pt idx="206">
                  <c:v>49.86423000000002</c:v>
                </c:pt>
                <c:pt idx="207">
                  <c:v>49.86423000000002</c:v>
                </c:pt>
                <c:pt idx="208">
                  <c:v>49.86423000000002</c:v>
                </c:pt>
                <c:pt idx="209">
                  <c:v>49.86423000000002</c:v>
                </c:pt>
                <c:pt idx="210">
                  <c:v>49.86423000000002</c:v>
                </c:pt>
                <c:pt idx="211">
                  <c:v>49.86423000000002</c:v>
                </c:pt>
                <c:pt idx="212">
                  <c:v>49.86423000000002</c:v>
                </c:pt>
                <c:pt idx="213">
                  <c:v>49.86423000000002</c:v>
                </c:pt>
                <c:pt idx="214">
                  <c:v>49.86423000000002</c:v>
                </c:pt>
                <c:pt idx="215">
                  <c:v>49.86423000000002</c:v>
                </c:pt>
                <c:pt idx="216">
                  <c:v>49.86423000000002</c:v>
                </c:pt>
                <c:pt idx="217">
                  <c:v>49.86423000000002</c:v>
                </c:pt>
                <c:pt idx="218">
                  <c:v>49.86423000000002</c:v>
                </c:pt>
                <c:pt idx="219">
                  <c:v>49.86423000000002</c:v>
                </c:pt>
                <c:pt idx="220">
                  <c:v>49.86423000000002</c:v>
                </c:pt>
                <c:pt idx="221">
                  <c:v>49.86423000000002</c:v>
                </c:pt>
                <c:pt idx="222">
                  <c:v>49.86423000000002</c:v>
                </c:pt>
                <c:pt idx="223">
                  <c:v>49.86423000000002</c:v>
                </c:pt>
                <c:pt idx="224">
                  <c:v>49.86423000000002</c:v>
                </c:pt>
                <c:pt idx="225">
                  <c:v>49.86423000000002</c:v>
                </c:pt>
                <c:pt idx="226">
                  <c:v>49.86423000000002</c:v>
                </c:pt>
                <c:pt idx="227">
                  <c:v>49.86423000000002</c:v>
                </c:pt>
                <c:pt idx="228">
                  <c:v>49.86423000000002</c:v>
                </c:pt>
                <c:pt idx="229">
                  <c:v>49.86423000000002</c:v>
                </c:pt>
                <c:pt idx="230">
                  <c:v>49.86423000000002</c:v>
                </c:pt>
                <c:pt idx="231">
                  <c:v>49.86423000000002</c:v>
                </c:pt>
                <c:pt idx="232">
                  <c:v>49.86423000000002</c:v>
                </c:pt>
                <c:pt idx="233">
                  <c:v>49.86423000000002</c:v>
                </c:pt>
                <c:pt idx="234">
                  <c:v>49.86423000000002</c:v>
                </c:pt>
                <c:pt idx="235">
                  <c:v>49.86423000000002</c:v>
                </c:pt>
                <c:pt idx="236">
                  <c:v>49.86423000000002</c:v>
                </c:pt>
                <c:pt idx="237">
                  <c:v>49.86423000000002</c:v>
                </c:pt>
                <c:pt idx="238">
                  <c:v>49.86423000000002</c:v>
                </c:pt>
                <c:pt idx="239">
                  <c:v>49.86423000000002</c:v>
                </c:pt>
                <c:pt idx="240">
                  <c:v>49.86423000000002</c:v>
                </c:pt>
                <c:pt idx="241">
                  <c:v>49.86423000000002</c:v>
                </c:pt>
                <c:pt idx="242">
                  <c:v>49.86423000000002</c:v>
                </c:pt>
                <c:pt idx="243">
                  <c:v>49.86423000000002</c:v>
                </c:pt>
                <c:pt idx="244">
                  <c:v>49.86423000000002</c:v>
                </c:pt>
                <c:pt idx="245">
                  <c:v>49.86423000000002</c:v>
                </c:pt>
                <c:pt idx="246">
                  <c:v>49.86423000000002</c:v>
                </c:pt>
                <c:pt idx="247">
                  <c:v>49.86423000000002</c:v>
                </c:pt>
                <c:pt idx="248">
                  <c:v>49.86423000000002</c:v>
                </c:pt>
                <c:pt idx="249">
                  <c:v>49.86423000000002</c:v>
                </c:pt>
                <c:pt idx="250">
                  <c:v>49.86423000000002</c:v>
                </c:pt>
                <c:pt idx="251">
                  <c:v>49.86423000000002</c:v>
                </c:pt>
                <c:pt idx="252">
                  <c:v>49.86423000000002</c:v>
                </c:pt>
                <c:pt idx="253">
                  <c:v>49.86423000000002</c:v>
                </c:pt>
                <c:pt idx="254">
                  <c:v>49.86423000000002</c:v>
                </c:pt>
                <c:pt idx="255">
                  <c:v>49.86423000000002</c:v>
                </c:pt>
                <c:pt idx="256">
                  <c:v>49.86423000000002</c:v>
                </c:pt>
                <c:pt idx="257">
                  <c:v>49.86423000000002</c:v>
                </c:pt>
                <c:pt idx="258">
                  <c:v>49.86423000000002</c:v>
                </c:pt>
                <c:pt idx="259">
                  <c:v>49.86423000000002</c:v>
                </c:pt>
                <c:pt idx="260">
                  <c:v>49.86423000000002</c:v>
                </c:pt>
                <c:pt idx="261">
                  <c:v>49.86423000000002</c:v>
                </c:pt>
                <c:pt idx="262">
                  <c:v>49.86423000000002</c:v>
                </c:pt>
                <c:pt idx="263">
                  <c:v>49.86423000000002</c:v>
                </c:pt>
                <c:pt idx="264">
                  <c:v>49.86423000000002</c:v>
                </c:pt>
                <c:pt idx="265">
                  <c:v>49.86423000000002</c:v>
                </c:pt>
                <c:pt idx="266">
                  <c:v>49.86423000000002</c:v>
                </c:pt>
                <c:pt idx="267">
                  <c:v>49.86423000000002</c:v>
                </c:pt>
                <c:pt idx="268">
                  <c:v>49.86423000000002</c:v>
                </c:pt>
                <c:pt idx="269">
                  <c:v>49.86423000000002</c:v>
                </c:pt>
                <c:pt idx="270">
                  <c:v>49.86423000000002</c:v>
                </c:pt>
                <c:pt idx="271">
                  <c:v>49.86423000000002</c:v>
                </c:pt>
                <c:pt idx="272">
                  <c:v>49.86423000000002</c:v>
                </c:pt>
                <c:pt idx="273">
                  <c:v>49.86423000000002</c:v>
                </c:pt>
                <c:pt idx="274">
                  <c:v>49.86423000000002</c:v>
                </c:pt>
                <c:pt idx="275">
                  <c:v>49.86423000000002</c:v>
                </c:pt>
                <c:pt idx="276">
                  <c:v>49.86423000000002</c:v>
                </c:pt>
                <c:pt idx="277">
                  <c:v>49.86423000000002</c:v>
                </c:pt>
                <c:pt idx="278">
                  <c:v>49.86423000000002</c:v>
                </c:pt>
                <c:pt idx="279">
                  <c:v>49.86423000000002</c:v>
                </c:pt>
                <c:pt idx="280">
                  <c:v>49.86423000000002</c:v>
                </c:pt>
                <c:pt idx="281">
                  <c:v>49.86423000000002</c:v>
                </c:pt>
                <c:pt idx="282">
                  <c:v>49.86423000000002</c:v>
                </c:pt>
                <c:pt idx="283">
                  <c:v>49.86423000000002</c:v>
                </c:pt>
                <c:pt idx="284">
                  <c:v>49.86423000000002</c:v>
                </c:pt>
                <c:pt idx="285">
                  <c:v>49.86423000000002</c:v>
                </c:pt>
                <c:pt idx="286">
                  <c:v>49.86423000000002</c:v>
                </c:pt>
                <c:pt idx="287">
                  <c:v>49.86423000000002</c:v>
                </c:pt>
                <c:pt idx="288">
                  <c:v>49.86423000000002</c:v>
                </c:pt>
                <c:pt idx="289">
                  <c:v>49.86423000000002</c:v>
                </c:pt>
                <c:pt idx="290">
                  <c:v>49.86423000000002</c:v>
                </c:pt>
                <c:pt idx="291">
                  <c:v>49.86423000000002</c:v>
                </c:pt>
                <c:pt idx="292">
                  <c:v>49.86423000000002</c:v>
                </c:pt>
                <c:pt idx="293">
                  <c:v>49.86423000000002</c:v>
                </c:pt>
                <c:pt idx="294">
                  <c:v>49.86423000000002</c:v>
                </c:pt>
                <c:pt idx="295">
                  <c:v>49.86423000000002</c:v>
                </c:pt>
                <c:pt idx="296">
                  <c:v>49.86423000000002</c:v>
                </c:pt>
                <c:pt idx="297">
                  <c:v>49.86423000000002</c:v>
                </c:pt>
                <c:pt idx="298">
                  <c:v>49.86423000000002</c:v>
                </c:pt>
                <c:pt idx="299">
                  <c:v>49.86423000000002</c:v>
                </c:pt>
                <c:pt idx="300">
                  <c:v>49.86423000000002</c:v>
                </c:pt>
                <c:pt idx="301">
                  <c:v>49.86423000000002</c:v>
                </c:pt>
                <c:pt idx="302">
                  <c:v>49.86423000000002</c:v>
                </c:pt>
                <c:pt idx="303">
                  <c:v>49.86423000000002</c:v>
                </c:pt>
                <c:pt idx="304">
                  <c:v>49.86423000000002</c:v>
                </c:pt>
                <c:pt idx="305">
                  <c:v>49.86423000000002</c:v>
                </c:pt>
                <c:pt idx="306">
                  <c:v>49.86423000000002</c:v>
                </c:pt>
                <c:pt idx="307">
                  <c:v>49.86423000000002</c:v>
                </c:pt>
                <c:pt idx="308">
                  <c:v>49.86423000000002</c:v>
                </c:pt>
                <c:pt idx="309">
                  <c:v>49.86423000000002</c:v>
                </c:pt>
                <c:pt idx="310">
                  <c:v>49.86423000000002</c:v>
                </c:pt>
                <c:pt idx="311">
                  <c:v>49.86423000000002</c:v>
                </c:pt>
                <c:pt idx="312">
                  <c:v>49.86423000000002</c:v>
                </c:pt>
                <c:pt idx="313">
                  <c:v>49.86423000000002</c:v>
                </c:pt>
                <c:pt idx="314">
                  <c:v>49.86423000000002</c:v>
                </c:pt>
                <c:pt idx="315">
                  <c:v>49.86423000000002</c:v>
                </c:pt>
                <c:pt idx="316">
                  <c:v>49.86423000000002</c:v>
                </c:pt>
                <c:pt idx="317">
                  <c:v>49.86423000000002</c:v>
                </c:pt>
                <c:pt idx="318">
                  <c:v>49.86423000000002</c:v>
                </c:pt>
                <c:pt idx="319">
                  <c:v>49.86423000000002</c:v>
                </c:pt>
                <c:pt idx="320">
                  <c:v>49.86423000000002</c:v>
                </c:pt>
                <c:pt idx="321">
                  <c:v>49.86423000000002</c:v>
                </c:pt>
                <c:pt idx="322">
                  <c:v>49.86423000000002</c:v>
                </c:pt>
                <c:pt idx="323">
                  <c:v>49.86423000000002</c:v>
                </c:pt>
                <c:pt idx="324">
                  <c:v>49.86423000000002</c:v>
                </c:pt>
                <c:pt idx="325">
                  <c:v>49.86423000000002</c:v>
                </c:pt>
                <c:pt idx="326">
                  <c:v>49.86423000000002</c:v>
                </c:pt>
                <c:pt idx="327">
                  <c:v>49.86423000000002</c:v>
                </c:pt>
                <c:pt idx="328">
                  <c:v>49.86423000000002</c:v>
                </c:pt>
                <c:pt idx="329">
                  <c:v>49.86423000000002</c:v>
                </c:pt>
                <c:pt idx="330">
                  <c:v>49.86423000000002</c:v>
                </c:pt>
                <c:pt idx="331">
                  <c:v>49.86423000000002</c:v>
                </c:pt>
                <c:pt idx="332">
                  <c:v>49.86423000000002</c:v>
                </c:pt>
                <c:pt idx="333">
                  <c:v>49.86423000000002</c:v>
                </c:pt>
                <c:pt idx="334">
                  <c:v>49.86423000000002</c:v>
                </c:pt>
                <c:pt idx="335">
                  <c:v>49.86423000000002</c:v>
                </c:pt>
                <c:pt idx="336">
                  <c:v>49.86423000000002</c:v>
                </c:pt>
                <c:pt idx="337">
                  <c:v>49.86423000000002</c:v>
                </c:pt>
                <c:pt idx="338">
                  <c:v>49.86423000000002</c:v>
                </c:pt>
                <c:pt idx="339">
                  <c:v>49.86423000000002</c:v>
                </c:pt>
                <c:pt idx="340">
                  <c:v>49.86423000000002</c:v>
                </c:pt>
                <c:pt idx="341">
                  <c:v>49.86423000000002</c:v>
                </c:pt>
                <c:pt idx="342">
                  <c:v>49.86423000000002</c:v>
                </c:pt>
                <c:pt idx="343">
                  <c:v>49.86423000000002</c:v>
                </c:pt>
                <c:pt idx="344">
                  <c:v>49.86423000000002</c:v>
                </c:pt>
                <c:pt idx="345">
                  <c:v>49.86423000000002</c:v>
                </c:pt>
                <c:pt idx="346">
                  <c:v>49.86423000000002</c:v>
                </c:pt>
                <c:pt idx="347">
                  <c:v>49.86423000000002</c:v>
                </c:pt>
                <c:pt idx="348">
                  <c:v>49.86423000000002</c:v>
                </c:pt>
                <c:pt idx="349">
                  <c:v>49.86423000000002</c:v>
                </c:pt>
                <c:pt idx="350">
                  <c:v>49.86423000000002</c:v>
                </c:pt>
                <c:pt idx="351">
                  <c:v>49.86423000000002</c:v>
                </c:pt>
                <c:pt idx="352">
                  <c:v>49.86423000000002</c:v>
                </c:pt>
                <c:pt idx="353">
                  <c:v>49.86423000000002</c:v>
                </c:pt>
                <c:pt idx="354">
                  <c:v>49.86423000000002</c:v>
                </c:pt>
                <c:pt idx="355">
                  <c:v>49.86423000000002</c:v>
                </c:pt>
                <c:pt idx="356">
                  <c:v>49.86423000000002</c:v>
                </c:pt>
                <c:pt idx="357">
                  <c:v>49.86423000000002</c:v>
                </c:pt>
                <c:pt idx="358">
                  <c:v>49.86423000000002</c:v>
                </c:pt>
                <c:pt idx="359">
                  <c:v>49.86423000000002</c:v>
                </c:pt>
                <c:pt idx="360">
                  <c:v>49.86423000000002</c:v>
                </c:pt>
                <c:pt idx="361">
                  <c:v>49.86423000000002</c:v>
                </c:pt>
                <c:pt idx="362">
                  <c:v>49.86423000000002</c:v>
                </c:pt>
                <c:pt idx="363">
                  <c:v>49.86423000000002</c:v>
                </c:pt>
                <c:pt idx="364">
                  <c:v>49.86423000000002</c:v>
                </c:pt>
                <c:pt idx="365">
                  <c:v>49.86423000000002</c:v>
                </c:pt>
                <c:pt idx="366">
                  <c:v>49.86423000000002</c:v>
                </c:pt>
                <c:pt idx="367">
                  <c:v>49.86423000000002</c:v>
                </c:pt>
                <c:pt idx="368">
                  <c:v>49.86423000000002</c:v>
                </c:pt>
                <c:pt idx="369">
                  <c:v>49.86423000000002</c:v>
                </c:pt>
                <c:pt idx="370">
                  <c:v>49.86423000000002</c:v>
                </c:pt>
                <c:pt idx="371">
                  <c:v>49.86423000000002</c:v>
                </c:pt>
                <c:pt idx="372">
                  <c:v>49.86423000000002</c:v>
                </c:pt>
                <c:pt idx="373">
                  <c:v>49.86423000000002</c:v>
                </c:pt>
                <c:pt idx="374">
                  <c:v>49.86423000000002</c:v>
                </c:pt>
                <c:pt idx="375">
                  <c:v>49.86423000000002</c:v>
                </c:pt>
                <c:pt idx="376">
                  <c:v>49.86423000000002</c:v>
                </c:pt>
                <c:pt idx="377">
                  <c:v>49.86423000000002</c:v>
                </c:pt>
                <c:pt idx="378">
                  <c:v>49.86423000000002</c:v>
                </c:pt>
                <c:pt idx="379">
                  <c:v>49.86423000000002</c:v>
                </c:pt>
                <c:pt idx="380">
                  <c:v>49.86423000000002</c:v>
                </c:pt>
                <c:pt idx="381">
                  <c:v>49.86423000000002</c:v>
                </c:pt>
                <c:pt idx="382">
                  <c:v>49.86423000000002</c:v>
                </c:pt>
                <c:pt idx="383">
                  <c:v>49.86423000000002</c:v>
                </c:pt>
                <c:pt idx="384">
                  <c:v>49.86423000000002</c:v>
                </c:pt>
                <c:pt idx="385">
                  <c:v>49.86423000000002</c:v>
                </c:pt>
                <c:pt idx="386">
                  <c:v>49.86423000000002</c:v>
                </c:pt>
                <c:pt idx="387">
                  <c:v>49.86423000000002</c:v>
                </c:pt>
                <c:pt idx="388">
                  <c:v>49.86423000000002</c:v>
                </c:pt>
                <c:pt idx="389">
                  <c:v>49.86423000000002</c:v>
                </c:pt>
                <c:pt idx="390">
                  <c:v>49.86423000000002</c:v>
                </c:pt>
                <c:pt idx="391">
                  <c:v>49.86423000000002</c:v>
                </c:pt>
                <c:pt idx="392">
                  <c:v>49.86423000000002</c:v>
                </c:pt>
                <c:pt idx="393">
                  <c:v>49.86423000000002</c:v>
                </c:pt>
                <c:pt idx="394">
                  <c:v>49.86423000000002</c:v>
                </c:pt>
                <c:pt idx="395">
                  <c:v>49.86423000000002</c:v>
                </c:pt>
                <c:pt idx="396">
                  <c:v>49.86423000000002</c:v>
                </c:pt>
                <c:pt idx="397">
                  <c:v>49.86423000000002</c:v>
                </c:pt>
                <c:pt idx="398">
                  <c:v>49.86423000000002</c:v>
                </c:pt>
                <c:pt idx="399">
                  <c:v>49.86423000000002</c:v>
                </c:pt>
                <c:pt idx="400">
                  <c:v>49.86423000000002</c:v>
                </c:pt>
                <c:pt idx="401">
                  <c:v>49.86423000000002</c:v>
                </c:pt>
                <c:pt idx="402">
                  <c:v>49.86423000000002</c:v>
                </c:pt>
                <c:pt idx="403">
                  <c:v>49.86423000000002</c:v>
                </c:pt>
                <c:pt idx="404">
                  <c:v>49.86423000000002</c:v>
                </c:pt>
                <c:pt idx="405">
                  <c:v>49.86423000000002</c:v>
                </c:pt>
                <c:pt idx="406">
                  <c:v>49.86423000000002</c:v>
                </c:pt>
                <c:pt idx="407">
                  <c:v>49.86423000000002</c:v>
                </c:pt>
                <c:pt idx="408">
                  <c:v>49.86423000000002</c:v>
                </c:pt>
                <c:pt idx="409">
                  <c:v>49.86423000000002</c:v>
                </c:pt>
                <c:pt idx="410">
                  <c:v>49.86423000000002</c:v>
                </c:pt>
                <c:pt idx="411">
                  <c:v>49.86423000000002</c:v>
                </c:pt>
                <c:pt idx="412">
                  <c:v>49.86423000000002</c:v>
                </c:pt>
                <c:pt idx="413">
                  <c:v>49.86423000000002</c:v>
                </c:pt>
                <c:pt idx="414">
                  <c:v>49.86423000000002</c:v>
                </c:pt>
                <c:pt idx="415">
                  <c:v>49.86423000000002</c:v>
                </c:pt>
                <c:pt idx="416">
                  <c:v>49.86423000000002</c:v>
                </c:pt>
                <c:pt idx="417">
                  <c:v>49.86423000000002</c:v>
                </c:pt>
                <c:pt idx="418">
                  <c:v>49.86423000000002</c:v>
                </c:pt>
                <c:pt idx="419">
                  <c:v>49.86423000000002</c:v>
                </c:pt>
                <c:pt idx="420">
                  <c:v>49.86423000000002</c:v>
                </c:pt>
                <c:pt idx="421">
                  <c:v>49.86423000000002</c:v>
                </c:pt>
                <c:pt idx="422">
                  <c:v>49.86423000000002</c:v>
                </c:pt>
                <c:pt idx="423">
                  <c:v>49.86423000000002</c:v>
                </c:pt>
                <c:pt idx="424">
                  <c:v>49.86423000000002</c:v>
                </c:pt>
                <c:pt idx="425">
                  <c:v>49.86423000000002</c:v>
                </c:pt>
                <c:pt idx="426">
                  <c:v>49.86423000000002</c:v>
                </c:pt>
                <c:pt idx="427">
                  <c:v>49.86423000000002</c:v>
                </c:pt>
                <c:pt idx="428">
                  <c:v>49.86423000000002</c:v>
                </c:pt>
                <c:pt idx="429">
                  <c:v>49.86423000000002</c:v>
                </c:pt>
                <c:pt idx="430">
                  <c:v>49.86423000000002</c:v>
                </c:pt>
                <c:pt idx="431">
                  <c:v>49.86423000000002</c:v>
                </c:pt>
                <c:pt idx="432">
                  <c:v>49.86423000000002</c:v>
                </c:pt>
                <c:pt idx="433">
                  <c:v>49.86423000000002</c:v>
                </c:pt>
                <c:pt idx="434">
                  <c:v>49.86423000000002</c:v>
                </c:pt>
                <c:pt idx="435">
                  <c:v>49.86423000000002</c:v>
                </c:pt>
                <c:pt idx="436">
                  <c:v>49.86423000000002</c:v>
                </c:pt>
                <c:pt idx="437">
                  <c:v>49.86423000000002</c:v>
                </c:pt>
                <c:pt idx="438">
                  <c:v>49.86423000000002</c:v>
                </c:pt>
                <c:pt idx="439">
                  <c:v>49.86423000000002</c:v>
                </c:pt>
                <c:pt idx="440">
                  <c:v>49.86423000000002</c:v>
                </c:pt>
                <c:pt idx="441">
                  <c:v>49.86423000000002</c:v>
                </c:pt>
                <c:pt idx="442">
                  <c:v>49.86423000000002</c:v>
                </c:pt>
                <c:pt idx="443">
                  <c:v>49.86423000000002</c:v>
                </c:pt>
                <c:pt idx="444">
                  <c:v>49.86423000000002</c:v>
                </c:pt>
                <c:pt idx="445">
                  <c:v>49.86423000000002</c:v>
                </c:pt>
                <c:pt idx="446">
                  <c:v>49.86423000000002</c:v>
                </c:pt>
                <c:pt idx="447">
                  <c:v>49.86423000000002</c:v>
                </c:pt>
                <c:pt idx="448">
                  <c:v>49.86423000000002</c:v>
                </c:pt>
                <c:pt idx="449">
                  <c:v>49.86423000000002</c:v>
                </c:pt>
                <c:pt idx="450">
                  <c:v>49.86423000000002</c:v>
                </c:pt>
                <c:pt idx="451">
                  <c:v>49.86423000000002</c:v>
                </c:pt>
                <c:pt idx="452">
                  <c:v>49.86423000000002</c:v>
                </c:pt>
                <c:pt idx="453">
                  <c:v>49.86423000000002</c:v>
                </c:pt>
                <c:pt idx="454">
                  <c:v>49.86423000000002</c:v>
                </c:pt>
                <c:pt idx="455">
                  <c:v>49.86423000000002</c:v>
                </c:pt>
                <c:pt idx="456">
                  <c:v>49.86423000000002</c:v>
                </c:pt>
                <c:pt idx="457">
                  <c:v>49.86423000000002</c:v>
                </c:pt>
                <c:pt idx="458">
                  <c:v>49.86423000000002</c:v>
                </c:pt>
                <c:pt idx="459">
                  <c:v>49.86423000000002</c:v>
                </c:pt>
                <c:pt idx="460">
                  <c:v>49.86423000000002</c:v>
                </c:pt>
                <c:pt idx="461">
                  <c:v>49.86423000000002</c:v>
                </c:pt>
                <c:pt idx="462">
                  <c:v>49.86423000000002</c:v>
                </c:pt>
                <c:pt idx="463">
                  <c:v>49.86423000000002</c:v>
                </c:pt>
                <c:pt idx="464">
                  <c:v>49.86423000000002</c:v>
                </c:pt>
                <c:pt idx="465">
                  <c:v>49.86423000000002</c:v>
                </c:pt>
                <c:pt idx="466">
                  <c:v>49.86423000000002</c:v>
                </c:pt>
                <c:pt idx="467">
                  <c:v>49.86423000000002</c:v>
                </c:pt>
                <c:pt idx="468">
                  <c:v>49.86423000000002</c:v>
                </c:pt>
                <c:pt idx="469">
                  <c:v>49.86423000000002</c:v>
                </c:pt>
                <c:pt idx="470">
                  <c:v>49.86423000000002</c:v>
                </c:pt>
                <c:pt idx="471">
                  <c:v>49.86423000000002</c:v>
                </c:pt>
                <c:pt idx="472">
                  <c:v>49.86423000000002</c:v>
                </c:pt>
                <c:pt idx="473">
                  <c:v>49.86423000000002</c:v>
                </c:pt>
                <c:pt idx="474">
                  <c:v>49.86423000000002</c:v>
                </c:pt>
                <c:pt idx="475">
                  <c:v>49.86423000000002</c:v>
                </c:pt>
                <c:pt idx="476">
                  <c:v>49.86423000000002</c:v>
                </c:pt>
                <c:pt idx="477">
                  <c:v>49.86423000000002</c:v>
                </c:pt>
                <c:pt idx="478">
                  <c:v>49.86423000000002</c:v>
                </c:pt>
                <c:pt idx="479">
                  <c:v>49.86423000000002</c:v>
                </c:pt>
                <c:pt idx="480">
                  <c:v>49.86423000000002</c:v>
                </c:pt>
                <c:pt idx="481">
                  <c:v>49.86423000000002</c:v>
                </c:pt>
                <c:pt idx="482">
                  <c:v>49.86423000000002</c:v>
                </c:pt>
                <c:pt idx="483">
                  <c:v>49.86423000000002</c:v>
                </c:pt>
                <c:pt idx="484">
                  <c:v>49.86423000000002</c:v>
                </c:pt>
                <c:pt idx="485">
                  <c:v>49.86423000000002</c:v>
                </c:pt>
                <c:pt idx="486">
                  <c:v>49.86423000000002</c:v>
                </c:pt>
                <c:pt idx="487">
                  <c:v>49.86423000000002</c:v>
                </c:pt>
                <c:pt idx="488">
                  <c:v>49.86423000000002</c:v>
                </c:pt>
                <c:pt idx="489">
                  <c:v>49.86423000000002</c:v>
                </c:pt>
                <c:pt idx="490">
                  <c:v>49.86423000000002</c:v>
                </c:pt>
                <c:pt idx="491">
                  <c:v>49.86423000000002</c:v>
                </c:pt>
                <c:pt idx="492">
                  <c:v>49.86423000000002</c:v>
                </c:pt>
                <c:pt idx="493">
                  <c:v>49.86423000000002</c:v>
                </c:pt>
                <c:pt idx="494">
                  <c:v>49.86423000000002</c:v>
                </c:pt>
                <c:pt idx="495">
                  <c:v>49.86423000000002</c:v>
                </c:pt>
                <c:pt idx="496">
                  <c:v>49.86423000000002</c:v>
                </c:pt>
                <c:pt idx="497">
                  <c:v>49.86423000000002</c:v>
                </c:pt>
                <c:pt idx="498">
                  <c:v>49.86423000000002</c:v>
                </c:pt>
                <c:pt idx="499">
                  <c:v>49.86423000000002</c:v>
                </c:pt>
                <c:pt idx="500">
                  <c:v>49.86423000000002</c:v>
                </c:pt>
                <c:pt idx="501">
                  <c:v>49.86423000000002</c:v>
                </c:pt>
                <c:pt idx="502">
                  <c:v>49.86423000000002</c:v>
                </c:pt>
                <c:pt idx="503">
                  <c:v>49.86423000000002</c:v>
                </c:pt>
                <c:pt idx="504">
                  <c:v>49.86423000000002</c:v>
                </c:pt>
                <c:pt idx="505">
                  <c:v>49.86423000000002</c:v>
                </c:pt>
                <c:pt idx="506">
                  <c:v>49.86423000000002</c:v>
                </c:pt>
                <c:pt idx="507">
                  <c:v>49.86423000000002</c:v>
                </c:pt>
                <c:pt idx="508">
                  <c:v>49.86423000000002</c:v>
                </c:pt>
                <c:pt idx="509">
                  <c:v>49.86423000000002</c:v>
                </c:pt>
                <c:pt idx="510">
                  <c:v>49.86423000000002</c:v>
                </c:pt>
                <c:pt idx="511">
                  <c:v>49.86423000000002</c:v>
                </c:pt>
                <c:pt idx="512">
                  <c:v>49.86423000000002</c:v>
                </c:pt>
                <c:pt idx="513">
                  <c:v>49.86423000000002</c:v>
                </c:pt>
                <c:pt idx="514">
                  <c:v>49.86423000000002</c:v>
                </c:pt>
                <c:pt idx="515">
                  <c:v>49.86423000000002</c:v>
                </c:pt>
                <c:pt idx="516">
                  <c:v>49.86423000000002</c:v>
                </c:pt>
                <c:pt idx="517">
                  <c:v>49.86423000000002</c:v>
                </c:pt>
                <c:pt idx="518">
                  <c:v>49.86423000000002</c:v>
                </c:pt>
                <c:pt idx="519">
                  <c:v>49.86423000000002</c:v>
                </c:pt>
                <c:pt idx="520">
                  <c:v>49.86423000000002</c:v>
                </c:pt>
                <c:pt idx="521">
                  <c:v>49.86423000000002</c:v>
                </c:pt>
                <c:pt idx="522">
                  <c:v>49.86423000000002</c:v>
                </c:pt>
                <c:pt idx="523">
                  <c:v>49.86423000000002</c:v>
                </c:pt>
                <c:pt idx="524">
                  <c:v>49.86423000000002</c:v>
                </c:pt>
                <c:pt idx="525">
                  <c:v>49.86423000000002</c:v>
                </c:pt>
                <c:pt idx="526">
                  <c:v>49.86423000000002</c:v>
                </c:pt>
                <c:pt idx="527">
                  <c:v>49.86423000000002</c:v>
                </c:pt>
                <c:pt idx="528">
                  <c:v>49.86423000000002</c:v>
                </c:pt>
                <c:pt idx="529">
                  <c:v>49.86423000000002</c:v>
                </c:pt>
                <c:pt idx="530">
                  <c:v>49.86423000000002</c:v>
                </c:pt>
                <c:pt idx="531">
                  <c:v>49.86423000000002</c:v>
                </c:pt>
                <c:pt idx="532">
                  <c:v>49.86423000000002</c:v>
                </c:pt>
                <c:pt idx="533">
                  <c:v>49.86423000000002</c:v>
                </c:pt>
                <c:pt idx="534">
                  <c:v>49.86423000000002</c:v>
                </c:pt>
                <c:pt idx="535">
                  <c:v>49.86423000000002</c:v>
                </c:pt>
                <c:pt idx="536">
                  <c:v>49.86423000000002</c:v>
                </c:pt>
                <c:pt idx="537">
                  <c:v>49.86423000000002</c:v>
                </c:pt>
                <c:pt idx="538">
                  <c:v>49.86423000000002</c:v>
                </c:pt>
                <c:pt idx="539">
                  <c:v>49.86423000000002</c:v>
                </c:pt>
                <c:pt idx="540">
                  <c:v>49.86423000000002</c:v>
                </c:pt>
                <c:pt idx="541">
                  <c:v>49.86423000000002</c:v>
                </c:pt>
                <c:pt idx="542">
                  <c:v>49.86423000000002</c:v>
                </c:pt>
                <c:pt idx="543">
                  <c:v>49.86423000000002</c:v>
                </c:pt>
                <c:pt idx="544">
                  <c:v>49.86423000000002</c:v>
                </c:pt>
                <c:pt idx="545">
                  <c:v>49.86423000000002</c:v>
                </c:pt>
                <c:pt idx="546">
                  <c:v>49.86423000000002</c:v>
                </c:pt>
                <c:pt idx="547">
                  <c:v>49.86423000000002</c:v>
                </c:pt>
                <c:pt idx="548">
                  <c:v>49.86423000000002</c:v>
                </c:pt>
                <c:pt idx="549">
                  <c:v>49.86423000000002</c:v>
                </c:pt>
                <c:pt idx="550">
                  <c:v>49.86423000000002</c:v>
                </c:pt>
                <c:pt idx="551">
                  <c:v>49.86423000000002</c:v>
                </c:pt>
                <c:pt idx="552">
                  <c:v>49.86423000000002</c:v>
                </c:pt>
                <c:pt idx="553">
                  <c:v>49.86423000000002</c:v>
                </c:pt>
                <c:pt idx="554">
                  <c:v>49.86423000000002</c:v>
                </c:pt>
                <c:pt idx="555">
                  <c:v>49.86423000000002</c:v>
                </c:pt>
                <c:pt idx="556">
                  <c:v>49.86423000000002</c:v>
                </c:pt>
                <c:pt idx="557">
                  <c:v>49.86423000000002</c:v>
                </c:pt>
                <c:pt idx="558">
                  <c:v>49.86423000000002</c:v>
                </c:pt>
                <c:pt idx="559">
                  <c:v>49.86423000000002</c:v>
                </c:pt>
                <c:pt idx="560">
                  <c:v>49.86423000000002</c:v>
                </c:pt>
                <c:pt idx="561">
                  <c:v>49.86423000000002</c:v>
                </c:pt>
                <c:pt idx="562">
                  <c:v>49.86423000000002</c:v>
                </c:pt>
                <c:pt idx="563">
                  <c:v>49.86423000000002</c:v>
                </c:pt>
                <c:pt idx="564">
                  <c:v>49.86423000000002</c:v>
                </c:pt>
                <c:pt idx="565">
                  <c:v>49.86423000000002</c:v>
                </c:pt>
                <c:pt idx="566">
                  <c:v>49.86423000000002</c:v>
                </c:pt>
                <c:pt idx="567">
                  <c:v>49.86423000000002</c:v>
                </c:pt>
                <c:pt idx="568">
                  <c:v>49.86423000000002</c:v>
                </c:pt>
                <c:pt idx="569">
                  <c:v>49.86423000000002</c:v>
                </c:pt>
                <c:pt idx="570">
                  <c:v>49.86423000000002</c:v>
                </c:pt>
                <c:pt idx="571">
                  <c:v>49.86423000000002</c:v>
                </c:pt>
                <c:pt idx="572">
                  <c:v>49.86423000000002</c:v>
                </c:pt>
                <c:pt idx="573">
                  <c:v>49.86423000000002</c:v>
                </c:pt>
                <c:pt idx="574">
                  <c:v>49.86423000000002</c:v>
                </c:pt>
                <c:pt idx="575">
                  <c:v>49.86423000000002</c:v>
                </c:pt>
                <c:pt idx="576">
                  <c:v>49.86423000000002</c:v>
                </c:pt>
                <c:pt idx="577">
                  <c:v>49.86423000000002</c:v>
                </c:pt>
                <c:pt idx="578">
                  <c:v>49.86423000000002</c:v>
                </c:pt>
                <c:pt idx="579">
                  <c:v>49.86423000000002</c:v>
                </c:pt>
                <c:pt idx="580">
                  <c:v>49.86423000000002</c:v>
                </c:pt>
                <c:pt idx="581">
                  <c:v>49.86423000000002</c:v>
                </c:pt>
                <c:pt idx="582">
                  <c:v>49.86423000000002</c:v>
                </c:pt>
                <c:pt idx="583">
                  <c:v>49.86423000000002</c:v>
                </c:pt>
                <c:pt idx="584">
                  <c:v>49.86423000000002</c:v>
                </c:pt>
                <c:pt idx="585">
                  <c:v>49.86423000000002</c:v>
                </c:pt>
                <c:pt idx="586">
                  <c:v>49.86423000000002</c:v>
                </c:pt>
                <c:pt idx="587">
                  <c:v>49.86423000000002</c:v>
                </c:pt>
                <c:pt idx="588">
                  <c:v>49.86423000000002</c:v>
                </c:pt>
                <c:pt idx="589">
                  <c:v>49.86423000000002</c:v>
                </c:pt>
                <c:pt idx="590">
                  <c:v>49.86423000000002</c:v>
                </c:pt>
                <c:pt idx="591">
                  <c:v>49.86423000000002</c:v>
                </c:pt>
                <c:pt idx="592">
                  <c:v>49.86423000000002</c:v>
                </c:pt>
                <c:pt idx="593">
                  <c:v>49.86423000000002</c:v>
                </c:pt>
                <c:pt idx="594">
                  <c:v>49.86423000000002</c:v>
                </c:pt>
                <c:pt idx="595">
                  <c:v>49.86423000000002</c:v>
                </c:pt>
                <c:pt idx="596">
                  <c:v>49.86423000000002</c:v>
                </c:pt>
                <c:pt idx="597">
                  <c:v>49.86423000000002</c:v>
                </c:pt>
                <c:pt idx="598">
                  <c:v>49.86423000000002</c:v>
                </c:pt>
                <c:pt idx="599">
                  <c:v>49.86423000000002</c:v>
                </c:pt>
                <c:pt idx="600">
                  <c:v>49.86423000000002</c:v>
                </c:pt>
                <c:pt idx="601">
                  <c:v>49.86423000000002</c:v>
                </c:pt>
                <c:pt idx="602">
                  <c:v>49.86423000000002</c:v>
                </c:pt>
                <c:pt idx="603">
                  <c:v>49.86423000000002</c:v>
                </c:pt>
                <c:pt idx="604">
                  <c:v>49.86423000000002</c:v>
                </c:pt>
                <c:pt idx="605">
                  <c:v>49.86423000000002</c:v>
                </c:pt>
                <c:pt idx="606">
                  <c:v>49.86423000000002</c:v>
                </c:pt>
                <c:pt idx="607">
                  <c:v>49.86423000000002</c:v>
                </c:pt>
                <c:pt idx="608">
                  <c:v>49.86423000000002</c:v>
                </c:pt>
                <c:pt idx="609">
                  <c:v>49.86423000000002</c:v>
                </c:pt>
                <c:pt idx="610">
                  <c:v>49.86423000000002</c:v>
                </c:pt>
                <c:pt idx="611">
                  <c:v>49.86423000000002</c:v>
                </c:pt>
                <c:pt idx="612">
                  <c:v>49.86423000000002</c:v>
                </c:pt>
                <c:pt idx="613">
                  <c:v>49.86423000000002</c:v>
                </c:pt>
                <c:pt idx="614">
                  <c:v>49.86423000000002</c:v>
                </c:pt>
                <c:pt idx="615">
                  <c:v>49.86423000000002</c:v>
                </c:pt>
                <c:pt idx="616">
                  <c:v>49.86423000000002</c:v>
                </c:pt>
                <c:pt idx="617">
                  <c:v>49.86423000000002</c:v>
                </c:pt>
                <c:pt idx="618">
                  <c:v>49.86423000000002</c:v>
                </c:pt>
                <c:pt idx="619">
                  <c:v>49.86423000000002</c:v>
                </c:pt>
                <c:pt idx="620">
                  <c:v>49.86423000000002</c:v>
                </c:pt>
                <c:pt idx="621">
                  <c:v>49.86423000000002</c:v>
                </c:pt>
                <c:pt idx="622">
                  <c:v>49.86423000000002</c:v>
                </c:pt>
                <c:pt idx="623">
                  <c:v>49.86423000000002</c:v>
                </c:pt>
                <c:pt idx="624">
                  <c:v>49.86423000000002</c:v>
                </c:pt>
                <c:pt idx="625">
                  <c:v>49.86423000000002</c:v>
                </c:pt>
                <c:pt idx="626">
                  <c:v>49.86423000000002</c:v>
                </c:pt>
                <c:pt idx="627">
                  <c:v>49.86423000000002</c:v>
                </c:pt>
                <c:pt idx="628">
                  <c:v>49.86423000000002</c:v>
                </c:pt>
                <c:pt idx="629">
                  <c:v>49.86423000000002</c:v>
                </c:pt>
                <c:pt idx="630">
                  <c:v>49.86423000000002</c:v>
                </c:pt>
                <c:pt idx="631">
                  <c:v>49.86423000000002</c:v>
                </c:pt>
                <c:pt idx="632">
                  <c:v>49.86423000000002</c:v>
                </c:pt>
                <c:pt idx="633">
                  <c:v>49.86423000000002</c:v>
                </c:pt>
                <c:pt idx="634">
                  <c:v>49.86423000000002</c:v>
                </c:pt>
                <c:pt idx="635">
                  <c:v>49.86423000000002</c:v>
                </c:pt>
                <c:pt idx="636">
                  <c:v>49.86423000000002</c:v>
                </c:pt>
                <c:pt idx="637">
                  <c:v>49.86423000000002</c:v>
                </c:pt>
                <c:pt idx="638">
                  <c:v>49.86423000000002</c:v>
                </c:pt>
                <c:pt idx="639">
                  <c:v>49.86423000000002</c:v>
                </c:pt>
                <c:pt idx="640">
                  <c:v>49.86423000000002</c:v>
                </c:pt>
                <c:pt idx="641">
                  <c:v>49.86423000000002</c:v>
                </c:pt>
                <c:pt idx="642">
                  <c:v>49.86423000000002</c:v>
                </c:pt>
                <c:pt idx="643">
                  <c:v>49.86423000000002</c:v>
                </c:pt>
                <c:pt idx="644">
                  <c:v>49.86423000000002</c:v>
                </c:pt>
                <c:pt idx="645">
                  <c:v>49.86423000000002</c:v>
                </c:pt>
                <c:pt idx="646">
                  <c:v>49.86423000000002</c:v>
                </c:pt>
                <c:pt idx="647">
                  <c:v>49.86423000000002</c:v>
                </c:pt>
                <c:pt idx="648">
                  <c:v>49.86423000000002</c:v>
                </c:pt>
                <c:pt idx="649">
                  <c:v>49.86423000000002</c:v>
                </c:pt>
                <c:pt idx="650">
                  <c:v>49.86423000000002</c:v>
                </c:pt>
                <c:pt idx="651">
                  <c:v>49.86423000000002</c:v>
                </c:pt>
                <c:pt idx="652">
                  <c:v>49.86423000000002</c:v>
                </c:pt>
                <c:pt idx="653">
                  <c:v>49.86423000000002</c:v>
                </c:pt>
                <c:pt idx="654">
                  <c:v>49.86423000000002</c:v>
                </c:pt>
                <c:pt idx="655">
                  <c:v>49.86423000000002</c:v>
                </c:pt>
                <c:pt idx="656">
                  <c:v>49.86423000000002</c:v>
                </c:pt>
                <c:pt idx="657">
                  <c:v>49.86423000000002</c:v>
                </c:pt>
                <c:pt idx="658">
                  <c:v>49.86423000000002</c:v>
                </c:pt>
                <c:pt idx="659">
                  <c:v>49.86423000000002</c:v>
                </c:pt>
                <c:pt idx="660">
                  <c:v>49.86423000000002</c:v>
                </c:pt>
                <c:pt idx="661">
                  <c:v>49.86423000000002</c:v>
                </c:pt>
                <c:pt idx="662">
                  <c:v>49.86423000000002</c:v>
                </c:pt>
                <c:pt idx="663">
                  <c:v>49.86423000000002</c:v>
                </c:pt>
                <c:pt idx="664">
                  <c:v>49.86423000000002</c:v>
                </c:pt>
                <c:pt idx="665">
                  <c:v>49.86423000000002</c:v>
                </c:pt>
                <c:pt idx="666">
                  <c:v>49.86423000000002</c:v>
                </c:pt>
                <c:pt idx="667">
                  <c:v>49.86423000000002</c:v>
                </c:pt>
                <c:pt idx="668">
                  <c:v>49.86423000000002</c:v>
                </c:pt>
                <c:pt idx="669">
                  <c:v>49.86423000000002</c:v>
                </c:pt>
                <c:pt idx="670">
                  <c:v>49.86423000000002</c:v>
                </c:pt>
                <c:pt idx="671">
                  <c:v>49.86423000000002</c:v>
                </c:pt>
                <c:pt idx="672">
                  <c:v>49.86423000000002</c:v>
                </c:pt>
                <c:pt idx="673">
                  <c:v>49.86423000000002</c:v>
                </c:pt>
                <c:pt idx="674">
                  <c:v>49.86423000000002</c:v>
                </c:pt>
                <c:pt idx="675">
                  <c:v>49.86423000000002</c:v>
                </c:pt>
                <c:pt idx="676">
                  <c:v>49.86423000000002</c:v>
                </c:pt>
                <c:pt idx="677">
                  <c:v>49.86423000000002</c:v>
                </c:pt>
                <c:pt idx="678">
                  <c:v>49.86423000000002</c:v>
                </c:pt>
                <c:pt idx="679">
                  <c:v>49.86423000000002</c:v>
                </c:pt>
                <c:pt idx="680">
                  <c:v>49.86423000000002</c:v>
                </c:pt>
                <c:pt idx="681">
                  <c:v>49.86423000000002</c:v>
                </c:pt>
                <c:pt idx="682">
                  <c:v>49.86423000000002</c:v>
                </c:pt>
                <c:pt idx="683">
                  <c:v>49.86423000000002</c:v>
                </c:pt>
                <c:pt idx="684">
                  <c:v>49.86423000000002</c:v>
                </c:pt>
                <c:pt idx="685">
                  <c:v>49.86423000000002</c:v>
                </c:pt>
                <c:pt idx="686">
                  <c:v>49.86423000000002</c:v>
                </c:pt>
                <c:pt idx="687">
                  <c:v>49.86423000000002</c:v>
                </c:pt>
                <c:pt idx="688">
                  <c:v>49.86423000000002</c:v>
                </c:pt>
                <c:pt idx="689">
                  <c:v>49.86423000000002</c:v>
                </c:pt>
                <c:pt idx="690">
                  <c:v>49.86423000000002</c:v>
                </c:pt>
                <c:pt idx="691">
                  <c:v>49.86423000000002</c:v>
                </c:pt>
                <c:pt idx="692">
                  <c:v>49.86423000000002</c:v>
                </c:pt>
                <c:pt idx="693">
                  <c:v>49.86423000000002</c:v>
                </c:pt>
                <c:pt idx="694">
                  <c:v>49.86423000000002</c:v>
                </c:pt>
                <c:pt idx="695">
                  <c:v>49.86423000000002</c:v>
                </c:pt>
                <c:pt idx="696">
                  <c:v>49.86423000000002</c:v>
                </c:pt>
                <c:pt idx="697">
                  <c:v>49.86423000000002</c:v>
                </c:pt>
                <c:pt idx="698">
                  <c:v>49.86423000000002</c:v>
                </c:pt>
                <c:pt idx="699">
                  <c:v>49.86423000000002</c:v>
                </c:pt>
                <c:pt idx="700">
                  <c:v>49.86423000000002</c:v>
                </c:pt>
                <c:pt idx="701">
                  <c:v>49.86423000000002</c:v>
                </c:pt>
                <c:pt idx="702">
                  <c:v>49.86423000000002</c:v>
                </c:pt>
                <c:pt idx="703">
                  <c:v>49.86423000000002</c:v>
                </c:pt>
                <c:pt idx="704">
                  <c:v>49.86423000000002</c:v>
                </c:pt>
                <c:pt idx="705">
                  <c:v>49.86423000000002</c:v>
                </c:pt>
                <c:pt idx="706">
                  <c:v>49.86423000000002</c:v>
                </c:pt>
                <c:pt idx="707">
                  <c:v>49.86423000000002</c:v>
                </c:pt>
                <c:pt idx="708">
                  <c:v>49.86423000000002</c:v>
                </c:pt>
                <c:pt idx="709">
                  <c:v>49.86423000000002</c:v>
                </c:pt>
                <c:pt idx="710">
                  <c:v>49.86423000000002</c:v>
                </c:pt>
                <c:pt idx="711">
                  <c:v>49.86423000000002</c:v>
                </c:pt>
                <c:pt idx="712">
                  <c:v>49.86423000000002</c:v>
                </c:pt>
                <c:pt idx="713">
                  <c:v>49.86423000000002</c:v>
                </c:pt>
                <c:pt idx="714">
                  <c:v>49.86423000000002</c:v>
                </c:pt>
                <c:pt idx="715">
                  <c:v>49.86423000000002</c:v>
                </c:pt>
                <c:pt idx="716">
                  <c:v>49.86423000000002</c:v>
                </c:pt>
                <c:pt idx="717">
                  <c:v>49.86423000000002</c:v>
                </c:pt>
                <c:pt idx="718">
                  <c:v>49.86423000000002</c:v>
                </c:pt>
                <c:pt idx="719">
                  <c:v>49.86423000000002</c:v>
                </c:pt>
                <c:pt idx="720">
                  <c:v>49.86423000000002</c:v>
                </c:pt>
                <c:pt idx="721">
                  <c:v>49.86423000000002</c:v>
                </c:pt>
                <c:pt idx="722">
                  <c:v>49.86423000000002</c:v>
                </c:pt>
                <c:pt idx="723">
                  <c:v>49.86423000000002</c:v>
                </c:pt>
                <c:pt idx="724">
                  <c:v>49.86423000000002</c:v>
                </c:pt>
                <c:pt idx="725">
                  <c:v>49.86423000000002</c:v>
                </c:pt>
                <c:pt idx="726">
                  <c:v>49.86423000000002</c:v>
                </c:pt>
                <c:pt idx="727">
                  <c:v>49.86423000000002</c:v>
                </c:pt>
                <c:pt idx="728">
                  <c:v>49.86423000000002</c:v>
                </c:pt>
                <c:pt idx="729">
                  <c:v>49.86423000000002</c:v>
                </c:pt>
                <c:pt idx="730">
                  <c:v>49.86423000000002</c:v>
                </c:pt>
                <c:pt idx="731">
                  <c:v>49.86423000000002</c:v>
                </c:pt>
                <c:pt idx="732">
                  <c:v>49.86423000000002</c:v>
                </c:pt>
                <c:pt idx="733">
                  <c:v>49.86423000000002</c:v>
                </c:pt>
                <c:pt idx="734">
                  <c:v>49.86423000000002</c:v>
                </c:pt>
                <c:pt idx="735">
                  <c:v>49.86423000000002</c:v>
                </c:pt>
                <c:pt idx="736">
                  <c:v>49.86423000000002</c:v>
                </c:pt>
                <c:pt idx="737">
                  <c:v>49.86423000000002</c:v>
                </c:pt>
                <c:pt idx="738">
                  <c:v>49.86423000000002</c:v>
                </c:pt>
                <c:pt idx="739">
                  <c:v>49.86423000000002</c:v>
                </c:pt>
                <c:pt idx="740">
                  <c:v>49.86423000000002</c:v>
                </c:pt>
                <c:pt idx="741">
                  <c:v>49.86423000000002</c:v>
                </c:pt>
                <c:pt idx="742">
                  <c:v>49.86423000000002</c:v>
                </c:pt>
                <c:pt idx="743">
                  <c:v>49.86423000000002</c:v>
                </c:pt>
                <c:pt idx="744">
                  <c:v>49.86423000000002</c:v>
                </c:pt>
                <c:pt idx="745">
                  <c:v>49.86423000000002</c:v>
                </c:pt>
                <c:pt idx="746">
                  <c:v>49.86423000000002</c:v>
                </c:pt>
                <c:pt idx="747">
                  <c:v>49.86423000000002</c:v>
                </c:pt>
                <c:pt idx="748">
                  <c:v>49.86423000000002</c:v>
                </c:pt>
                <c:pt idx="749">
                  <c:v>49.86423000000002</c:v>
                </c:pt>
                <c:pt idx="750">
                  <c:v>49.86423000000002</c:v>
                </c:pt>
                <c:pt idx="751">
                  <c:v>49.86423000000002</c:v>
                </c:pt>
                <c:pt idx="752">
                  <c:v>49.86423000000002</c:v>
                </c:pt>
                <c:pt idx="753">
                  <c:v>49.86423000000002</c:v>
                </c:pt>
                <c:pt idx="754">
                  <c:v>49.86423000000002</c:v>
                </c:pt>
                <c:pt idx="755">
                  <c:v>49.86423000000002</c:v>
                </c:pt>
                <c:pt idx="756">
                  <c:v>49.86423000000002</c:v>
                </c:pt>
                <c:pt idx="757">
                  <c:v>49.86423000000002</c:v>
                </c:pt>
                <c:pt idx="758">
                  <c:v>49.86423000000002</c:v>
                </c:pt>
                <c:pt idx="759">
                  <c:v>49.86423000000002</c:v>
                </c:pt>
                <c:pt idx="760">
                  <c:v>49.86423000000002</c:v>
                </c:pt>
                <c:pt idx="761">
                  <c:v>49.86423000000002</c:v>
                </c:pt>
                <c:pt idx="762">
                  <c:v>49.86423000000002</c:v>
                </c:pt>
                <c:pt idx="763">
                  <c:v>49.86423000000002</c:v>
                </c:pt>
                <c:pt idx="764">
                  <c:v>49.86423000000002</c:v>
                </c:pt>
                <c:pt idx="765">
                  <c:v>49.86423000000002</c:v>
                </c:pt>
                <c:pt idx="766">
                  <c:v>49.86423000000002</c:v>
                </c:pt>
                <c:pt idx="767">
                  <c:v>49.86423000000002</c:v>
                </c:pt>
                <c:pt idx="768">
                  <c:v>49.86423000000002</c:v>
                </c:pt>
                <c:pt idx="769">
                  <c:v>49.86423000000002</c:v>
                </c:pt>
                <c:pt idx="770">
                  <c:v>49.86423000000002</c:v>
                </c:pt>
                <c:pt idx="771">
                  <c:v>49.86423000000002</c:v>
                </c:pt>
                <c:pt idx="772">
                  <c:v>49.86423000000002</c:v>
                </c:pt>
                <c:pt idx="773">
                  <c:v>49.86423000000002</c:v>
                </c:pt>
                <c:pt idx="774">
                  <c:v>49.86423000000002</c:v>
                </c:pt>
                <c:pt idx="775">
                  <c:v>49.86423000000002</c:v>
                </c:pt>
                <c:pt idx="776">
                  <c:v>49.86423000000002</c:v>
                </c:pt>
                <c:pt idx="777">
                  <c:v>49.86423000000002</c:v>
                </c:pt>
                <c:pt idx="778">
                  <c:v>49.86423000000002</c:v>
                </c:pt>
                <c:pt idx="779">
                  <c:v>49.86423000000002</c:v>
                </c:pt>
                <c:pt idx="780">
                  <c:v>49.86423000000002</c:v>
                </c:pt>
                <c:pt idx="781">
                  <c:v>49.86423000000002</c:v>
                </c:pt>
                <c:pt idx="782">
                  <c:v>49.86423000000002</c:v>
                </c:pt>
                <c:pt idx="783">
                  <c:v>49.86423000000002</c:v>
                </c:pt>
                <c:pt idx="784">
                  <c:v>49.86423000000002</c:v>
                </c:pt>
                <c:pt idx="785">
                  <c:v>49.86423000000002</c:v>
                </c:pt>
                <c:pt idx="786">
                  <c:v>49.86423000000002</c:v>
                </c:pt>
                <c:pt idx="787">
                  <c:v>49.86423000000002</c:v>
                </c:pt>
                <c:pt idx="788">
                  <c:v>49.86423000000002</c:v>
                </c:pt>
                <c:pt idx="789">
                  <c:v>49.86423000000002</c:v>
                </c:pt>
                <c:pt idx="790">
                  <c:v>49.86423000000002</c:v>
                </c:pt>
                <c:pt idx="791">
                  <c:v>49.86423000000002</c:v>
                </c:pt>
                <c:pt idx="792">
                  <c:v>49.86423000000002</c:v>
                </c:pt>
                <c:pt idx="793">
                  <c:v>49.86423000000002</c:v>
                </c:pt>
                <c:pt idx="794">
                  <c:v>49.86423000000002</c:v>
                </c:pt>
                <c:pt idx="795">
                  <c:v>49.86423000000002</c:v>
                </c:pt>
                <c:pt idx="796">
                  <c:v>49.86423000000002</c:v>
                </c:pt>
                <c:pt idx="797">
                  <c:v>49.86423000000002</c:v>
                </c:pt>
                <c:pt idx="798">
                  <c:v>49.86423000000002</c:v>
                </c:pt>
                <c:pt idx="799">
                  <c:v>49.86423000000002</c:v>
                </c:pt>
                <c:pt idx="800">
                  <c:v>49.86423000000002</c:v>
                </c:pt>
                <c:pt idx="801">
                  <c:v>49.86423000000002</c:v>
                </c:pt>
                <c:pt idx="802">
                  <c:v>49.86423000000002</c:v>
                </c:pt>
                <c:pt idx="803">
                  <c:v>49.86423000000002</c:v>
                </c:pt>
                <c:pt idx="804">
                  <c:v>49.86423000000002</c:v>
                </c:pt>
                <c:pt idx="805">
                  <c:v>49.86423000000002</c:v>
                </c:pt>
                <c:pt idx="806">
                  <c:v>49.86423000000002</c:v>
                </c:pt>
                <c:pt idx="807">
                  <c:v>49.86423000000002</c:v>
                </c:pt>
                <c:pt idx="808">
                  <c:v>49.86423000000002</c:v>
                </c:pt>
                <c:pt idx="809">
                  <c:v>49.86423000000002</c:v>
                </c:pt>
                <c:pt idx="810">
                  <c:v>49.86423000000002</c:v>
                </c:pt>
                <c:pt idx="811">
                  <c:v>49.86423000000002</c:v>
                </c:pt>
                <c:pt idx="812">
                  <c:v>49.86423000000002</c:v>
                </c:pt>
                <c:pt idx="813">
                  <c:v>49.86423000000002</c:v>
                </c:pt>
                <c:pt idx="814">
                  <c:v>49.86423000000002</c:v>
                </c:pt>
                <c:pt idx="815">
                  <c:v>49.86423000000002</c:v>
                </c:pt>
                <c:pt idx="816">
                  <c:v>49.86423000000002</c:v>
                </c:pt>
                <c:pt idx="817">
                  <c:v>49.86423000000002</c:v>
                </c:pt>
                <c:pt idx="818">
                  <c:v>49.86423000000002</c:v>
                </c:pt>
                <c:pt idx="819">
                  <c:v>49.86423000000002</c:v>
                </c:pt>
                <c:pt idx="820">
                  <c:v>49.86423000000002</c:v>
                </c:pt>
                <c:pt idx="821">
                  <c:v>49.86423000000002</c:v>
                </c:pt>
                <c:pt idx="822">
                  <c:v>49.86423000000002</c:v>
                </c:pt>
                <c:pt idx="823">
                  <c:v>49.86423000000002</c:v>
                </c:pt>
                <c:pt idx="824">
                  <c:v>49.86423000000002</c:v>
                </c:pt>
                <c:pt idx="825">
                  <c:v>49.86423000000002</c:v>
                </c:pt>
                <c:pt idx="826">
                  <c:v>49.86423000000002</c:v>
                </c:pt>
                <c:pt idx="827">
                  <c:v>49.86423000000002</c:v>
                </c:pt>
                <c:pt idx="828">
                  <c:v>49.86423000000002</c:v>
                </c:pt>
                <c:pt idx="829">
                  <c:v>49.86423000000002</c:v>
                </c:pt>
                <c:pt idx="830">
                  <c:v>49.86423000000002</c:v>
                </c:pt>
                <c:pt idx="831">
                  <c:v>49.86423000000002</c:v>
                </c:pt>
                <c:pt idx="832">
                  <c:v>49.86423000000002</c:v>
                </c:pt>
                <c:pt idx="833">
                  <c:v>49.86423000000002</c:v>
                </c:pt>
                <c:pt idx="834">
                  <c:v>49.86423000000002</c:v>
                </c:pt>
                <c:pt idx="835">
                  <c:v>49.86423000000002</c:v>
                </c:pt>
                <c:pt idx="836">
                  <c:v>49.86423000000002</c:v>
                </c:pt>
                <c:pt idx="837">
                  <c:v>49.86423000000002</c:v>
                </c:pt>
                <c:pt idx="838">
                  <c:v>49.86423000000002</c:v>
                </c:pt>
                <c:pt idx="839">
                  <c:v>49.86423000000002</c:v>
                </c:pt>
                <c:pt idx="840">
                  <c:v>49.86423000000002</c:v>
                </c:pt>
                <c:pt idx="841">
                  <c:v>49.86423000000002</c:v>
                </c:pt>
                <c:pt idx="842">
                  <c:v>49.86423000000002</c:v>
                </c:pt>
                <c:pt idx="843">
                  <c:v>49.86423000000002</c:v>
                </c:pt>
                <c:pt idx="844">
                  <c:v>49.86423000000002</c:v>
                </c:pt>
                <c:pt idx="845">
                  <c:v>49.86423000000002</c:v>
                </c:pt>
                <c:pt idx="846">
                  <c:v>49.86423000000002</c:v>
                </c:pt>
                <c:pt idx="847">
                  <c:v>49.86423000000002</c:v>
                </c:pt>
                <c:pt idx="848">
                  <c:v>49.86423000000002</c:v>
                </c:pt>
                <c:pt idx="849">
                  <c:v>49.86423000000002</c:v>
                </c:pt>
                <c:pt idx="850">
                  <c:v>49.86423000000002</c:v>
                </c:pt>
                <c:pt idx="851">
                  <c:v>49.86423000000002</c:v>
                </c:pt>
                <c:pt idx="852">
                  <c:v>49.86423000000002</c:v>
                </c:pt>
                <c:pt idx="853">
                  <c:v>49.86423000000002</c:v>
                </c:pt>
                <c:pt idx="854">
                  <c:v>49.86423000000002</c:v>
                </c:pt>
                <c:pt idx="855">
                  <c:v>49.86423000000002</c:v>
                </c:pt>
                <c:pt idx="856">
                  <c:v>49.86423000000002</c:v>
                </c:pt>
                <c:pt idx="857">
                  <c:v>49.86423000000002</c:v>
                </c:pt>
                <c:pt idx="858">
                  <c:v>49.86423000000002</c:v>
                </c:pt>
                <c:pt idx="859">
                  <c:v>49.86423000000002</c:v>
                </c:pt>
                <c:pt idx="860">
                  <c:v>49.86423000000002</c:v>
                </c:pt>
                <c:pt idx="861">
                  <c:v>49.86423000000002</c:v>
                </c:pt>
                <c:pt idx="862">
                  <c:v>49.86423000000002</c:v>
                </c:pt>
                <c:pt idx="863">
                  <c:v>49.86423000000002</c:v>
                </c:pt>
                <c:pt idx="864">
                  <c:v>49.86423000000002</c:v>
                </c:pt>
                <c:pt idx="865">
                  <c:v>49.86423000000002</c:v>
                </c:pt>
                <c:pt idx="866">
                  <c:v>49.86423000000002</c:v>
                </c:pt>
                <c:pt idx="867">
                  <c:v>49.86423000000002</c:v>
                </c:pt>
                <c:pt idx="868">
                  <c:v>49.86423000000002</c:v>
                </c:pt>
                <c:pt idx="869">
                  <c:v>49.86423000000002</c:v>
                </c:pt>
                <c:pt idx="870">
                  <c:v>49.86423000000002</c:v>
                </c:pt>
                <c:pt idx="871">
                  <c:v>49.86423000000002</c:v>
                </c:pt>
                <c:pt idx="872">
                  <c:v>49.86423000000002</c:v>
                </c:pt>
                <c:pt idx="873">
                  <c:v>49.86423000000002</c:v>
                </c:pt>
                <c:pt idx="874">
                  <c:v>49.86423000000002</c:v>
                </c:pt>
                <c:pt idx="875">
                  <c:v>49.86423000000002</c:v>
                </c:pt>
                <c:pt idx="876">
                  <c:v>49.86423000000002</c:v>
                </c:pt>
                <c:pt idx="877">
                  <c:v>49.86423000000002</c:v>
                </c:pt>
                <c:pt idx="878">
                  <c:v>49.86423000000002</c:v>
                </c:pt>
                <c:pt idx="879">
                  <c:v>49.86423000000002</c:v>
                </c:pt>
                <c:pt idx="880">
                  <c:v>49.86423000000002</c:v>
                </c:pt>
                <c:pt idx="881">
                  <c:v>49.86423000000002</c:v>
                </c:pt>
                <c:pt idx="882">
                  <c:v>49.86423000000002</c:v>
                </c:pt>
                <c:pt idx="883">
                  <c:v>49.86423000000002</c:v>
                </c:pt>
                <c:pt idx="884">
                  <c:v>49.86423000000002</c:v>
                </c:pt>
                <c:pt idx="885">
                  <c:v>49.86423000000002</c:v>
                </c:pt>
                <c:pt idx="886">
                  <c:v>49.86423000000002</c:v>
                </c:pt>
                <c:pt idx="887">
                  <c:v>49.86423000000002</c:v>
                </c:pt>
                <c:pt idx="888">
                  <c:v>49.86423000000002</c:v>
                </c:pt>
                <c:pt idx="889">
                  <c:v>49.86423000000002</c:v>
                </c:pt>
                <c:pt idx="890">
                  <c:v>49.86423000000002</c:v>
                </c:pt>
                <c:pt idx="891">
                  <c:v>49.86423000000002</c:v>
                </c:pt>
                <c:pt idx="892">
                  <c:v>49.86423000000002</c:v>
                </c:pt>
                <c:pt idx="893">
                  <c:v>49.86423000000002</c:v>
                </c:pt>
                <c:pt idx="894">
                  <c:v>49.86423000000002</c:v>
                </c:pt>
                <c:pt idx="895">
                  <c:v>49.86423000000002</c:v>
                </c:pt>
                <c:pt idx="896">
                  <c:v>49.86423000000002</c:v>
                </c:pt>
                <c:pt idx="897">
                  <c:v>49.86423000000002</c:v>
                </c:pt>
                <c:pt idx="898">
                  <c:v>49.86423000000002</c:v>
                </c:pt>
                <c:pt idx="899">
                  <c:v>49.86423000000002</c:v>
                </c:pt>
                <c:pt idx="900">
                  <c:v>49.86423000000002</c:v>
                </c:pt>
                <c:pt idx="901">
                  <c:v>49.86423000000002</c:v>
                </c:pt>
                <c:pt idx="902">
                  <c:v>49.86423000000002</c:v>
                </c:pt>
                <c:pt idx="903">
                  <c:v>49.86423000000002</c:v>
                </c:pt>
                <c:pt idx="904">
                  <c:v>49.86423000000002</c:v>
                </c:pt>
                <c:pt idx="905">
                  <c:v>49.86423000000002</c:v>
                </c:pt>
                <c:pt idx="906">
                  <c:v>49.86423000000002</c:v>
                </c:pt>
                <c:pt idx="907">
                  <c:v>49.86423000000002</c:v>
                </c:pt>
                <c:pt idx="908">
                  <c:v>49.86423000000002</c:v>
                </c:pt>
                <c:pt idx="909">
                  <c:v>49.86423000000002</c:v>
                </c:pt>
                <c:pt idx="910">
                  <c:v>49.86423000000002</c:v>
                </c:pt>
                <c:pt idx="911">
                  <c:v>49.86423000000002</c:v>
                </c:pt>
                <c:pt idx="912">
                  <c:v>49.86423000000002</c:v>
                </c:pt>
                <c:pt idx="913">
                  <c:v>49.86423000000002</c:v>
                </c:pt>
                <c:pt idx="914">
                  <c:v>49.86423000000002</c:v>
                </c:pt>
                <c:pt idx="915">
                  <c:v>49.86423000000002</c:v>
                </c:pt>
                <c:pt idx="916">
                  <c:v>49.86423000000002</c:v>
                </c:pt>
                <c:pt idx="917">
                  <c:v>49.86423000000002</c:v>
                </c:pt>
                <c:pt idx="918">
                  <c:v>49.86423000000002</c:v>
                </c:pt>
                <c:pt idx="919">
                  <c:v>49.86423000000002</c:v>
                </c:pt>
                <c:pt idx="920">
                  <c:v>49.86423000000002</c:v>
                </c:pt>
                <c:pt idx="921">
                  <c:v>49.86423000000002</c:v>
                </c:pt>
                <c:pt idx="922">
                  <c:v>49.86423000000002</c:v>
                </c:pt>
                <c:pt idx="923">
                  <c:v>49.86423000000002</c:v>
                </c:pt>
                <c:pt idx="924">
                  <c:v>49.86423000000002</c:v>
                </c:pt>
                <c:pt idx="925">
                  <c:v>49.86423000000002</c:v>
                </c:pt>
                <c:pt idx="926">
                  <c:v>49.86423000000002</c:v>
                </c:pt>
                <c:pt idx="927">
                  <c:v>49.86423000000002</c:v>
                </c:pt>
                <c:pt idx="928">
                  <c:v>49.86423000000002</c:v>
                </c:pt>
                <c:pt idx="929">
                  <c:v>49.86423000000002</c:v>
                </c:pt>
                <c:pt idx="930">
                  <c:v>49.86423000000002</c:v>
                </c:pt>
                <c:pt idx="931">
                  <c:v>49.86423000000002</c:v>
                </c:pt>
                <c:pt idx="932">
                  <c:v>49.86423000000002</c:v>
                </c:pt>
                <c:pt idx="933">
                  <c:v>49.86423000000002</c:v>
                </c:pt>
                <c:pt idx="934">
                  <c:v>49.86423000000002</c:v>
                </c:pt>
                <c:pt idx="935">
                  <c:v>49.86423000000002</c:v>
                </c:pt>
                <c:pt idx="936">
                  <c:v>49.86423000000002</c:v>
                </c:pt>
                <c:pt idx="937">
                  <c:v>49.86423000000002</c:v>
                </c:pt>
                <c:pt idx="938">
                  <c:v>49.86423000000002</c:v>
                </c:pt>
                <c:pt idx="939">
                  <c:v>49.86423000000002</c:v>
                </c:pt>
                <c:pt idx="940">
                  <c:v>49.86423000000002</c:v>
                </c:pt>
                <c:pt idx="941">
                  <c:v>49.86423000000002</c:v>
                </c:pt>
                <c:pt idx="942">
                  <c:v>49.86423000000002</c:v>
                </c:pt>
                <c:pt idx="943">
                  <c:v>49.86423000000002</c:v>
                </c:pt>
                <c:pt idx="944">
                  <c:v>49.86423000000002</c:v>
                </c:pt>
                <c:pt idx="945">
                  <c:v>49.86423000000002</c:v>
                </c:pt>
                <c:pt idx="946">
                  <c:v>49.86423000000002</c:v>
                </c:pt>
                <c:pt idx="947">
                  <c:v>49.86423000000002</c:v>
                </c:pt>
                <c:pt idx="948">
                  <c:v>49.86423000000002</c:v>
                </c:pt>
                <c:pt idx="949">
                  <c:v>49.86423000000002</c:v>
                </c:pt>
                <c:pt idx="950">
                  <c:v>49.86423000000002</c:v>
                </c:pt>
                <c:pt idx="951">
                  <c:v>49.86423000000002</c:v>
                </c:pt>
                <c:pt idx="952">
                  <c:v>49.86423000000002</c:v>
                </c:pt>
                <c:pt idx="953">
                  <c:v>49.86423000000002</c:v>
                </c:pt>
                <c:pt idx="954">
                  <c:v>49.86423000000002</c:v>
                </c:pt>
                <c:pt idx="955">
                  <c:v>49.86423000000002</c:v>
                </c:pt>
                <c:pt idx="956">
                  <c:v>49.86423000000002</c:v>
                </c:pt>
                <c:pt idx="957">
                  <c:v>49.86423000000002</c:v>
                </c:pt>
                <c:pt idx="958">
                  <c:v>49.86423000000002</c:v>
                </c:pt>
                <c:pt idx="959">
                  <c:v>49.86423000000002</c:v>
                </c:pt>
                <c:pt idx="960">
                  <c:v>49.86423000000002</c:v>
                </c:pt>
                <c:pt idx="961">
                  <c:v>49.86423000000002</c:v>
                </c:pt>
                <c:pt idx="962">
                  <c:v>49.86423000000002</c:v>
                </c:pt>
                <c:pt idx="963">
                  <c:v>49.86423000000002</c:v>
                </c:pt>
                <c:pt idx="964">
                  <c:v>49.86423000000002</c:v>
                </c:pt>
                <c:pt idx="965">
                  <c:v>49.86423000000002</c:v>
                </c:pt>
                <c:pt idx="966">
                  <c:v>49.86423000000002</c:v>
                </c:pt>
                <c:pt idx="967">
                  <c:v>49.86423000000002</c:v>
                </c:pt>
                <c:pt idx="968">
                  <c:v>49.86423000000002</c:v>
                </c:pt>
                <c:pt idx="969">
                  <c:v>49.86423000000002</c:v>
                </c:pt>
                <c:pt idx="970">
                  <c:v>49.86423000000002</c:v>
                </c:pt>
                <c:pt idx="971">
                  <c:v>49.86423000000002</c:v>
                </c:pt>
                <c:pt idx="972">
                  <c:v>49.86423000000002</c:v>
                </c:pt>
                <c:pt idx="973">
                  <c:v>49.86423000000002</c:v>
                </c:pt>
                <c:pt idx="974">
                  <c:v>49.86423000000002</c:v>
                </c:pt>
                <c:pt idx="975">
                  <c:v>49.86423000000002</c:v>
                </c:pt>
                <c:pt idx="976">
                  <c:v>49.86423000000002</c:v>
                </c:pt>
                <c:pt idx="977">
                  <c:v>49.86423000000002</c:v>
                </c:pt>
                <c:pt idx="978">
                  <c:v>49.86423000000002</c:v>
                </c:pt>
                <c:pt idx="979">
                  <c:v>49.86423000000002</c:v>
                </c:pt>
                <c:pt idx="980">
                  <c:v>49.86423000000002</c:v>
                </c:pt>
                <c:pt idx="981">
                  <c:v>49.86423000000002</c:v>
                </c:pt>
                <c:pt idx="982">
                  <c:v>49.86423000000002</c:v>
                </c:pt>
                <c:pt idx="983">
                  <c:v>49.86423000000002</c:v>
                </c:pt>
                <c:pt idx="984">
                  <c:v>49.86423000000002</c:v>
                </c:pt>
                <c:pt idx="985">
                  <c:v>49.86423000000002</c:v>
                </c:pt>
                <c:pt idx="986">
                  <c:v>49.86423000000002</c:v>
                </c:pt>
                <c:pt idx="987">
                  <c:v>49.86423000000002</c:v>
                </c:pt>
                <c:pt idx="988">
                  <c:v>49.86423000000002</c:v>
                </c:pt>
                <c:pt idx="989">
                  <c:v>49.86423000000002</c:v>
                </c:pt>
                <c:pt idx="990">
                  <c:v>49.86423000000002</c:v>
                </c:pt>
                <c:pt idx="991">
                  <c:v>49.86423000000002</c:v>
                </c:pt>
                <c:pt idx="992">
                  <c:v>49.86423000000002</c:v>
                </c:pt>
                <c:pt idx="993">
                  <c:v>49.86423000000002</c:v>
                </c:pt>
                <c:pt idx="994">
                  <c:v>49.86423000000002</c:v>
                </c:pt>
                <c:pt idx="995">
                  <c:v>49.86423000000002</c:v>
                </c:pt>
                <c:pt idx="996">
                  <c:v>49.86423000000002</c:v>
                </c:pt>
                <c:pt idx="997">
                  <c:v>49.86423000000002</c:v>
                </c:pt>
                <c:pt idx="998">
                  <c:v>49.86423000000002</c:v>
                </c:pt>
                <c:pt idx="999">
                  <c:v>49.86423000000002</c:v>
                </c:pt>
                <c:pt idx="1000">
                  <c:v>49.86423000000002</c:v>
                </c:pt>
              </c:numCache>
            </c:numRef>
          </c:yVal>
          <c:smooth val="0"/>
          <c:extLst>
            <c:ext xmlns:c16="http://schemas.microsoft.com/office/drawing/2014/chart" uri="{C3380CC4-5D6E-409C-BE32-E72D297353CC}">
              <c16:uniqueId val="{00000001-B98B-46BB-BB51-DAAA2071230C}"/>
            </c:ext>
          </c:extLst>
        </c:ser>
        <c:ser>
          <c:idx val="0"/>
          <c:order val="2"/>
          <c:tx>
            <c:strRef>
              <c:f>Courbes!$B$133</c:f>
              <c:strCache>
                <c:ptCount val="1"/>
                <c:pt idx="0">
                  <c:v>Traînée</c:v>
                </c:pt>
              </c:strCache>
            </c:strRef>
          </c:tx>
          <c:spPr>
            <a:ln w="25400">
              <a:solidFill>
                <a:srgbClr val="80000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1.1000000000000008</c:v>
                </c:pt>
                <c:pt idx="102">
                  <c:v>1.2000000000000008</c:v>
                </c:pt>
                <c:pt idx="103">
                  <c:v>1.3000000000000009</c:v>
                </c:pt>
                <c:pt idx="104">
                  <c:v>1.400000000000001</c:v>
                </c:pt>
                <c:pt idx="105">
                  <c:v>1.5000000000000011</c:v>
                </c:pt>
                <c:pt idx="106">
                  <c:v>1.6000000000000012</c:v>
                </c:pt>
                <c:pt idx="107">
                  <c:v>1.7000000000000013</c:v>
                </c:pt>
                <c:pt idx="108">
                  <c:v>1.8000000000000014</c:v>
                </c:pt>
                <c:pt idx="109">
                  <c:v>1.9000000000000015</c:v>
                </c:pt>
                <c:pt idx="110">
                  <c:v>2.0000000000000013</c:v>
                </c:pt>
                <c:pt idx="111">
                  <c:v>2.1000000000000014</c:v>
                </c:pt>
                <c:pt idx="112">
                  <c:v>2.2000000000000015</c:v>
                </c:pt>
                <c:pt idx="113">
                  <c:v>2.3000000000000016</c:v>
                </c:pt>
                <c:pt idx="114">
                  <c:v>2.4000000000000017</c:v>
                </c:pt>
                <c:pt idx="115">
                  <c:v>2.5000000000000018</c:v>
                </c:pt>
                <c:pt idx="116">
                  <c:v>2.6000000000000019</c:v>
                </c:pt>
                <c:pt idx="117">
                  <c:v>2.700000000000002</c:v>
                </c:pt>
                <c:pt idx="118">
                  <c:v>2.800000000000002</c:v>
                </c:pt>
                <c:pt idx="119">
                  <c:v>2.9000000000000021</c:v>
                </c:pt>
                <c:pt idx="120">
                  <c:v>3.0000000000000022</c:v>
                </c:pt>
                <c:pt idx="121">
                  <c:v>3.1000000000000023</c:v>
                </c:pt>
                <c:pt idx="122">
                  <c:v>3.2000000000000024</c:v>
                </c:pt>
                <c:pt idx="123">
                  <c:v>3.3000000000000025</c:v>
                </c:pt>
                <c:pt idx="124">
                  <c:v>3.4000000000000026</c:v>
                </c:pt>
                <c:pt idx="125">
                  <c:v>3.5000000000000027</c:v>
                </c:pt>
                <c:pt idx="126">
                  <c:v>3.6000000000000028</c:v>
                </c:pt>
                <c:pt idx="127">
                  <c:v>3.7000000000000028</c:v>
                </c:pt>
                <c:pt idx="128">
                  <c:v>3.8000000000000029</c:v>
                </c:pt>
                <c:pt idx="129">
                  <c:v>3.900000000000003</c:v>
                </c:pt>
                <c:pt idx="130">
                  <c:v>4.0000000000000027</c:v>
                </c:pt>
                <c:pt idx="131">
                  <c:v>4.1000000000000023</c:v>
                </c:pt>
                <c:pt idx="132">
                  <c:v>4.200000000000002</c:v>
                </c:pt>
                <c:pt idx="133">
                  <c:v>4.3000000000000016</c:v>
                </c:pt>
                <c:pt idx="134">
                  <c:v>4.4000000000000012</c:v>
                </c:pt>
                <c:pt idx="135">
                  <c:v>4.5000000000000009</c:v>
                </c:pt>
                <c:pt idx="136">
                  <c:v>4.6000000000000005</c:v>
                </c:pt>
                <c:pt idx="137">
                  <c:v>4.7</c:v>
                </c:pt>
                <c:pt idx="138">
                  <c:v>4.8</c:v>
                </c:pt>
                <c:pt idx="139">
                  <c:v>4.8999999999999995</c:v>
                </c:pt>
                <c:pt idx="140">
                  <c:v>4.9999999999999991</c:v>
                </c:pt>
                <c:pt idx="141">
                  <c:v>5.0999999999999988</c:v>
                </c:pt>
                <c:pt idx="142">
                  <c:v>5.1999999999999984</c:v>
                </c:pt>
                <c:pt idx="143">
                  <c:v>5.299999999999998</c:v>
                </c:pt>
                <c:pt idx="144">
                  <c:v>5.3999999999999977</c:v>
                </c:pt>
                <c:pt idx="145">
                  <c:v>5.4999999999999973</c:v>
                </c:pt>
                <c:pt idx="146">
                  <c:v>5.599999999999997</c:v>
                </c:pt>
                <c:pt idx="147">
                  <c:v>5.6999999999999966</c:v>
                </c:pt>
                <c:pt idx="148">
                  <c:v>5.7999999999999963</c:v>
                </c:pt>
                <c:pt idx="149">
                  <c:v>5.8999999999999959</c:v>
                </c:pt>
                <c:pt idx="150">
                  <c:v>5.9999999999999956</c:v>
                </c:pt>
                <c:pt idx="151">
                  <c:v>6.0999999999999952</c:v>
                </c:pt>
                <c:pt idx="152">
                  <c:v>6.1999999999999948</c:v>
                </c:pt>
                <c:pt idx="153">
                  <c:v>6.2999999999999945</c:v>
                </c:pt>
                <c:pt idx="154">
                  <c:v>6.3999999999999941</c:v>
                </c:pt>
                <c:pt idx="155">
                  <c:v>6.4999999999999938</c:v>
                </c:pt>
                <c:pt idx="156">
                  <c:v>6.5999999999999934</c:v>
                </c:pt>
                <c:pt idx="157">
                  <c:v>6.6999999999999931</c:v>
                </c:pt>
                <c:pt idx="158">
                  <c:v>6.7999999999999927</c:v>
                </c:pt>
                <c:pt idx="159">
                  <c:v>6.8999999999999924</c:v>
                </c:pt>
                <c:pt idx="160">
                  <c:v>6.999999999999992</c:v>
                </c:pt>
                <c:pt idx="161">
                  <c:v>7.0999999999999917</c:v>
                </c:pt>
                <c:pt idx="162">
                  <c:v>7.1999999999999913</c:v>
                </c:pt>
                <c:pt idx="163">
                  <c:v>7.2999999999999909</c:v>
                </c:pt>
                <c:pt idx="164">
                  <c:v>7.3999999999999906</c:v>
                </c:pt>
                <c:pt idx="165">
                  <c:v>7.4999999999999902</c:v>
                </c:pt>
                <c:pt idx="166">
                  <c:v>7.5999999999999899</c:v>
                </c:pt>
                <c:pt idx="167">
                  <c:v>7.6999999999999895</c:v>
                </c:pt>
                <c:pt idx="168">
                  <c:v>7.7999999999999892</c:v>
                </c:pt>
                <c:pt idx="169">
                  <c:v>7.8999999999999888</c:v>
                </c:pt>
                <c:pt idx="170">
                  <c:v>7.9999999999999885</c:v>
                </c:pt>
                <c:pt idx="171">
                  <c:v>8.099999999999989</c:v>
                </c:pt>
                <c:pt idx="172">
                  <c:v>8.1999999999999886</c:v>
                </c:pt>
                <c:pt idx="173">
                  <c:v>8.2999999999999883</c:v>
                </c:pt>
                <c:pt idx="174">
                  <c:v>8.3999999999999879</c:v>
                </c:pt>
                <c:pt idx="175">
                  <c:v>8.4999999999999876</c:v>
                </c:pt>
                <c:pt idx="176">
                  <c:v>8.5999999999999872</c:v>
                </c:pt>
                <c:pt idx="177">
                  <c:v>8.6999999999999869</c:v>
                </c:pt>
                <c:pt idx="178">
                  <c:v>8.7999999999999865</c:v>
                </c:pt>
                <c:pt idx="179">
                  <c:v>8.8999999999999861</c:v>
                </c:pt>
                <c:pt idx="180">
                  <c:v>8.9999999999999858</c:v>
                </c:pt>
                <c:pt idx="181">
                  <c:v>9.0999999999999854</c:v>
                </c:pt>
                <c:pt idx="182">
                  <c:v>9.1999999999999851</c:v>
                </c:pt>
                <c:pt idx="183">
                  <c:v>9.2999999999999847</c:v>
                </c:pt>
                <c:pt idx="184">
                  <c:v>9.3999999999999844</c:v>
                </c:pt>
                <c:pt idx="185">
                  <c:v>9.499999999999984</c:v>
                </c:pt>
                <c:pt idx="186">
                  <c:v>9.5999999999999837</c:v>
                </c:pt>
                <c:pt idx="187">
                  <c:v>9.6999999999999833</c:v>
                </c:pt>
                <c:pt idx="188">
                  <c:v>9.7999999999999829</c:v>
                </c:pt>
                <c:pt idx="189">
                  <c:v>9.8999999999999826</c:v>
                </c:pt>
                <c:pt idx="190">
                  <c:v>9.9999999999999822</c:v>
                </c:pt>
                <c:pt idx="191">
                  <c:v>10.099999999999982</c:v>
                </c:pt>
                <c:pt idx="192">
                  <c:v>10.199999999999982</c:v>
                </c:pt>
                <c:pt idx="193">
                  <c:v>10.299999999999981</c:v>
                </c:pt>
                <c:pt idx="194">
                  <c:v>10.399999999999981</c:v>
                </c:pt>
                <c:pt idx="195">
                  <c:v>10.49999999999998</c:v>
                </c:pt>
                <c:pt idx="196">
                  <c:v>10.59999999999998</c:v>
                </c:pt>
                <c:pt idx="197">
                  <c:v>10.69999999999998</c:v>
                </c:pt>
                <c:pt idx="198">
                  <c:v>10.799999999999979</c:v>
                </c:pt>
                <c:pt idx="199">
                  <c:v>10.899999999999979</c:v>
                </c:pt>
                <c:pt idx="200">
                  <c:v>10.999999999999979</c:v>
                </c:pt>
                <c:pt idx="201">
                  <c:v>11.099999999999978</c:v>
                </c:pt>
                <c:pt idx="202">
                  <c:v>11.199999999999978</c:v>
                </c:pt>
                <c:pt idx="203">
                  <c:v>11.299999999999978</c:v>
                </c:pt>
                <c:pt idx="204">
                  <c:v>11.399999999999977</c:v>
                </c:pt>
                <c:pt idx="205">
                  <c:v>11.499999999999977</c:v>
                </c:pt>
                <c:pt idx="206">
                  <c:v>11.599999999999977</c:v>
                </c:pt>
                <c:pt idx="207">
                  <c:v>11.699999999999976</c:v>
                </c:pt>
                <c:pt idx="208">
                  <c:v>11.799999999999976</c:v>
                </c:pt>
                <c:pt idx="209">
                  <c:v>11.899999999999975</c:v>
                </c:pt>
                <c:pt idx="210">
                  <c:v>11.999999999999975</c:v>
                </c:pt>
                <c:pt idx="211">
                  <c:v>12.099999999999975</c:v>
                </c:pt>
                <c:pt idx="212">
                  <c:v>12.199999999999974</c:v>
                </c:pt>
                <c:pt idx="213">
                  <c:v>12.299999999999974</c:v>
                </c:pt>
                <c:pt idx="214">
                  <c:v>12.399999999999974</c:v>
                </c:pt>
                <c:pt idx="215">
                  <c:v>12.499999999999973</c:v>
                </c:pt>
                <c:pt idx="216">
                  <c:v>12.599999999999973</c:v>
                </c:pt>
                <c:pt idx="217">
                  <c:v>12.699999999999973</c:v>
                </c:pt>
                <c:pt idx="218">
                  <c:v>12.799999999999972</c:v>
                </c:pt>
                <c:pt idx="219">
                  <c:v>12.899999999999972</c:v>
                </c:pt>
                <c:pt idx="220">
                  <c:v>12.999999999999972</c:v>
                </c:pt>
                <c:pt idx="221">
                  <c:v>13.099999999999971</c:v>
                </c:pt>
                <c:pt idx="222">
                  <c:v>13.199999999999971</c:v>
                </c:pt>
                <c:pt idx="223">
                  <c:v>13.299999999999971</c:v>
                </c:pt>
                <c:pt idx="224">
                  <c:v>13.39999999999997</c:v>
                </c:pt>
                <c:pt idx="225">
                  <c:v>13.49999999999997</c:v>
                </c:pt>
                <c:pt idx="226">
                  <c:v>13.599999999999969</c:v>
                </c:pt>
                <c:pt idx="227">
                  <c:v>13.699999999999969</c:v>
                </c:pt>
                <c:pt idx="228">
                  <c:v>13.799999999999969</c:v>
                </c:pt>
                <c:pt idx="229">
                  <c:v>13.899999999999968</c:v>
                </c:pt>
                <c:pt idx="230">
                  <c:v>13.999999999999968</c:v>
                </c:pt>
                <c:pt idx="231">
                  <c:v>14.099999999999968</c:v>
                </c:pt>
                <c:pt idx="232">
                  <c:v>14.199999999999967</c:v>
                </c:pt>
                <c:pt idx="233">
                  <c:v>14.299999999999967</c:v>
                </c:pt>
                <c:pt idx="234">
                  <c:v>14.399999999999967</c:v>
                </c:pt>
                <c:pt idx="235">
                  <c:v>14.499999999999966</c:v>
                </c:pt>
                <c:pt idx="236">
                  <c:v>14.599999999999966</c:v>
                </c:pt>
                <c:pt idx="237">
                  <c:v>14.699999999999966</c:v>
                </c:pt>
                <c:pt idx="238">
                  <c:v>14.799999999999965</c:v>
                </c:pt>
                <c:pt idx="239">
                  <c:v>14.899999999999965</c:v>
                </c:pt>
                <c:pt idx="240">
                  <c:v>14.999999999999964</c:v>
                </c:pt>
                <c:pt idx="241">
                  <c:v>15.099999999999964</c:v>
                </c:pt>
                <c:pt idx="242">
                  <c:v>15.199999999999964</c:v>
                </c:pt>
                <c:pt idx="243">
                  <c:v>15.299999999999963</c:v>
                </c:pt>
                <c:pt idx="244">
                  <c:v>15.399999999999963</c:v>
                </c:pt>
                <c:pt idx="245">
                  <c:v>15.499999999999963</c:v>
                </c:pt>
                <c:pt idx="246">
                  <c:v>15.599999999999962</c:v>
                </c:pt>
                <c:pt idx="247">
                  <c:v>15.699999999999962</c:v>
                </c:pt>
                <c:pt idx="248">
                  <c:v>15.799999999999962</c:v>
                </c:pt>
                <c:pt idx="249">
                  <c:v>15.899999999999961</c:v>
                </c:pt>
                <c:pt idx="250">
                  <c:v>15.999999999999961</c:v>
                </c:pt>
                <c:pt idx="251">
                  <c:v>16.099999999999962</c:v>
                </c:pt>
                <c:pt idx="252">
                  <c:v>16.199999999999964</c:v>
                </c:pt>
                <c:pt idx="253">
                  <c:v>16.299999999999965</c:v>
                </c:pt>
                <c:pt idx="254">
                  <c:v>16.399999999999967</c:v>
                </c:pt>
                <c:pt idx="255">
                  <c:v>16.499999999999968</c:v>
                </c:pt>
                <c:pt idx="256">
                  <c:v>16.599999999999969</c:v>
                </c:pt>
                <c:pt idx="257">
                  <c:v>16.699999999999971</c:v>
                </c:pt>
                <c:pt idx="258">
                  <c:v>16.799999999999972</c:v>
                </c:pt>
                <c:pt idx="259">
                  <c:v>16.899999999999974</c:v>
                </c:pt>
                <c:pt idx="260">
                  <c:v>16.999999999999975</c:v>
                </c:pt>
                <c:pt idx="261">
                  <c:v>17.099999999999977</c:v>
                </c:pt>
                <c:pt idx="262">
                  <c:v>17.199999999999978</c:v>
                </c:pt>
                <c:pt idx="263">
                  <c:v>17.299999999999979</c:v>
                </c:pt>
                <c:pt idx="264">
                  <c:v>17.399999999999981</c:v>
                </c:pt>
                <c:pt idx="265">
                  <c:v>17.499999999999982</c:v>
                </c:pt>
                <c:pt idx="266">
                  <c:v>17.599999999999984</c:v>
                </c:pt>
                <c:pt idx="267">
                  <c:v>17.699999999999985</c:v>
                </c:pt>
                <c:pt idx="268">
                  <c:v>17.799999999999986</c:v>
                </c:pt>
                <c:pt idx="269">
                  <c:v>17.899999999999988</c:v>
                </c:pt>
                <c:pt idx="270">
                  <c:v>17.999999999999989</c:v>
                </c:pt>
                <c:pt idx="271">
                  <c:v>18.099999999999991</c:v>
                </c:pt>
                <c:pt idx="272">
                  <c:v>18.199999999999992</c:v>
                </c:pt>
                <c:pt idx="273">
                  <c:v>18.299999999999994</c:v>
                </c:pt>
                <c:pt idx="274">
                  <c:v>18.399999999999995</c:v>
                </c:pt>
                <c:pt idx="275">
                  <c:v>18.499999999999996</c:v>
                </c:pt>
                <c:pt idx="276">
                  <c:v>18.599999999999998</c:v>
                </c:pt>
                <c:pt idx="277">
                  <c:v>18.7</c:v>
                </c:pt>
                <c:pt idx="278">
                  <c:v>18.8</c:v>
                </c:pt>
                <c:pt idx="279">
                  <c:v>18.900000000000002</c:v>
                </c:pt>
                <c:pt idx="280">
                  <c:v>19.000000000000004</c:v>
                </c:pt>
                <c:pt idx="281">
                  <c:v>19.100000000000005</c:v>
                </c:pt>
                <c:pt idx="282">
                  <c:v>19.200000000000006</c:v>
                </c:pt>
                <c:pt idx="283">
                  <c:v>19.300000000000008</c:v>
                </c:pt>
                <c:pt idx="284">
                  <c:v>19.400000000000009</c:v>
                </c:pt>
                <c:pt idx="285">
                  <c:v>19.500000000000011</c:v>
                </c:pt>
                <c:pt idx="286">
                  <c:v>19.600000000000012</c:v>
                </c:pt>
                <c:pt idx="287">
                  <c:v>19.700000000000014</c:v>
                </c:pt>
                <c:pt idx="288">
                  <c:v>19.800000000000015</c:v>
                </c:pt>
                <c:pt idx="289">
                  <c:v>19.900000000000016</c:v>
                </c:pt>
                <c:pt idx="290">
                  <c:v>20.000000000000018</c:v>
                </c:pt>
                <c:pt idx="291">
                  <c:v>20.100000000000019</c:v>
                </c:pt>
                <c:pt idx="292">
                  <c:v>20.200000000000021</c:v>
                </c:pt>
                <c:pt idx="293">
                  <c:v>20.300000000000022</c:v>
                </c:pt>
                <c:pt idx="294">
                  <c:v>20.400000000000023</c:v>
                </c:pt>
                <c:pt idx="295">
                  <c:v>20.500000000000025</c:v>
                </c:pt>
                <c:pt idx="296">
                  <c:v>20.600000000000026</c:v>
                </c:pt>
                <c:pt idx="297">
                  <c:v>20.700000000000028</c:v>
                </c:pt>
                <c:pt idx="298">
                  <c:v>20.800000000000029</c:v>
                </c:pt>
                <c:pt idx="299">
                  <c:v>20.900000000000031</c:v>
                </c:pt>
                <c:pt idx="300">
                  <c:v>21.000000000000032</c:v>
                </c:pt>
                <c:pt idx="301">
                  <c:v>21.100000000000033</c:v>
                </c:pt>
                <c:pt idx="302">
                  <c:v>21.200000000000035</c:v>
                </c:pt>
                <c:pt idx="303">
                  <c:v>21.300000000000036</c:v>
                </c:pt>
                <c:pt idx="304">
                  <c:v>21.400000000000038</c:v>
                </c:pt>
                <c:pt idx="305">
                  <c:v>21.500000000000039</c:v>
                </c:pt>
                <c:pt idx="306">
                  <c:v>21.600000000000041</c:v>
                </c:pt>
                <c:pt idx="307">
                  <c:v>21.700000000000042</c:v>
                </c:pt>
                <c:pt idx="308">
                  <c:v>21.800000000000043</c:v>
                </c:pt>
                <c:pt idx="309">
                  <c:v>21.900000000000045</c:v>
                </c:pt>
                <c:pt idx="310">
                  <c:v>22.000000000000046</c:v>
                </c:pt>
                <c:pt idx="311">
                  <c:v>22.100000000000048</c:v>
                </c:pt>
                <c:pt idx="312">
                  <c:v>22.200000000000049</c:v>
                </c:pt>
                <c:pt idx="313">
                  <c:v>22.30000000000005</c:v>
                </c:pt>
                <c:pt idx="314">
                  <c:v>22.400000000000052</c:v>
                </c:pt>
                <c:pt idx="315">
                  <c:v>22.500000000000053</c:v>
                </c:pt>
                <c:pt idx="316">
                  <c:v>22.600000000000055</c:v>
                </c:pt>
                <c:pt idx="317">
                  <c:v>22.700000000000056</c:v>
                </c:pt>
                <c:pt idx="318">
                  <c:v>22.800000000000058</c:v>
                </c:pt>
                <c:pt idx="319">
                  <c:v>22.900000000000059</c:v>
                </c:pt>
                <c:pt idx="320">
                  <c:v>23.00000000000006</c:v>
                </c:pt>
                <c:pt idx="321">
                  <c:v>23.100000000000062</c:v>
                </c:pt>
                <c:pt idx="322">
                  <c:v>23.200000000000063</c:v>
                </c:pt>
                <c:pt idx="323">
                  <c:v>23.300000000000065</c:v>
                </c:pt>
                <c:pt idx="324">
                  <c:v>23.400000000000066</c:v>
                </c:pt>
                <c:pt idx="325">
                  <c:v>23.500000000000068</c:v>
                </c:pt>
                <c:pt idx="326">
                  <c:v>23.600000000000069</c:v>
                </c:pt>
                <c:pt idx="327">
                  <c:v>23.70000000000007</c:v>
                </c:pt>
                <c:pt idx="328">
                  <c:v>23.800000000000072</c:v>
                </c:pt>
                <c:pt idx="329">
                  <c:v>23.900000000000073</c:v>
                </c:pt>
                <c:pt idx="330">
                  <c:v>24.000000000000075</c:v>
                </c:pt>
                <c:pt idx="331">
                  <c:v>24.100000000000076</c:v>
                </c:pt>
                <c:pt idx="332">
                  <c:v>24.200000000000077</c:v>
                </c:pt>
                <c:pt idx="333">
                  <c:v>24.300000000000079</c:v>
                </c:pt>
                <c:pt idx="334">
                  <c:v>24.40000000000008</c:v>
                </c:pt>
                <c:pt idx="335">
                  <c:v>24.500000000000082</c:v>
                </c:pt>
                <c:pt idx="336">
                  <c:v>24.600000000000083</c:v>
                </c:pt>
                <c:pt idx="337">
                  <c:v>24.700000000000085</c:v>
                </c:pt>
                <c:pt idx="338">
                  <c:v>24.800000000000086</c:v>
                </c:pt>
                <c:pt idx="339">
                  <c:v>24.900000000000087</c:v>
                </c:pt>
                <c:pt idx="340">
                  <c:v>25.000000000000089</c:v>
                </c:pt>
                <c:pt idx="341">
                  <c:v>25.10000000000009</c:v>
                </c:pt>
                <c:pt idx="342">
                  <c:v>25.200000000000092</c:v>
                </c:pt>
                <c:pt idx="343">
                  <c:v>25.300000000000093</c:v>
                </c:pt>
                <c:pt idx="344">
                  <c:v>25.400000000000095</c:v>
                </c:pt>
                <c:pt idx="345">
                  <c:v>25.500000000000096</c:v>
                </c:pt>
                <c:pt idx="346">
                  <c:v>25.600000000000097</c:v>
                </c:pt>
                <c:pt idx="347">
                  <c:v>25.700000000000099</c:v>
                </c:pt>
                <c:pt idx="348">
                  <c:v>25.8000000000001</c:v>
                </c:pt>
                <c:pt idx="349">
                  <c:v>25.900000000000102</c:v>
                </c:pt>
                <c:pt idx="350">
                  <c:v>26.000000000000103</c:v>
                </c:pt>
                <c:pt idx="351">
                  <c:v>26.100000000000104</c:v>
                </c:pt>
                <c:pt idx="352">
                  <c:v>26.200000000000106</c:v>
                </c:pt>
                <c:pt idx="353">
                  <c:v>26.300000000000107</c:v>
                </c:pt>
                <c:pt idx="354">
                  <c:v>26.400000000000109</c:v>
                </c:pt>
                <c:pt idx="355">
                  <c:v>26.50000000000011</c:v>
                </c:pt>
                <c:pt idx="356">
                  <c:v>26.600000000000112</c:v>
                </c:pt>
                <c:pt idx="357">
                  <c:v>26.700000000000113</c:v>
                </c:pt>
                <c:pt idx="358">
                  <c:v>26.800000000000114</c:v>
                </c:pt>
                <c:pt idx="359">
                  <c:v>26.900000000000116</c:v>
                </c:pt>
                <c:pt idx="360">
                  <c:v>27.000000000000117</c:v>
                </c:pt>
                <c:pt idx="361">
                  <c:v>27.100000000000119</c:v>
                </c:pt>
                <c:pt idx="362">
                  <c:v>27.20000000000012</c:v>
                </c:pt>
                <c:pt idx="363">
                  <c:v>27.300000000000122</c:v>
                </c:pt>
                <c:pt idx="364">
                  <c:v>27.400000000000123</c:v>
                </c:pt>
                <c:pt idx="365">
                  <c:v>27.500000000000124</c:v>
                </c:pt>
                <c:pt idx="366">
                  <c:v>27.600000000000126</c:v>
                </c:pt>
                <c:pt idx="367">
                  <c:v>27.700000000000127</c:v>
                </c:pt>
                <c:pt idx="368">
                  <c:v>27.800000000000129</c:v>
                </c:pt>
                <c:pt idx="369">
                  <c:v>27.90000000000013</c:v>
                </c:pt>
                <c:pt idx="370">
                  <c:v>28.000000000000131</c:v>
                </c:pt>
                <c:pt idx="371">
                  <c:v>28.100000000000133</c:v>
                </c:pt>
                <c:pt idx="372">
                  <c:v>28.200000000000134</c:v>
                </c:pt>
                <c:pt idx="373">
                  <c:v>28.300000000000136</c:v>
                </c:pt>
                <c:pt idx="374">
                  <c:v>28.400000000000137</c:v>
                </c:pt>
                <c:pt idx="375">
                  <c:v>28.500000000000139</c:v>
                </c:pt>
                <c:pt idx="376">
                  <c:v>28.60000000000014</c:v>
                </c:pt>
                <c:pt idx="377">
                  <c:v>28.700000000000141</c:v>
                </c:pt>
                <c:pt idx="378">
                  <c:v>28.800000000000143</c:v>
                </c:pt>
                <c:pt idx="379">
                  <c:v>28.900000000000144</c:v>
                </c:pt>
                <c:pt idx="380">
                  <c:v>29.000000000000146</c:v>
                </c:pt>
                <c:pt idx="381">
                  <c:v>29.100000000000147</c:v>
                </c:pt>
                <c:pt idx="382">
                  <c:v>29.200000000000149</c:v>
                </c:pt>
                <c:pt idx="383">
                  <c:v>29.200100000000148</c:v>
                </c:pt>
                <c:pt idx="384">
                  <c:v>29.200200000000148</c:v>
                </c:pt>
                <c:pt idx="385">
                  <c:v>29.200300000000148</c:v>
                </c:pt>
                <c:pt idx="386">
                  <c:v>29.200400000000148</c:v>
                </c:pt>
                <c:pt idx="387">
                  <c:v>29.200500000000147</c:v>
                </c:pt>
                <c:pt idx="388">
                  <c:v>29.200600000000147</c:v>
                </c:pt>
                <c:pt idx="389">
                  <c:v>29.200700000000147</c:v>
                </c:pt>
                <c:pt idx="390">
                  <c:v>29.200800000000147</c:v>
                </c:pt>
                <c:pt idx="391">
                  <c:v>29.200900000000146</c:v>
                </c:pt>
                <c:pt idx="392">
                  <c:v>29.201000000000146</c:v>
                </c:pt>
                <c:pt idx="393">
                  <c:v>29.201100000000146</c:v>
                </c:pt>
                <c:pt idx="394">
                  <c:v>29.201200000000146</c:v>
                </c:pt>
                <c:pt idx="395">
                  <c:v>29.201300000000145</c:v>
                </c:pt>
                <c:pt idx="396">
                  <c:v>29.201400000000145</c:v>
                </c:pt>
                <c:pt idx="397">
                  <c:v>29.201500000000145</c:v>
                </c:pt>
                <c:pt idx="398">
                  <c:v>29.201600000000145</c:v>
                </c:pt>
                <c:pt idx="399">
                  <c:v>29.201700000000145</c:v>
                </c:pt>
                <c:pt idx="400">
                  <c:v>29.201800000000144</c:v>
                </c:pt>
                <c:pt idx="401">
                  <c:v>29.201900000000144</c:v>
                </c:pt>
                <c:pt idx="402">
                  <c:v>29.202000000000144</c:v>
                </c:pt>
                <c:pt idx="403">
                  <c:v>29.202100000000144</c:v>
                </c:pt>
                <c:pt idx="404">
                  <c:v>29.202200000000143</c:v>
                </c:pt>
                <c:pt idx="405">
                  <c:v>29.202300000000143</c:v>
                </c:pt>
                <c:pt idx="406">
                  <c:v>29.202400000000143</c:v>
                </c:pt>
                <c:pt idx="407">
                  <c:v>29.202500000000143</c:v>
                </c:pt>
                <c:pt idx="408">
                  <c:v>29.202600000000142</c:v>
                </c:pt>
                <c:pt idx="409">
                  <c:v>29.202700000000142</c:v>
                </c:pt>
                <c:pt idx="410">
                  <c:v>29.202800000000142</c:v>
                </c:pt>
                <c:pt idx="411">
                  <c:v>29.202900000000142</c:v>
                </c:pt>
                <c:pt idx="412">
                  <c:v>29.203000000000142</c:v>
                </c:pt>
                <c:pt idx="413">
                  <c:v>29.203100000000141</c:v>
                </c:pt>
                <c:pt idx="414">
                  <c:v>29.203200000000141</c:v>
                </c:pt>
                <c:pt idx="415">
                  <c:v>29.203300000000141</c:v>
                </c:pt>
                <c:pt idx="416">
                  <c:v>29.203400000000141</c:v>
                </c:pt>
                <c:pt idx="417">
                  <c:v>29.20350000000014</c:v>
                </c:pt>
                <c:pt idx="418">
                  <c:v>29.20360000000014</c:v>
                </c:pt>
                <c:pt idx="419">
                  <c:v>29.20370000000014</c:v>
                </c:pt>
                <c:pt idx="420">
                  <c:v>29.20380000000014</c:v>
                </c:pt>
                <c:pt idx="421">
                  <c:v>29.203900000000139</c:v>
                </c:pt>
                <c:pt idx="422">
                  <c:v>29.204000000000139</c:v>
                </c:pt>
                <c:pt idx="423">
                  <c:v>29.204100000000139</c:v>
                </c:pt>
                <c:pt idx="424">
                  <c:v>29.204200000000139</c:v>
                </c:pt>
                <c:pt idx="425">
                  <c:v>29.204300000000138</c:v>
                </c:pt>
                <c:pt idx="426">
                  <c:v>29.204400000000138</c:v>
                </c:pt>
                <c:pt idx="427">
                  <c:v>29.204500000000138</c:v>
                </c:pt>
                <c:pt idx="428">
                  <c:v>29.204600000000138</c:v>
                </c:pt>
                <c:pt idx="429">
                  <c:v>29.204700000000138</c:v>
                </c:pt>
                <c:pt idx="430">
                  <c:v>29.204800000000137</c:v>
                </c:pt>
                <c:pt idx="431">
                  <c:v>29.204900000000137</c:v>
                </c:pt>
                <c:pt idx="432">
                  <c:v>29.205000000000137</c:v>
                </c:pt>
                <c:pt idx="433">
                  <c:v>29.205100000000137</c:v>
                </c:pt>
                <c:pt idx="434">
                  <c:v>29.205200000000136</c:v>
                </c:pt>
                <c:pt idx="435">
                  <c:v>29.205300000000136</c:v>
                </c:pt>
                <c:pt idx="436">
                  <c:v>29.205400000000136</c:v>
                </c:pt>
                <c:pt idx="437">
                  <c:v>29.205500000000136</c:v>
                </c:pt>
                <c:pt idx="438">
                  <c:v>29.205600000000135</c:v>
                </c:pt>
                <c:pt idx="439">
                  <c:v>29.205700000000135</c:v>
                </c:pt>
                <c:pt idx="440">
                  <c:v>29.205800000000135</c:v>
                </c:pt>
                <c:pt idx="441">
                  <c:v>29.205900000000135</c:v>
                </c:pt>
                <c:pt idx="442">
                  <c:v>29.206000000000135</c:v>
                </c:pt>
                <c:pt idx="443">
                  <c:v>29.206100000000134</c:v>
                </c:pt>
                <c:pt idx="444">
                  <c:v>29.206200000000134</c:v>
                </c:pt>
                <c:pt idx="445">
                  <c:v>29.206300000000134</c:v>
                </c:pt>
                <c:pt idx="446">
                  <c:v>29.206400000000134</c:v>
                </c:pt>
                <c:pt idx="447">
                  <c:v>29.206500000000133</c:v>
                </c:pt>
                <c:pt idx="448">
                  <c:v>29.206600000000133</c:v>
                </c:pt>
                <c:pt idx="449">
                  <c:v>29.206700000000133</c:v>
                </c:pt>
                <c:pt idx="450">
                  <c:v>29.206800000000133</c:v>
                </c:pt>
                <c:pt idx="451">
                  <c:v>29.206900000000132</c:v>
                </c:pt>
                <c:pt idx="452">
                  <c:v>29.207000000000132</c:v>
                </c:pt>
                <c:pt idx="453">
                  <c:v>29.207100000000132</c:v>
                </c:pt>
                <c:pt idx="454">
                  <c:v>29.207200000000132</c:v>
                </c:pt>
                <c:pt idx="455">
                  <c:v>29.207300000000131</c:v>
                </c:pt>
                <c:pt idx="456">
                  <c:v>29.207400000000131</c:v>
                </c:pt>
                <c:pt idx="457">
                  <c:v>29.207500000000131</c:v>
                </c:pt>
                <c:pt idx="458">
                  <c:v>29.207600000000131</c:v>
                </c:pt>
                <c:pt idx="459">
                  <c:v>29.207700000000131</c:v>
                </c:pt>
                <c:pt idx="460">
                  <c:v>29.20780000000013</c:v>
                </c:pt>
                <c:pt idx="461">
                  <c:v>29.20790000000013</c:v>
                </c:pt>
                <c:pt idx="462">
                  <c:v>29.20800000000013</c:v>
                </c:pt>
                <c:pt idx="463">
                  <c:v>29.20810000000013</c:v>
                </c:pt>
                <c:pt idx="464">
                  <c:v>29.208200000000129</c:v>
                </c:pt>
                <c:pt idx="465">
                  <c:v>29.208300000000129</c:v>
                </c:pt>
                <c:pt idx="466">
                  <c:v>29.208400000000129</c:v>
                </c:pt>
                <c:pt idx="467">
                  <c:v>29.208500000000129</c:v>
                </c:pt>
                <c:pt idx="468">
                  <c:v>29.208600000000128</c:v>
                </c:pt>
                <c:pt idx="469">
                  <c:v>29.208700000000128</c:v>
                </c:pt>
                <c:pt idx="470">
                  <c:v>29.208800000000128</c:v>
                </c:pt>
                <c:pt idx="471">
                  <c:v>29.208900000000128</c:v>
                </c:pt>
                <c:pt idx="472">
                  <c:v>29.209000000000128</c:v>
                </c:pt>
                <c:pt idx="473">
                  <c:v>29.209100000000127</c:v>
                </c:pt>
                <c:pt idx="474">
                  <c:v>29.209200000000127</c:v>
                </c:pt>
                <c:pt idx="475">
                  <c:v>29.209300000000127</c:v>
                </c:pt>
                <c:pt idx="476">
                  <c:v>29.209400000000127</c:v>
                </c:pt>
                <c:pt idx="477">
                  <c:v>29.209500000000126</c:v>
                </c:pt>
                <c:pt idx="478">
                  <c:v>29.209600000000126</c:v>
                </c:pt>
                <c:pt idx="479">
                  <c:v>29.209700000000126</c:v>
                </c:pt>
                <c:pt idx="480">
                  <c:v>29.209800000000126</c:v>
                </c:pt>
                <c:pt idx="481">
                  <c:v>29.209900000000125</c:v>
                </c:pt>
                <c:pt idx="482">
                  <c:v>29.210000000000125</c:v>
                </c:pt>
                <c:pt idx="483">
                  <c:v>29.210100000000125</c:v>
                </c:pt>
                <c:pt idx="484">
                  <c:v>29.210200000000125</c:v>
                </c:pt>
                <c:pt idx="485">
                  <c:v>29.210300000000124</c:v>
                </c:pt>
                <c:pt idx="486">
                  <c:v>29.210400000000124</c:v>
                </c:pt>
                <c:pt idx="487">
                  <c:v>29.210500000000124</c:v>
                </c:pt>
                <c:pt idx="488">
                  <c:v>29.210600000000124</c:v>
                </c:pt>
                <c:pt idx="489">
                  <c:v>29.210700000000124</c:v>
                </c:pt>
                <c:pt idx="490">
                  <c:v>29.210800000000123</c:v>
                </c:pt>
                <c:pt idx="491">
                  <c:v>29.210900000000123</c:v>
                </c:pt>
                <c:pt idx="492">
                  <c:v>29.211000000000123</c:v>
                </c:pt>
                <c:pt idx="493">
                  <c:v>29.211100000000123</c:v>
                </c:pt>
                <c:pt idx="494">
                  <c:v>29.211200000000122</c:v>
                </c:pt>
                <c:pt idx="495">
                  <c:v>29.211300000000122</c:v>
                </c:pt>
                <c:pt idx="496">
                  <c:v>29.211400000000122</c:v>
                </c:pt>
                <c:pt idx="497">
                  <c:v>29.211500000000122</c:v>
                </c:pt>
                <c:pt idx="498">
                  <c:v>29.211600000000121</c:v>
                </c:pt>
                <c:pt idx="499">
                  <c:v>29.211700000000121</c:v>
                </c:pt>
                <c:pt idx="500">
                  <c:v>29.211800000000121</c:v>
                </c:pt>
                <c:pt idx="501">
                  <c:v>29.211900000000121</c:v>
                </c:pt>
                <c:pt idx="502">
                  <c:v>29.212000000000121</c:v>
                </c:pt>
                <c:pt idx="503">
                  <c:v>29.21210000000012</c:v>
                </c:pt>
                <c:pt idx="504">
                  <c:v>29.21220000000012</c:v>
                </c:pt>
                <c:pt idx="505">
                  <c:v>29.21230000000012</c:v>
                </c:pt>
                <c:pt idx="506">
                  <c:v>29.21240000000012</c:v>
                </c:pt>
                <c:pt idx="507">
                  <c:v>29.212500000000119</c:v>
                </c:pt>
                <c:pt idx="508">
                  <c:v>29.212600000000119</c:v>
                </c:pt>
                <c:pt idx="509">
                  <c:v>29.212700000000119</c:v>
                </c:pt>
                <c:pt idx="510">
                  <c:v>29.212800000000119</c:v>
                </c:pt>
                <c:pt idx="511">
                  <c:v>29.212900000000118</c:v>
                </c:pt>
                <c:pt idx="512">
                  <c:v>29.213000000000118</c:v>
                </c:pt>
                <c:pt idx="513">
                  <c:v>29.213100000000118</c:v>
                </c:pt>
                <c:pt idx="514">
                  <c:v>29.213200000000118</c:v>
                </c:pt>
                <c:pt idx="515">
                  <c:v>29.213300000000118</c:v>
                </c:pt>
                <c:pt idx="516">
                  <c:v>29.213400000000117</c:v>
                </c:pt>
                <c:pt idx="517">
                  <c:v>29.213500000000117</c:v>
                </c:pt>
                <c:pt idx="518">
                  <c:v>29.213600000000117</c:v>
                </c:pt>
                <c:pt idx="519">
                  <c:v>29.213700000000117</c:v>
                </c:pt>
                <c:pt idx="520">
                  <c:v>29.213800000000116</c:v>
                </c:pt>
                <c:pt idx="521">
                  <c:v>29.213900000000116</c:v>
                </c:pt>
                <c:pt idx="522">
                  <c:v>29.214000000000116</c:v>
                </c:pt>
                <c:pt idx="523">
                  <c:v>29.214100000000116</c:v>
                </c:pt>
                <c:pt idx="524">
                  <c:v>29.214200000000115</c:v>
                </c:pt>
                <c:pt idx="525">
                  <c:v>29.214300000000115</c:v>
                </c:pt>
                <c:pt idx="526">
                  <c:v>29.214400000000115</c:v>
                </c:pt>
                <c:pt idx="527">
                  <c:v>29.214500000000115</c:v>
                </c:pt>
                <c:pt idx="528">
                  <c:v>29.214600000000114</c:v>
                </c:pt>
                <c:pt idx="529">
                  <c:v>29.214700000000114</c:v>
                </c:pt>
                <c:pt idx="530">
                  <c:v>29.214800000000114</c:v>
                </c:pt>
                <c:pt idx="531">
                  <c:v>29.214900000000114</c:v>
                </c:pt>
                <c:pt idx="532">
                  <c:v>29.215000000000114</c:v>
                </c:pt>
                <c:pt idx="533">
                  <c:v>29.215100000000113</c:v>
                </c:pt>
                <c:pt idx="534">
                  <c:v>29.215200000000113</c:v>
                </c:pt>
                <c:pt idx="535">
                  <c:v>29.215300000000113</c:v>
                </c:pt>
                <c:pt idx="536">
                  <c:v>29.215400000000113</c:v>
                </c:pt>
                <c:pt idx="537">
                  <c:v>29.215500000000112</c:v>
                </c:pt>
                <c:pt idx="538">
                  <c:v>29.215600000000112</c:v>
                </c:pt>
                <c:pt idx="539">
                  <c:v>29.215700000000112</c:v>
                </c:pt>
                <c:pt idx="540">
                  <c:v>29.215800000000112</c:v>
                </c:pt>
                <c:pt idx="541">
                  <c:v>29.215900000000111</c:v>
                </c:pt>
                <c:pt idx="542">
                  <c:v>29.216000000000111</c:v>
                </c:pt>
                <c:pt idx="543">
                  <c:v>29.216100000000111</c:v>
                </c:pt>
                <c:pt idx="544">
                  <c:v>29.216200000000111</c:v>
                </c:pt>
                <c:pt idx="545">
                  <c:v>29.216300000000111</c:v>
                </c:pt>
                <c:pt idx="546">
                  <c:v>29.21640000000011</c:v>
                </c:pt>
                <c:pt idx="547">
                  <c:v>29.21650000000011</c:v>
                </c:pt>
                <c:pt idx="548">
                  <c:v>29.21660000000011</c:v>
                </c:pt>
                <c:pt idx="549">
                  <c:v>29.21670000000011</c:v>
                </c:pt>
                <c:pt idx="550">
                  <c:v>29.216800000000109</c:v>
                </c:pt>
                <c:pt idx="551">
                  <c:v>29.216900000000109</c:v>
                </c:pt>
                <c:pt idx="552">
                  <c:v>29.217000000000109</c:v>
                </c:pt>
                <c:pt idx="553">
                  <c:v>29.217100000000109</c:v>
                </c:pt>
                <c:pt idx="554">
                  <c:v>29.217200000000108</c:v>
                </c:pt>
                <c:pt idx="555">
                  <c:v>29.217300000000108</c:v>
                </c:pt>
                <c:pt idx="556">
                  <c:v>29.217400000000108</c:v>
                </c:pt>
                <c:pt idx="557">
                  <c:v>29.217500000000108</c:v>
                </c:pt>
                <c:pt idx="558">
                  <c:v>29.217600000000107</c:v>
                </c:pt>
                <c:pt idx="559">
                  <c:v>29.217700000000107</c:v>
                </c:pt>
                <c:pt idx="560">
                  <c:v>29.217800000000107</c:v>
                </c:pt>
                <c:pt idx="561">
                  <c:v>29.217900000000107</c:v>
                </c:pt>
                <c:pt idx="562">
                  <c:v>29.218000000000107</c:v>
                </c:pt>
                <c:pt idx="563">
                  <c:v>29.218100000000106</c:v>
                </c:pt>
                <c:pt idx="564">
                  <c:v>29.218200000000106</c:v>
                </c:pt>
                <c:pt idx="565">
                  <c:v>29.218300000000106</c:v>
                </c:pt>
                <c:pt idx="566">
                  <c:v>29.218400000000106</c:v>
                </c:pt>
                <c:pt idx="567">
                  <c:v>29.218500000000105</c:v>
                </c:pt>
                <c:pt idx="568">
                  <c:v>29.218600000000105</c:v>
                </c:pt>
                <c:pt idx="569">
                  <c:v>29.218700000000105</c:v>
                </c:pt>
                <c:pt idx="570">
                  <c:v>29.218800000000105</c:v>
                </c:pt>
                <c:pt idx="571">
                  <c:v>29.218900000000104</c:v>
                </c:pt>
                <c:pt idx="572">
                  <c:v>29.219000000000104</c:v>
                </c:pt>
                <c:pt idx="573">
                  <c:v>29.219100000000104</c:v>
                </c:pt>
                <c:pt idx="574">
                  <c:v>29.219200000000104</c:v>
                </c:pt>
                <c:pt idx="575">
                  <c:v>29.219300000000104</c:v>
                </c:pt>
                <c:pt idx="576">
                  <c:v>29.219400000000103</c:v>
                </c:pt>
                <c:pt idx="577">
                  <c:v>29.219500000000103</c:v>
                </c:pt>
                <c:pt idx="578">
                  <c:v>29.219600000000103</c:v>
                </c:pt>
                <c:pt idx="579">
                  <c:v>29.219700000000103</c:v>
                </c:pt>
                <c:pt idx="580">
                  <c:v>29.219800000000102</c:v>
                </c:pt>
                <c:pt idx="581">
                  <c:v>29.219900000000102</c:v>
                </c:pt>
                <c:pt idx="582">
                  <c:v>29.220000000000102</c:v>
                </c:pt>
                <c:pt idx="583">
                  <c:v>29.220100000000102</c:v>
                </c:pt>
                <c:pt idx="584">
                  <c:v>29.220200000000101</c:v>
                </c:pt>
                <c:pt idx="585">
                  <c:v>29.220300000000101</c:v>
                </c:pt>
                <c:pt idx="586">
                  <c:v>29.220400000000101</c:v>
                </c:pt>
                <c:pt idx="587">
                  <c:v>29.220500000000101</c:v>
                </c:pt>
                <c:pt idx="588">
                  <c:v>29.2206000000001</c:v>
                </c:pt>
                <c:pt idx="589">
                  <c:v>29.2207000000001</c:v>
                </c:pt>
                <c:pt idx="590">
                  <c:v>29.2208000000001</c:v>
                </c:pt>
                <c:pt idx="591">
                  <c:v>29.2209000000001</c:v>
                </c:pt>
                <c:pt idx="592">
                  <c:v>29.2210000000001</c:v>
                </c:pt>
                <c:pt idx="593">
                  <c:v>29.221100000000099</c:v>
                </c:pt>
                <c:pt idx="594">
                  <c:v>29.221200000000099</c:v>
                </c:pt>
                <c:pt idx="595">
                  <c:v>29.221300000000099</c:v>
                </c:pt>
                <c:pt idx="596">
                  <c:v>29.221400000000099</c:v>
                </c:pt>
                <c:pt idx="597">
                  <c:v>29.221500000000098</c:v>
                </c:pt>
                <c:pt idx="598">
                  <c:v>29.221600000000098</c:v>
                </c:pt>
                <c:pt idx="599">
                  <c:v>29.221700000000098</c:v>
                </c:pt>
                <c:pt idx="600">
                  <c:v>29.221800000000098</c:v>
                </c:pt>
                <c:pt idx="601">
                  <c:v>29.221900000000097</c:v>
                </c:pt>
                <c:pt idx="602">
                  <c:v>29.222000000000097</c:v>
                </c:pt>
                <c:pt idx="603">
                  <c:v>29.222100000000097</c:v>
                </c:pt>
                <c:pt idx="604">
                  <c:v>29.222200000000097</c:v>
                </c:pt>
                <c:pt idx="605">
                  <c:v>29.222300000000097</c:v>
                </c:pt>
                <c:pt idx="606">
                  <c:v>29.222400000000096</c:v>
                </c:pt>
                <c:pt idx="607">
                  <c:v>29.222500000000096</c:v>
                </c:pt>
                <c:pt idx="608">
                  <c:v>29.222600000000096</c:v>
                </c:pt>
                <c:pt idx="609">
                  <c:v>29.222700000000096</c:v>
                </c:pt>
                <c:pt idx="610">
                  <c:v>29.222800000000095</c:v>
                </c:pt>
                <c:pt idx="611">
                  <c:v>29.222900000000095</c:v>
                </c:pt>
                <c:pt idx="612">
                  <c:v>29.223000000000095</c:v>
                </c:pt>
                <c:pt idx="613">
                  <c:v>29.223100000000095</c:v>
                </c:pt>
                <c:pt idx="614">
                  <c:v>29.223200000000094</c:v>
                </c:pt>
                <c:pt idx="615">
                  <c:v>29.223300000000094</c:v>
                </c:pt>
                <c:pt idx="616">
                  <c:v>29.223400000000094</c:v>
                </c:pt>
                <c:pt idx="617">
                  <c:v>29.223500000000094</c:v>
                </c:pt>
                <c:pt idx="618">
                  <c:v>29.223600000000094</c:v>
                </c:pt>
                <c:pt idx="619">
                  <c:v>29.223700000000093</c:v>
                </c:pt>
                <c:pt idx="620">
                  <c:v>29.223800000000093</c:v>
                </c:pt>
                <c:pt idx="621">
                  <c:v>29.223900000000093</c:v>
                </c:pt>
                <c:pt idx="622">
                  <c:v>29.224000000000093</c:v>
                </c:pt>
                <c:pt idx="623">
                  <c:v>29.224100000000092</c:v>
                </c:pt>
                <c:pt idx="624">
                  <c:v>29.224200000000092</c:v>
                </c:pt>
                <c:pt idx="625">
                  <c:v>29.224300000000092</c:v>
                </c:pt>
                <c:pt idx="626">
                  <c:v>29.224400000000092</c:v>
                </c:pt>
                <c:pt idx="627">
                  <c:v>29.224500000000091</c:v>
                </c:pt>
                <c:pt idx="628">
                  <c:v>29.224600000000091</c:v>
                </c:pt>
                <c:pt idx="629">
                  <c:v>29.224700000000091</c:v>
                </c:pt>
                <c:pt idx="630">
                  <c:v>29.224800000000091</c:v>
                </c:pt>
                <c:pt idx="631">
                  <c:v>29.22490000000009</c:v>
                </c:pt>
                <c:pt idx="632">
                  <c:v>29.22500000000009</c:v>
                </c:pt>
                <c:pt idx="633">
                  <c:v>29.22510000000009</c:v>
                </c:pt>
                <c:pt idx="634">
                  <c:v>29.22520000000009</c:v>
                </c:pt>
                <c:pt idx="635">
                  <c:v>29.22530000000009</c:v>
                </c:pt>
                <c:pt idx="636">
                  <c:v>29.225400000000089</c:v>
                </c:pt>
                <c:pt idx="637">
                  <c:v>29.225500000000089</c:v>
                </c:pt>
                <c:pt idx="638">
                  <c:v>29.225600000000089</c:v>
                </c:pt>
                <c:pt idx="639">
                  <c:v>29.225700000000089</c:v>
                </c:pt>
                <c:pt idx="640">
                  <c:v>29.225800000000088</c:v>
                </c:pt>
                <c:pt idx="641">
                  <c:v>29.225900000000088</c:v>
                </c:pt>
                <c:pt idx="642">
                  <c:v>29.226000000000088</c:v>
                </c:pt>
                <c:pt idx="643">
                  <c:v>29.226100000000088</c:v>
                </c:pt>
                <c:pt idx="644">
                  <c:v>29.226200000000087</c:v>
                </c:pt>
                <c:pt idx="645">
                  <c:v>29.226300000000087</c:v>
                </c:pt>
                <c:pt idx="646">
                  <c:v>29.226400000000087</c:v>
                </c:pt>
                <c:pt idx="647">
                  <c:v>29.226500000000087</c:v>
                </c:pt>
                <c:pt idx="648">
                  <c:v>29.226600000000087</c:v>
                </c:pt>
                <c:pt idx="649">
                  <c:v>29.226700000000086</c:v>
                </c:pt>
                <c:pt idx="650">
                  <c:v>29.226800000000086</c:v>
                </c:pt>
                <c:pt idx="651">
                  <c:v>29.226900000000086</c:v>
                </c:pt>
                <c:pt idx="652">
                  <c:v>29.227000000000086</c:v>
                </c:pt>
                <c:pt idx="653">
                  <c:v>29.227100000000085</c:v>
                </c:pt>
                <c:pt idx="654">
                  <c:v>29.227200000000085</c:v>
                </c:pt>
                <c:pt idx="655">
                  <c:v>29.227300000000085</c:v>
                </c:pt>
                <c:pt idx="656">
                  <c:v>29.227400000000085</c:v>
                </c:pt>
                <c:pt idx="657">
                  <c:v>29.227500000000084</c:v>
                </c:pt>
                <c:pt idx="658">
                  <c:v>29.227600000000084</c:v>
                </c:pt>
                <c:pt idx="659">
                  <c:v>29.227700000000084</c:v>
                </c:pt>
                <c:pt idx="660">
                  <c:v>29.227800000000084</c:v>
                </c:pt>
                <c:pt idx="661">
                  <c:v>29.227900000000083</c:v>
                </c:pt>
                <c:pt idx="662">
                  <c:v>29.228000000000083</c:v>
                </c:pt>
                <c:pt idx="663">
                  <c:v>29.228100000000083</c:v>
                </c:pt>
                <c:pt idx="664">
                  <c:v>29.228200000000083</c:v>
                </c:pt>
                <c:pt idx="665">
                  <c:v>29.228300000000083</c:v>
                </c:pt>
                <c:pt idx="666">
                  <c:v>29.228400000000082</c:v>
                </c:pt>
                <c:pt idx="667">
                  <c:v>29.228500000000082</c:v>
                </c:pt>
                <c:pt idx="668">
                  <c:v>29.228600000000082</c:v>
                </c:pt>
                <c:pt idx="669">
                  <c:v>29.228700000000082</c:v>
                </c:pt>
                <c:pt idx="670">
                  <c:v>29.228800000000081</c:v>
                </c:pt>
                <c:pt idx="671">
                  <c:v>29.228900000000081</c:v>
                </c:pt>
                <c:pt idx="672">
                  <c:v>29.229000000000081</c:v>
                </c:pt>
                <c:pt idx="673">
                  <c:v>29.229100000000081</c:v>
                </c:pt>
                <c:pt idx="674">
                  <c:v>29.22920000000008</c:v>
                </c:pt>
                <c:pt idx="675">
                  <c:v>29.22930000000008</c:v>
                </c:pt>
                <c:pt idx="676">
                  <c:v>29.22940000000008</c:v>
                </c:pt>
                <c:pt idx="677">
                  <c:v>29.22950000000008</c:v>
                </c:pt>
                <c:pt idx="678">
                  <c:v>29.22960000000008</c:v>
                </c:pt>
                <c:pt idx="679">
                  <c:v>29.229700000000079</c:v>
                </c:pt>
                <c:pt idx="680">
                  <c:v>29.229800000000079</c:v>
                </c:pt>
                <c:pt idx="681">
                  <c:v>29.229900000000079</c:v>
                </c:pt>
                <c:pt idx="682">
                  <c:v>29.230000000000079</c:v>
                </c:pt>
                <c:pt idx="683">
                  <c:v>29.230100000000078</c:v>
                </c:pt>
                <c:pt idx="684">
                  <c:v>29.230200000000078</c:v>
                </c:pt>
                <c:pt idx="685">
                  <c:v>29.230300000000078</c:v>
                </c:pt>
                <c:pt idx="686">
                  <c:v>29.230400000000078</c:v>
                </c:pt>
                <c:pt idx="687">
                  <c:v>29.230500000000077</c:v>
                </c:pt>
                <c:pt idx="688">
                  <c:v>29.230600000000077</c:v>
                </c:pt>
                <c:pt idx="689">
                  <c:v>29.230700000000077</c:v>
                </c:pt>
                <c:pt idx="690">
                  <c:v>29.230800000000077</c:v>
                </c:pt>
                <c:pt idx="691">
                  <c:v>29.230900000000076</c:v>
                </c:pt>
                <c:pt idx="692">
                  <c:v>29.231000000000076</c:v>
                </c:pt>
                <c:pt idx="693">
                  <c:v>29.231100000000076</c:v>
                </c:pt>
                <c:pt idx="694">
                  <c:v>29.231200000000076</c:v>
                </c:pt>
                <c:pt idx="695">
                  <c:v>29.231300000000076</c:v>
                </c:pt>
                <c:pt idx="696">
                  <c:v>29.231400000000075</c:v>
                </c:pt>
                <c:pt idx="697">
                  <c:v>29.231500000000075</c:v>
                </c:pt>
                <c:pt idx="698">
                  <c:v>29.231600000000075</c:v>
                </c:pt>
                <c:pt idx="699">
                  <c:v>29.231700000000075</c:v>
                </c:pt>
                <c:pt idx="700">
                  <c:v>29.231800000000074</c:v>
                </c:pt>
                <c:pt idx="701">
                  <c:v>29.231900000000074</c:v>
                </c:pt>
                <c:pt idx="702">
                  <c:v>29.232000000000074</c:v>
                </c:pt>
                <c:pt idx="703">
                  <c:v>29.232100000000074</c:v>
                </c:pt>
                <c:pt idx="704">
                  <c:v>29.232200000000073</c:v>
                </c:pt>
                <c:pt idx="705">
                  <c:v>29.232300000000073</c:v>
                </c:pt>
                <c:pt idx="706">
                  <c:v>29.232400000000073</c:v>
                </c:pt>
                <c:pt idx="707">
                  <c:v>29.232500000000073</c:v>
                </c:pt>
                <c:pt idx="708">
                  <c:v>29.232600000000073</c:v>
                </c:pt>
                <c:pt idx="709">
                  <c:v>29.232700000000072</c:v>
                </c:pt>
                <c:pt idx="710">
                  <c:v>29.232800000000072</c:v>
                </c:pt>
                <c:pt idx="711">
                  <c:v>29.232900000000072</c:v>
                </c:pt>
                <c:pt idx="712">
                  <c:v>29.233000000000072</c:v>
                </c:pt>
                <c:pt idx="713">
                  <c:v>29.233100000000071</c:v>
                </c:pt>
                <c:pt idx="714">
                  <c:v>29.233200000000071</c:v>
                </c:pt>
                <c:pt idx="715">
                  <c:v>29.233300000000071</c:v>
                </c:pt>
                <c:pt idx="716">
                  <c:v>29.233400000000071</c:v>
                </c:pt>
                <c:pt idx="717">
                  <c:v>29.23350000000007</c:v>
                </c:pt>
                <c:pt idx="718">
                  <c:v>29.23360000000007</c:v>
                </c:pt>
                <c:pt idx="719">
                  <c:v>29.23370000000007</c:v>
                </c:pt>
                <c:pt idx="720">
                  <c:v>29.23380000000007</c:v>
                </c:pt>
                <c:pt idx="721">
                  <c:v>29.233900000000069</c:v>
                </c:pt>
                <c:pt idx="722">
                  <c:v>29.234000000000069</c:v>
                </c:pt>
                <c:pt idx="723">
                  <c:v>29.234100000000069</c:v>
                </c:pt>
                <c:pt idx="724">
                  <c:v>29.234200000000069</c:v>
                </c:pt>
                <c:pt idx="725">
                  <c:v>29.234300000000069</c:v>
                </c:pt>
                <c:pt idx="726">
                  <c:v>29.234400000000068</c:v>
                </c:pt>
                <c:pt idx="727">
                  <c:v>29.234500000000068</c:v>
                </c:pt>
                <c:pt idx="728">
                  <c:v>29.234600000000068</c:v>
                </c:pt>
                <c:pt idx="729">
                  <c:v>29.234700000000068</c:v>
                </c:pt>
                <c:pt idx="730">
                  <c:v>29.234800000000067</c:v>
                </c:pt>
                <c:pt idx="731">
                  <c:v>29.234900000000067</c:v>
                </c:pt>
                <c:pt idx="732">
                  <c:v>29.235000000000067</c:v>
                </c:pt>
                <c:pt idx="733">
                  <c:v>29.235100000000067</c:v>
                </c:pt>
                <c:pt idx="734">
                  <c:v>29.235200000000066</c:v>
                </c:pt>
                <c:pt idx="735">
                  <c:v>29.235300000000066</c:v>
                </c:pt>
                <c:pt idx="736">
                  <c:v>29.235400000000066</c:v>
                </c:pt>
                <c:pt idx="737">
                  <c:v>29.235500000000066</c:v>
                </c:pt>
                <c:pt idx="738">
                  <c:v>29.235600000000066</c:v>
                </c:pt>
                <c:pt idx="739">
                  <c:v>29.235700000000065</c:v>
                </c:pt>
                <c:pt idx="740">
                  <c:v>29.235800000000065</c:v>
                </c:pt>
                <c:pt idx="741">
                  <c:v>29.235900000000065</c:v>
                </c:pt>
                <c:pt idx="742">
                  <c:v>29.236000000000065</c:v>
                </c:pt>
                <c:pt idx="743">
                  <c:v>29.236100000000064</c:v>
                </c:pt>
                <c:pt idx="744">
                  <c:v>29.236200000000064</c:v>
                </c:pt>
                <c:pt idx="745">
                  <c:v>29.236300000000064</c:v>
                </c:pt>
                <c:pt idx="746">
                  <c:v>29.236400000000064</c:v>
                </c:pt>
                <c:pt idx="747">
                  <c:v>29.236500000000063</c:v>
                </c:pt>
                <c:pt idx="748">
                  <c:v>29.236600000000063</c:v>
                </c:pt>
                <c:pt idx="749">
                  <c:v>29.236700000000063</c:v>
                </c:pt>
                <c:pt idx="750">
                  <c:v>29.236800000000063</c:v>
                </c:pt>
                <c:pt idx="751">
                  <c:v>29.236900000000063</c:v>
                </c:pt>
                <c:pt idx="752">
                  <c:v>29.237000000000062</c:v>
                </c:pt>
                <c:pt idx="753">
                  <c:v>29.237100000000062</c:v>
                </c:pt>
                <c:pt idx="754">
                  <c:v>29.237200000000062</c:v>
                </c:pt>
                <c:pt idx="755">
                  <c:v>29.237300000000062</c:v>
                </c:pt>
                <c:pt idx="756">
                  <c:v>29.237400000000061</c:v>
                </c:pt>
                <c:pt idx="757">
                  <c:v>29.237500000000061</c:v>
                </c:pt>
                <c:pt idx="758">
                  <c:v>29.237600000000061</c:v>
                </c:pt>
                <c:pt idx="759">
                  <c:v>29.237700000000061</c:v>
                </c:pt>
                <c:pt idx="760">
                  <c:v>29.23780000000006</c:v>
                </c:pt>
                <c:pt idx="761">
                  <c:v>29.23790000000006</c:v>
                </c:pt>
                <c:pt idx="762">
                  <c:v>29.23800000000006</c:v>
                </c:pt>
                <c:pt idx="763">
                  <c:v>29.23810000000006</c:v>
                </c:pt>
                <c:pt idx="764">
                  <c:v>29.238200000000059</c:v>
                </c:pt>
                <c:pt idx="765">
                  <c:v>29.238300000000059</c:v>
                </c:pt>
                <c:pt idx="766">
                  <c:v>29.238400000000059</c:v>
                </c:pt>
                <c:pt idx="767">
                  <c:v>29.238500000000059</c:v>
                </c:pt>
                <c:pt idx="768">
                  <c:v>29.238600000000059</c:v>
                </c:pt>
                <c:pt idx="769">
                  <c:v>29.238700000000058</c:v>
                </c:pt>
                <c:pt idx="770">
                  <c:v>29.238800000000058</c:v>
                </c:pt>
                <c:pt idx="771">
                  <c:v>29.238900000000058</c:v>
                </c:pt>
                <c:pt idx="772">
                  <c:v>29.239000000000058</c:v>
                </c:pt>
                <c:pt idx="773">
                  <c:v>29.239100000000057</c:v>
                </c:pt>
                <c:pt idx="774">
                  <c:v>29.239200000000057</c:v>
                </c:pt>
                <c:pt idx="775">
                  <c:v>29.239300000000057</c:v>
                </c:pt>
                <c:pt idx="776">
                  <c:v>29.239400000000057</c:v>
                </c:pt>
                <c:pt idx="777">
                  <c:v>29.239500000000056</c:v>
                </c:pt>
                <c:pt idx="778">
                  <c:v>29.239600000000056</c:v>
                </c:pt>
                <c:pt idx="779">
                  <c:v>29.239700000000056</c:v>
                </c:pt>
                <c:pt idx="780">
                  <c:v>29.239800000000056</c:v>
                </c:pt>
                <c:pt idx="781">
                  <c:v>29.239900000000056</c:v>
                </c:pt>
                <c:pt idx="782">
                  <c:v>29.240000000000055</c:v>
                </c:pt>
                <c:pt idx="783">
                  <c:v>29.240100000000055</c:v>
                </c:pt>
                <c:pt idx="784">
                  <c:v>29.240200000000055</c:v>
                </c:pt>
                <c:pt idx="785">
                  <c:v>29.240300000000055</c:v>
                </c:pt>
                <c:pt idx="786">
                  <c:v>29.240400000000054</c:v>
                </c:pt>
                <c:pt idx="787">
                  <c:v>29.240500000000054</c:v>
                </c:pt>
                <c:pt idx="788">
                  <c:v>29.240600000000054</c:v>
                </c:pt>
                <c:pt idx="789">
                  <c:v>29.240700000000054</c:v>
                </c:pt>
                <c:pt idx="790">
                  <c:v>29.240800000000053</c:v>
                </c:pt>
                <c:pt idx="791">
                  <c:v>29.240900000000053</c:v>
                </c:pt>
                <c:pt idx="792">
                  <c:v>29.241000000000053</c:v>
                </c:pt>
                <c:pt idx="793">
                  <c:v>29.241100000000053</c:v>
                </c:pt>
                <c:pt idx="794">
                  <c:v>29.241200000000052</c:v>
                </c:pt>
                <c:pt idx="795">
                  <c:v>29.241300000000052</c:v>
                </c:pt>
                <c:pt idx="796">
                  <c:v>29.241400000000052</c:v>
                </c:pt>
                <c:pt idx="797">
                  <c:v>29.241500000000052</c:v>
                </c:pt>
                <c:pt idx="798">
                  <c:v>29.241600000000052</c:v>
                </c:pt>
                <c:pt idx="799">
                  <c:v>29.241700000000051</c:v>
                </c:pt>
                <c:pt idx="800">
                  <c:v>29.241800000000051</c:v>
                </c:pt>
                <c:pt idx="801">
                  <c:v>29.241900000000051</c:v>
                </c:pt>
                <c:pt idx="802">
                  <c:v>29.242000000000051</c:v>
                </c:pt>
                <c:pt idx="803">
                  <c:v>29.24210000000005</c:v>
                </c:pt>
                <c:pt idx="804">
                  <c:v>29.24220000000005</c:v>
                </c:pt>
                <c:pt idx="805">
                  <c:v>29.24230000000005</c:v>
                </c:pt>
                <c:pt idx="806">
                  <c:v>29.24240000000005</c:v>
                </c:pt>
                <c:pt idx="807">
                  <c:v>29.242500000000049</c:v>
                </c:pt>
                <c:pt idx="808">
                  <c:v>29.242600000000049</c:v>
                </c:pt>
                <c:pt idx="809">
                  <c:v>29.242700000000049</c:v>
                </c:pt>
                <c:pt idx="810">
                  <c:v>29.242800000000049</c:v>
                </c:pt>
                <c:pt idx="811">
                  <c:v>29.242900000000049</c:v>
                </c:pt>
                <c:pt idx="812">
                  <c:v>29.243000000000048</c:v>
                </c:pt>
                <c:pt idx="813">
                  <c:v>29.243100000000048</c:v>
                </c:pt>
                <c:pt idx="814">
                  <c:v>29.243200000000048</c:v>
                </c:pt>
                <c:pt idx="815">
                  <c:v>29.243300000000048</c:v>
                </c:pt>
                <c:pt idx="816">
                  <c:v>29.243400000000047</c:v>
                </c:pt>
                <c:pt idx="817">
                  <c:v>29.243500000000047</c:v>
                </c:pt>
                <c:pt idx="818">
                  <c:v>29.243600000000047</c:v>
                </c:pt>
                <c:pt idx="819">
                  <c:v>29.243700000000047</c:v>
                </c:pt>
                <c:pt idx="820">
                  <c:v>29.243800000000046</c:v>
                </c:pt>
                <c:pt idx="821">
                  <c:v>29.243900000000046</c:v>
                </c:pt>
                <c:pt idx="822">
                  <c:v>29.244000000000046</c:v>
                </c:pt>
                <c:pt idx="823">
                  <c:v>29.244100000000046</c:v>
                </c:pt>
                <c:pt idx="824">
                  <c:v>29.244200000000045</c:v>
                </c:pt>
                <c:pt idx="825">
                  <c:v>29.244300000000045</c:v>
                </c:pt>
                <c:pt idx="826">
                  <c:v>29.244400000000045</c:v>
                </c:pt>
                <c:pt idx="827">
                  <c:v>29.244500000000045</c:v>
                </c:pt>
                <c:pt idx="828">
                  <c:v>29.244600000000045</c:v>
                </c:pt>
                <c:pt idx="829">
                  <c:v>29.244700000000044</c:v>
                </c:pt>
                <c:pt idx="830">
                  <c:v>29.244800000000044</c:v>
                </c:pt>
                <c:pt idx="831">
                  <c:v>29.244900000000044</c:v>
                </c:pt>
                <c:pt idx="832">
                  <c:v>29.245000000000044</c:v>
                </c:pt>
                <c:pt idx="833">
                  <c:v>29.245100000000043</c:v>
                </c:pt>
                <c:pt idx="834">
                  <c:v>29.245200000000043</c:v>
                </c:pt>
                <c:pt idx="835">
                  <c:v>29.245300000000043</c:v>
                </c:pt>
                <c:pt idx="836">
                  <c:v>29.245400000000043</c:v>
                </c:pt>
                <c:pt idx="837">
                  <c:v>29.245500000000042</c:v>
                </c:pt>
                <c:pt idx="838">
                  <c:v>29.245600000000042</c:v>
                </c:pt>
                <c:pt idx="839">
                  <c:v>29.245700000000042</c:v>
                </c:pt>
                <c:pt idx="840">
                  <c:v>29.245800000000042</c:v>
                </c:pt>
                <c:pt idx="841">
                  <c:v>29.245900000000042</c:v>
                </c:pt>
                <c:pt idx="842">
                  <c:v>29.246000000000041</c:v>
                </c:pt>
                <c:pt idx="843">
                  <c:v>29.246100000000041</c:v>
                </c:pt>
                <c:pt idx="844">
                  <c:v>29.246200000000041</c:v>
                </c:pt>
                <c:pt idx="845">
                  <c:v>29.246300000000041</c:v>
                </c:pt>
                <c:pt idx="846">
                  <c:v>29.24640000000004</c:v>
                </c:pt>
                <c:pt idx="847">
                  <c:v>29.24650000000004</c:v>
                </c:pt>
                <c:pt idx="848">
                  <c:v>29.24660000000004</c:v>
                </c:pt>
                <c:pt idx="849">
                  <c:v>29.24670000000004</c:v>
                </c:pt>
                <c:pt idx="850">
                  <c:v>29.246800000000039</c:v>
                </c:pt>
                <c:pt idx="851">
                  <c:v>29.246900000000039</c:v>
                </c:pt>
                <c:pt idx="852">
                  <c:v>29.247000000000039</c:v>
                </c:pt>
                <c:pt idx="853">
                  <c:v>29.247100000000039</c:v>
                </c:pt>
                <c:pt idx="854">
                  <c:v>29.247200000000039</c:v>
                </c:pt>
                <c:pt idx="855">
                  <c:v>29.247300000000038</c:v>
                </c:pt>
                <c:pt idx="856">
                  <c:v>29.247400000000038</c:v>
                </c:pt>
                <c:pt idx="857">
                  <c:v>29.247500000000038</c:v>
                </c:pt>
                <c:pt idx="858">
                  <c:v>29.247600000000038</c:v>
                </c:pt>
                <c:pt idx="859">
                  <c:v>29.247700000000037</c:v>
                </c:pt>
                <c:pt idx="860">
                  <c:v>29.247800000000037</c:v>
                </c:pt>
                <c:pt idx="861">
                  <c:v>29.247900000000037</c:v>
                </c:pt>
                <c:pt idx="862">
                  <c:v>29.248000000000037</c:v>
                </c:pt>
                <c:pt idx="863">
                  <c:v>29.248100000000036</c:v>
                </c:pt>
                <c:pt idx="864">
                  <c:v>29.248200000000036</c:v>
                </c:pt>
                <c:pt idx="865">
                  <c:v>29.248300000000036</c:v>
                </c:pt>
                <c:pt idx="866">
                  <c:v>29.248400000000036</c:v>
                </c:pt>
                <c:pt idx="867">
                  <c:v>29.248500000000035</c:v>
                </c:pt>
                <c:pt idx="868">
                  <c:v>29.248600000000035</c:v>
                </c:pt>
                <c:pt idx="869">
                  <c:v>29.248700000000035</c:v>
                </c:pt>
                <c:pt idx="870">
                  <c:v>29.248800000000035</c:v>
                </c:pt>
                <c:pt idx="871">
                  <c:v>29.248900000000035</c:v>
                </c:pt>
                <c:pt idx="872">
                  <c:v>29.249000000000034</c:v>
                </c:pt>
                <c:pt idx="873">
                  <c:v>29.249100000000034</c:v>
                </c:pt>
                <c:pt idx="874">
                  <c:v>29.249200000000034</c:v>
                </c:pt>
                <c:pt idx="875">
                  <c:v>29.249300000000034</c:v>
                </c:pt>
                <c:pt idx="876">
                  <c:v>29.249400000000033</c:v>
                </c:pt>
                <c:pt idx="877">
                  <c:v>29.249500000000033</c:v>
                </c:pt>
                <c:pt idx="878">
                  <c:v>29.249600000000033</c:v>
                </c:pt>
                <c:pt idx="879">
                  <c:v>29.249700000000033</c:v>
                </c:pt>
                <c:pt idx="880">
                  <c:v>29.249800000000032</c:v>
                </c:pt>
                <c:pt idx="881">
                  <c:v>29.249900000000032</c:v>
                </c:pt>
                <c:pt idx="882">
                  <c:v>29.250000000000032</c:v>
                </c:pt>
                <c:pt idx="883">
                  <c:v>29.250100000000032</c:v>
                </c:pt>
                <c:pt idx="884">
                  <c:v>29.250200000000032</c:v>
                </c:pt>
                <c:pt idx="885">
                  <c:v>29.250300000000031</c:v>
                </c:pt>
                <c:pt idx="886">
                  <c:v>29.250400000000031</c:v>
                </c:pt>
                <c:pt idx="887">
                  <c:v>29.250500000000031</c:v>
                </c:pt>
                <c:pt idx="888">
                  <c:v>29.250600000000031</c:v>
                </c:pt>
                <c:pt idx="889">
                  <c:v>29.25070000000003</c:v>
                </c:pt>
                <c:pt idx="890">
                  <c:v>29.25080000000003</c:v>
                </c:pt>
                <c:pt idx="891">
                  <c:v>29.25090000000003</c:v>
                </c:pt>
                <c:pt idx="892">
                  <c:v>29.25100000000003</c:v>
                </c:pt>
                <c:pt idx="893">
                  <c:v>29.251100000000029</c:v>
                </c:pt>
                <c:pt idx="894">
                  <c:v>29.251200000000029</c:v>
                </c:pt>
                <c:pt idx="895">
                  <c:v>29.251300000000029</c:v>
                </c:pt>
                <c:pt idx="896">
                  <c:v>29.251400000000029</c:v>
                </c:pt>
                <c:pt idx="897">
                  <c:v>29.251500000000028</c:v>
                </c:pt>
                <c:pt idx="898">
                  <c:v>29.251600000000028</c:v>
                </c:pt>
                <c:pt idx="899">
                  <c:v>29.251700000000028</c:v>
                </c:pt>
                <c:pt idx="900">
                  <c:v>29.251800000000028</c:v>
                </c:pt>
                <c:pt idx="901">
                  <c:v>29.251900000000028</c:v>
                </c:pt>
                <c:pt idx="902">
                  <c:v>29.252000000000027</c:v>
                </c:pt>
                <c:pt idx="903">
                  <c:v>29.252100000000027</c:v>
                </c:pt>
                <c:pt idx="904">
                  <c:v>29.252200000000027</c:v>
                </c:pt>
                <c:pt idx="905">
                  <c:v>29.252300000000027</c:v>
                </c:pt>
                <c:pt idx="906">
                  <c:v>29.252400000000026</c:v>
                </c:pt>
                <c:pt idx="907">
                  <c:v>29.252500000000026</c:v>
                </c:pt>
                <c:pt idx="908">
                  <c:v>29.252600000000026</c:v>
                </c:pt>
                <c:pt idx="909">
                  <c:v>29.252700000000026</c:v>
                </c:pt>
                <c:pt idx="910">
                  <c:v>29.252800000000025</c:v>
                </c:pt>
                <c:pt idx="911">
                  <c:v>29.252900000000025</c:v>
                </c:pt>
                <c:pt idx="912">
                  <c:v>29.253000000000025</c:v>
                </c:pt>
                <c:pt idx="913">
                  <c:v>29.253100000000025</c:v>
                </c:pt>
                <c:pt idx="914">
                  <c:v>29.253200000000025</c:v>
                </c:pt>
                <c:pt idx="915">
                  <c:v>29.253300000000024</c:v>
                </c:pt>
                <c:pt idx="916">
                  <c:v>29.253400000000024</c:v>
                </c:pt>
                <c:pt idx="917">
                  <c:v>29.253500000000024</c:v>
                </c:pt>
                <c:pt idx="918">
                  <c:v>29.253600000000024</c:v>
                </c:pt>
                <c:pt idx="919">
                  <c:v>29.253700000000023</c:v>
                </c:pt>
                <c:pt idx="920">
                  <c:v>29.253800000000023</c:v>
                </c:pt>
                <c:pt idx="921">
                  <c:v>29.253900000000023</c:v>
                </c:pt>
                <c:pt idx="922">
                  <c:v>29.254000000000023</c:v>
                </c:pt>
                <c:pt idx="923">
                  <c:v>29.254100000000022</c:v>
                </c:pt>
                <c:pt idx="924">
                  <c:v>29.254200000000022</c:v>
                </c:pt>
                <c:pt idx="925">
                  <c:v>29.254300000000022</c:v>
                </c:pt>
                <c:pt idx="926">
                  <c:v>29.254400000000022</c:v>
                </c:pt>
                <c:pt idx="927">
                  <c:v>29.254500000000021</c:v>
                </c:pt>
                <c:pt idx="928">
                  <c:v>29.254600000000021</c:v>
                </c:pt>
                <c:pt idx="929">
                  <c:v>29.254700000000021</c:v>
                </c:pt>
                <c:pt idx="930">
                  <c:v>29.254800000000021</c:v>
                </c:pt>
                <c:pt idx="931">
                  <c:v>29.254900000000021</c:v>
                </c:pt>
                <c:pt idx="932">
                  <c:v>29.25500000000002</c:v>
                </c:pt>
                <c:pt idx="933">
                  <c:v>29.25510000000002</c:v>
                </c:pt>
                <c:pt idx="934">
                  <c:v>29.25520000000002</c:v>
                </c:pt>
                <c:pt idx="935">
                  <c:v>29.25530000000002</c:v>
                </c:pt>
                <c:pt idx="936">
                  <c:v>29.255400000000019</c:v>
                </c:pt>
                <c:pt idx="937">
                  <c:v>29.255500000000019</c:v>
                </c:pt>
                <c:pt idx="938">
                  <c:v>29.255600000000019</c:v>
                </c:pt>
                <c:pt idx="939">
                  <c:v>29.255700000000019</c:v>
                </c:pt>
                <c:pt idx="940">
                  <c:v>29.255800000000018</c:v>
                </c:pt>
                <c:pt idx="941">
                  <c:v>29.255900000000018</c:v>
                </c:pt>
                <c:pt idx="942">
                  <c:v>29.256000000000018</c:v>
                </c:pt>
                <c:pt idx="943">
                  <c:v>29.256100000000018</c:v>
                </c:pt>
                <c:pt idx="944">
                  <c:v>29.256200000000018</c:v>
                </c:pt>
                <c:pt idx="945">
                  <c:v>29.256300000000017</c:v>
                </c:pt>
                <c:pt idx="946">
                  <c:v>29.256400000000017</c:v>
                </c:pt>
                <c:pt idx="947">
                  <c:v>29.256500000000017</c:v>
                </c:pt>
                <c:pt idx="948">
                  <c:v>29.256600000000017</c:v>
                </c:pt>
                <c:pt idx="949">
                  <c:v>29.256700000000016</c:v>
                </c:pt>
                <c:pt idx="950">
                  <c:v>29.256800000000016</c:v>
                </c:pt>
                <c:pt idx="951">
                  <c:v>29.256900000000016</c:v>
                </c:pt>
                <c:pt idx="952">
                  <c:v>29.257000000000016</c:v>
                </c:pt>
                <c:pt idx="953">
                  <c:v>29.257100000000015</c:v>
                </c:pt>
                <c:pt idx="954">
                  <c:v>29.257200000000015</c:v>
                </c:pt>
                <c:pt idx="955">
                  <c:v>29.257300000000015</c:v>
                </c:pt>
                <c:pt idx="956">
                  <c:v>29.257400000000015</c:v>
                </c:pt>
                <c:pt idx="957">
                  <c:v>29.257500000000014</c:v>
                </c:pt>
                <c:pt idx="958">
                  <c:v>29.257600000000014</c:v>
                </c:pt>
                <c:pt idx="959">
                  <c:v>29.257700000000014</c:v>
                </c:pt>
                <c:pt idx="960">
                  <c:v>29.257800000000014</c:v>
                </c:pt>
                <c:pt idx="961">
                  <c:v>29.257900000000014</c:v>
                </c:pt>
                <c:pt idx="962">
                  <c:v>29.258000000000013</c:v>
                </c:pt>
                <c:pt idx="963">
                  <c:v>29.258100000000013</c:v>
                </c:pt>
                <c:pt idx="964">
                  <c:v>29.258200000000013</c:v>
                </c:pt>
                <c:pt idx="965">
                  <c:v>29.258300000000013</c:v>
                </c:pt>
                <c:pt idx="966">
                  <c:v>29.258400000000012</c:v>
                </c:pt>
                <c:pt idx="967">
                  <c:v>29.258500000000012</c:v>
                </c:pt>
                <c:pt idx="968">
                  <c:v>29.258600000000012</c:v>
                </c:pt>
                <c:pt idx="969">
                  <c:v>29.258700000000012</c:v>
                </c:pt>
                <c:pt idx="970">
                  <c:v>29.258800000000011</c:v>
                </c:pt>
                <c:pt idx="971">
                  <c:v>29.258900000000011</c:v>
                </c:pt>
                <c:pt idx="972">
                  <c:v>29.259000000000011</c:v>
                </c:pt>
                <c:pt idx="973">
                  <c:v>29.259100000000011</c:v>
                </c:pt>
                <c:pt idx="974">
                  <c:v>29.259200000000011</c:v>
                </c:pt>
                <c:pt idx="975">
                  <c:v>29.25930000000001</c:v>
                </c:pt>
                <c:pt idx="976">
                  <c:v>29.25940000000001</c:v>
                </c:pt>
                <c:pt idx="977">
                  <c:v>29.25950000000001</c:v>
                </c:pt>
                <c:pt idx="978">
                  <c:v>29.25960000000001</c:v>
                </c:pt>
                <c:pt idx="979">
                  <c:v>29.259700000000009</c:v>
                </c:pt>
                <c:pt idx="980">
                  <c:v>29.259800000000009</c:v>
                </c:pt>
                <c:pt idx="981">
                  <c:v>29.259900000000009</c:v>
                </c:pt>
                <c:pt idx="982">
                  <c:v>29.260000000000009</c:v>
                </c:pt>
                <c:pt idx="983">
                  <c:v>29.260100000000008</c:v>
                </c:pt>
                <c:pt idx="984">
                  <c:v>29.260200000000008</c:v>
                </c:pt>
                <c:pt idx="985">
                  <c:v>29.260300000000008</c:v>
                </c:pt>
                <c:pt idx="986">
                  <c:v>29.260400000000008</c:v>
                </c:pt>
                <c:pt idx="987">
                  <c:v>29.260500000000008</c:v>
                </c:pt>
                <c:pt idx="988">
                  <c:v>29.260600000000007</c:v>
                </c:pt>
                <c:pt idx="989">
                  <c:v>29.260700000000007</c:v>
                </c:pt>
                <c:pt idx="990">
                  <c:v>29.260800000000007</c:v>
                </c:pt>
                <c:pt idx="991">
                  <c:v>29.260900000000007</c:v>
                </c:pt>
                <c:pt idx="992">
                  <c:v>29.261000000000006</c:v>
                </c:pt>
                <c:pt idx="993">
                  <c:v>29.261100000000006</c:v>
                </c:pt>
                <c:pt idx="994">
                  <c:v>29.261200000000006</c:v>
                </c:pt>
                <c:pt idx="995">
                  <c:v>29.261300000000006</c:v>
                </c:pt>
                <c:pt idx="996">
                  <c:v>29.261400000000005</c:v>
                </c:pt>
                <c:pt idx="997">
                  <c:v>29.261500000000005</c:v>
                </c:pt>
                <c:pt idx="998">
                  <c:v>29.261600000000005</c:v>
                </c:pt>
                <c:pt idx="999">
                  <c:v>29.261700000000005</c:v>
                </c:pt>
                <c:pt idx="1000">
                  <c:v>29.261800000000004</c:v>
                </c:pt>
              </c:numCache>
            </c:numRef>
          </c:xVal>
          <c:yVal>
            <c:numRef>
              <c:f>Calculs!$W$4:$W$1004</c:f>
              <c:numCache>
                <c:formatCode>0.00</c:formatCode>
                <c:ptCount val="1001"/>
                <c:pt idx="0">
                  <c:v>85.704949210145557</c:v>
                </c:pt>
                <c:pt idx="1">
                  <c:v>85.401542435432191</c:v>
                </c:pt>
                <c:pt idx="2">
                  <c:v>85.099402937074643</c:v>
                </c:pt>
                <c:pt idx="3">
                  <c:v>84.798523754679408</c:v>
                </c:pt>
                <c:pt idx="4">
                  <c:v>84.498897976396137</c:v>
                </c:pt>
                <c:pt idx="5">
                  <c:v>84.200518738509885</c:v>
                </c:pt>
                <c:pt idx="6">
                  <c:v>83.903379225038378</c:v>
                </c:pt>
                <c:pt idx="7">
                  <c:v>83.607472667332175</c:v>
                </c:pt>
                <c:pt idx="8">
                  <c:v>83.312792343679732</c:v>
                </c:pt>
                <c:pt idx="9">
                  <c:v>83.019331578915754</c:v>
                </c:pt>
                <c:pt idx="10">
                  <c:v>82.727083744033266</c:v>
                </c:pt>
                <c:pt idx="11">
                  <c:v>82.436040163380838</c:v>
                </c:pt>
                <c:pt idx="12">
                  <c:v>82.146192260692388</c:v>
                </c:pt>
                <c:pt idx="13">
                  <c:v>81.857533642671015</c:v>
                </c:pt>
                <c:pt idx="14">
                  <c:v>81.570057959056555</c:v>
                </c:pt>
                <c:pt idx="15">
                  <c:v>81.283758902278478</c:v>
                </c:pt>
                <c:pt idx="16">
                  <c:v>80.998630207112313</c:v>
                </c:pt>
                <c:pt idx="17">
                  <c:v>80.714665650338731</c:v>
                </c:pt>
                <c:pt idx="18">
                  <c:v>80.431859050406516</c:v>
                </c:pt>
                <c:pt idx="19">
                  <c:v>80.150204267098033</c:v>
                </c:pt>
                <c:pt idx="20">
                  <c:v>79.869695201198439</c:v>
                </c:pt>
                <c:pt idx="21">
                  <c:v>79.590326822002012</c:v>
                </c:pt>
                <c:pt idx="22">
                  <c:v>79.312094113295501</c:v>
                </c:pt>
                <c:pt idx="23">
                  <c:v>79.034991049322898</c:v>
                </c:pt>
                <c:pt idx="24">
                  <c:v>78.759011644795379</c:v>
                </c:pt>
                <c:pt idx="25">
                  <c:v>78.484149954565439</c:v>
                </c:pt>
                <c:pt idx="26">
                  <c:v>78.210400073303532</c:v>
                </c:pt>
                <c:pt idx="27">
                  <c:v>77.937756135177935</c:v>
                </c:pt>
                <c:pt idx="28">
                  <c:v>77.666212313537926</c:v>
                </c:pt>
                <c:pt idx="29">
                  <c:v>77.39576282059933</c:v>
                </c:pt>
                <c:pt idx="30">
                  <c:v>77.126401907133669</c:v>
                </c:pt>
                <c:pt idx="31">
                  <c:v>76.858123862159516</c:v>
                </c:pt>
                <c:pt idx="32">
                  <c:v>76.590923012637589</c:v>
                </c:pt>
                <c:pt idx="33">
                  <c:v>76.324793723167758</c:v>
                </c:pt>
                <c:pt idx="34">
                  <c:v>76.059730395689598</c:v>
                </c:pt>
                <c:pt idx="35">
                  <c:v>75.795727469185493</c:v>
                </c:pt>
                <c:pt idx="36">
                  <c:v>75.532779419386188</c:v>
                </c:pt>
                <c:pt idx="37">
                  <c:v>75.270880758479649</c:v>
                </c:pt>
                <c:pt idx="38">
                  <c:v>75.010026034822332</c:v>
                </c:pt>
                <c:pt idx="39">
                  <c:v>74.750209832652786</c:v>
                </c:pt>
                <c:pt idx="40">
                  <c:v>74.491426771808605</c:v>
                </c:pt>
                <c:pt idx="41">
                  <c:v>74.233671507445479</c:v>
                </c:pt>
                <c:pt idx="42">
                  <c:v>73.976938729758928</c:v>
                </c:pt>
                <c:pt idx="43">
                  <c:v>73.721223163708771</c:v>
                </c:pt>
                <c:pt idx="44">
                  <c:v>73.466519568745937</c:v>
                </c:pt>
                <c:pt idx="45">
                  <c:v>73.212822738541902</c:v>
                </c:pt>
                <c:pt idx="46">
                  <c:v>72.960127500720361</c:v>
                </c:pt>
                <c:pt idx="47">
                  <c:v>72.708428716591968</c:v>
                </c:pt>
                <c:pt idx="48">
                  <c:v>72.457721280890624</c:v>
                </c:pt>
                <c:pt idx="49">
                  <c:v>72.208000121513095</c:v>
                </c:pt>
                <c:pt idx="50">
                  <c:v>71.959260199260072</c:v>
                </c:pt>
                <c:pt idx="51">
                  <c:v>71.711496507580563</c:v>
                </c:pt>
                <c:pt idx="52">
                  <c:v>71.46470407231773</c:v>
                </c:pt>
                <c:pt idx="53">
                  <c:v>71.218877951457557</c:v>
                </c:pt>
                <c:pt idx="54">
                  <c:v>70.97401323487982</c:v>
                </c:pt>
                <c:pt idx="55">
                  <c:v>70.730105044110786</c:v>
                </c:pt>
                <c:pt idx="56">
                  <c:v>70.487148532079061</c:v>
                </c:pt>
                <c:pt idx="57">
                  <c:v>70.245138882872496</c:v>
                </c:pt>
                <c:pt idx="58">
                  <c:v>70.004071311498251</c:v>
                </c:pt>
                <c:pt idx="59">
                  <c:v>69.763941063644808</c:v>
                </c:pt>
                <c:pt idx="60">
                  <c:v>69.524743415445585</c:v>
                </c:pt>
                <c:pt idx="61">
                  <c:v>69.286473673245354</c:v>
                </c:pt>
                <c:pt idx="62">
                  <c:v>69.049127173368433</c:v>
                </c:pt>
                <c:pt idx="63">
                  <c:v>68.812699281888825</c:v>
                </c:pt>
                <c:pt idx="64">
                  <c:v>68.577185394402946</c:v>
                </c:pt>
                <c:pt idx="65">
                  <c:v>68.342580935803682</c:v>
                </c:pt>
                <c:pt idx="66">
                  <c:v>68.108881360057069</c:v>
                </c:pt>
                <c:pt idx="67">
                  <c:v>67.876082149980505</c:v>
                </c:pt>
                <c:pt idx="68">
                  <c:v>67.644178817023302</c:v>
                </c:pt>
                <c:pt idx="69">
                  <c:v>67.413166901048953</c:v>
                </c:pt>
                <c:pt idx="70">
                  <c:v>67.183041970119419</c:v>
                </c:pt>
                <c:pt idx="71">
                  <c:v>66.95379962028143</c:v>
                </c:pt>
                <c:pt idx="72">
                  <c:v>66.725435475354331</c:v>
                </c:pt>
                <c:pt idx="73">
                  <c:v>66.497945186720415</c:v>
                </c:pt>
                <c:pt idx="74">
                  <c:v>66.271324433116305</c:v>
                </c:pt>
                <c:pt idx="75">
                  <c:v>66.045568920427101</c:v>
                </c:pt>
                <c:pt idx="76">
                  <c:v>65.820674381481382</c:v>
                </c:pt>
                <c:pt idx="77">
                  <c:v>65.596636575848891</c:v>
                </c:pt>
                <c:pt idx="78">
                  <c:v>65.373451289639405</c:v>
                </c:pt>
                <c:pt idx="79">
                  <c:v>65.15111433530349</c:v>
                </c:pt>
                <c:pt idx="80">
                  <c:v>64.929621551435275</c:v>
                </c:pt>
                <c:pt idx="81">
                  <c:v>64.708968802576706</c:v>
                </c:pt>
                <c:pt idx="82">
                  <c:v>64.489151979023475</c:v>
                </c:pt>
                <c:pt idx="83">
                  <c:v>64.270166996632753</c:v>
                </c:pt>
                <c:pt idx="84">
                  <c:v>64.052009796632831</c:v>
                </c:pt>
                <c:pt idx="85">
                  <c:v>63.834676345433692</c:v>
                </c:pt>
                <c:pt idx="86">
                  <c:v>63.618162634440289</c:v>
                </c:pt>
                <c:pt idx="87">
                  <c:v>63.402464679866313</c:v>
                </c:pt>
                <c:pt idx="88">
                  <c:v>63.187578522550702</c:v>
                </c:pt>
                <c:pt idx="89">
                  <c:v>62.973500227774657</c:v>
                </c:pt>
                <c:pt idx="90">
                  <c:v>62.760225885081198</c:v>
                </c:pt>
                <c:pt idx="91">
                  <c:v>62.547751608095453</c:v>
                </c:pt>
                <c:pt idx="92">
                  <c:v>62.336073534347236</c:v>
                </c:pt>
                <c:pt idx="93">
                  <c:v>62.125187825094706</c:v>
                </c:pt>
                <c:pt idx="94">
                  <c:v>61.915090665149556</c:v>
                </c:pt>
                <c:pt idx="95">
                  <c:v>61.705778262703937</c:v>
                </c:pt>
                <c:pt idx="96">
                  <c:v>61.4972468491586</c:v>
                </c:pt>
                <c:pt idx="97">
                  <c:v>61.289492678952939</c:v>
                </c:pt>
                <c:pt idx="98">
                  <c:v>61.082512029395836</c:v>
                </c:pt>
                <c:pt idx="99">
                  <c:v>60.87630120049856</c:v>
                </c:pt>
                <c:pt idx="100">
                  <c:v>60.670856514808904</c:v>
                </c:pt>
                <c:pt idx="101">
                  <c:v>58.641504943233315</c:v>
                </c:pt>
                <c:pt idx="102">
                  <c:v>56.686322053584057</c:v>
                </c:pt>
                <c:pt idx="103">
                  <c:v>54.80186322786858</c:v>
                </c:pt>
                <c:pt idx="104">
                  <c:v>52.984886009753062</c:v>
                </c:pt>
                <c:pt idx="105">
                  <c:v>51.232336024024889</c:v>
                </c:pt>
                <c:pt idx="106">
                  <c:v>49.541334032691644</c:v>
                </c:pt>
                <c:pt idx="107">
                  <c:v>47.90916402380045</c:v>
                </c:pt>
                <c:pt idx="108">
                  <c:v>46.333262239654395</c:v>
                </c:pt>
                <c:pt idx="109">
                  <c:v>44.811207060506042</c:v>
                </c:pt>
                <c:pt idx="110">
                  <c:v>43.340709668169346</c:v>
                </c:pt>
                <c:pt idx="111">
                  <c:v>41.919605421435165</c:v>
                </c:pt>
                <c:pt idx="112">
                  <c:v>40.545845881810699</c:v>
                </c:pt>
                <c:pt idx="113">
                  <c:v>39.217491434029093</c:v>
                </c:pt>
                <c:pt idx="114">
                  <c:v>37.932704451069711</c:v>
                </c:pt>
                <c:pt idx="115">
                  <c:v>36.68974295816983</c:v>
                </c:pt>
                <c:pt idx="116">
                  <c:v>35.486954754555434</c:v>
                </c:pt>
                <c:pt idx="117">
                  <c:v>34.322771955429793</c:v>
                </c:pt>
                <c:pt idx="118">
                  <c:v>33.195705920181318</c:v>
                </c:pt>
                <c:pt idx="119">
                  <c:v>32.104342535850584</c:v>
                </c:pt>
                <c:pt idx="120">
                  <c:v>31.047337827668155</c:v>
                </c:pt>
                <c:pt idx="121">
                  <c:v>30.023413870972863</c:v>
                </c:pt>
                <c:pt idx="122">
                  <c:v>29.031354981074518</c:v>
                </c:pt>
                <c:pt idx="123">
                  <c:v>28.07000415966117</c:v>
                </c:pt>
                <c:pt idx="124">
                  <c:v>27.138259778191888</c:v>
                </c:pt>
                <c:pt idx="125">
                  <c:v>26.235072480382993</c:v>
                </c:pt>
                <c:pt idx="126">
                  <c:v>25.359442287405379</c:v>
                </c:pt>
                <c:pt idx="127">
                  <c:v>24.510415890779836</c:v>
                </c:pt>
                <c:pt idx="128">
                  <c:v>23.687084119201099</c:v>
                </c:pt>
                <c:pt idx="129">
                  <c:v>22.888579566650115</c:v>
                </c:pt>
                <c:pt idx="130">
                  <c:v>22.114074370182497</c:v>
                </c:pt>
                <c:pt idx="131">
                  <c:v>21.362778126715568</c:v>
                </c:pt>
                <c:pt idx="132">
                  <c:v>20.633935938988994</c:v>
                </c:pt>
                <c:pt idx="133">
                  <c:v>19.926826581651248</c:v>
                </c:pt>
                <c:pt idx="134">
                  <c:v>19.240760779133051</c:v>
                </c:pt>
                <c:pt idx="135">
                  <c:v>18.575079587617338</c:v>
                </c:pt>
                <c:pt idx="136">
                  <c:v>17.929152874006903</c:v>
                </c:pt>
                <c:pt idx="137">
                  <c:v>17.302377885333662</c:v>
                </c:pt>
                <c:pt idx="138">
                  <c:v>16.694177902548851</c:v>
                </c:pt>
                <c:pt idx="139">
                  <c:v>16.104000973088588</c:v>
                </c:pt>
                <c:pt idx="140">
                  <c:v>15.531318717026053</c:v>
                </c:pt>
                <c:pt idx="141">
                  <c:v>14.975625202003933</c:v>
                </c:pt>
                <c:pt idx="142">
                  <c:v>14.436435882492345</c:v>
                </c:pt>
                <c:pt idx="143">
                  <c:v>13.913286599240131</c:v>
                </c:pt>
                <c:pt idx="144">
                  <c:v>13.405732635083856</c:v>
                </c:pt>
                <c:pt idx="145">
                  <c:v>12.91334782355278</c:v>
                </c:pt>
                <c:pt idx="146">
                  <c:v>12.435723706958225</c:v>
                </c:pt>
                <c:pt idx="147">
                  <c:v>11.972468740888349</c:v>
                </c:pt>
                <c:pt idx="148">
                  <c:v>11.52320754224181</c:v>
                </c:pt>
                <c:pt idx="149">
                  <c:v>11.087580178130917</c:v>
                </c:pt>
                <c:pt idx="150">
                  <c:v>10.66524149316597</c:v>
                </c:pt>
                <c:pt idx="151">
                  <c:v>10.255860472799744</c:v>
                </c:pt>
                <c:pt idx="152">
                  <c:v>9.8591196405653641</c:v>
                </c:pt>
                <c:pt idx="153">
                  <c:v>9.4747144871832401</c:v>
                </c:pt>
                <c:pt idx="154">
                  <c:v>9.1023529296439758</c:v>
                </c:pt>
                <c:pt idx="155">
                  <c:v>8.7417547984953412</c:v>
                </c:pt>
                <c:pt idx="156">
                  <c:v>8.3926513516731323</c:v>
                </c:pt>
                <c:pt idx="157">
                  <c:v>8.0547848133185624</c:v>
                </c:pt>
                <c:pt idx="158">
                  <c:v>7.727907936119653</c:v>
                </c:pt>
                <c:pt idx="159">
                  <c:v>7.4117835858012366</c:v>
                </c:pt>
                <c:pt idx="160">
                  <c:v>7.1061843464679271</c:v>
                </c:pt>
                <c:pt idx="161">
                  <c:v>6.8108921455779221</c:v>
                </c:pt>
                <c:pt idx="162">
                  <c:v>6.525697897391991</c:v>
                </c:pt>
                <c:pt idx="163">
                  <c:v>6.2504011638031578</c:v>
                </c:pt>
                <c:pt idx="164">
                  <c:v>5.9848098315072651</c:v>
                </c:pt>
                <c:pt idx="165">
                  <c:v>5.7287398045243458</c:v>
                </c:pt>
                <c:pt idx="166">
                  <c:v>5.4820147111247639</c:v>
                </c:pt>
                <c:pt idx="167">
                  <c:v>5.2444656242530279</c:v>
                </c:pt>
                <c:pt idx="168">
                  <c:v>5.0159307945762093</c:v>
                </c:pt>
                <c:pt idx="169">
                  <c:v>4.7962553953127145</c:v>
                </c:pt>
                <c:pt idx="170">
                  <c:v>4.585291278021419</c:v>
                </c:pt>
                <c:pt idx="171">
                  <c:v>4.3828967385503539</c:v>
                </c:pt>
                <c:pt idx="172">
                  <c:v>4.1889362923588491</c:v>
                </c:pt>
                <c:pt idx="173">
                  <c:v>4.0032804584369028</c:v>
                </c:pt>
                <c:pt idx="174">
                  <c:v>3.8258055510511424</c:v>
                </c:pt>
                <c:pt idx="175">
                  <c:v>3.6563934785477596</c:v>
                </c:pt>
                <c:pt idx="176">
                  <c:v>3.4949315484399945</c:v>
                </c:pt>
                <c:pt idx="177">
                  <c:v>3.3413122780011464</c:v>
                </c:pt>
                <c:pt idx="178">
                  <c:v>3.1954332095743476</c:v>
                </c:pt>
                <c:pt idx="179">
                  <c:v>3.0571967297984055</c:v>
                </c:pt>
                <c:pt idx="180">
                  <c:v>2.9265098919355763</c:v>
                </c:pt>
                <c:pt idx="181">
                  <c:v>2.8032842404739813</c:v>
                </c:pt>
                <c:pt idx="182">
                  <c:v>2.6874356371658732</c:v>
                </c:pt>
                <c:pt idx="183">
                  <c:v>2.5788840876556627</c:v>
                </c:pt>
                <c:pt idx="184">
                  <c:v>2.4775535678509044</c:v>
                </c:pt>
                <c:pt idx="185">
                  <c:v>2.3833718491987828</c:v>
                </c:pt>
                <c:pt idx="186">
                  <c:v>2.2962703220533252</c:v>
                </c:pt>
                <c:pt idx="187">
                  <c:v>2.2161838163588228</c:v>
                </c:pt>
                <c:pt idx="188">
                  <c:v>2.1430504189365451</c:v>
                </c:pt>
                <c:pt idx="189">
                  <c:v>2.0768112867488897</c:v>
                </c:pt>
                <c:pt idx="190">
                  <c:v>2.0174104556306802</c:v>
                </c:pt>
                <c:pt idx="191">
                  <c:v>1.9647946441237982</c:v>
                </c:pt>
                <c:pt idx="192">
                  <c:v>1.9189130522290427</c:v>
                </c:pt>
                <c:pt idx="193">
                  <c:v>1.8797171550964678</c:v>
                </c:pt>
                <c:pt idx="194">
                  <c:v>1.8471604919079017</c:v>
                </c:pt>
                <c:pt idx="195">
                  <c:v>1.8211984504554954</c:v>
                </c:pt>
                <c:pt idx="196">
                  <c:v>1.8017880481776065</c:v>
                </c:pt>
                <c:pt idx="197">
                  <c:v>1.7888877106650511</c:v>
                </c:pt>
                <c:pt idx="198">
                  <c:v>1.7824570488823515</c:v>
                </c:pt>
                <c:pt idx="199">
                  <c:v>1.7824566365451759</c:v>
                </c:pt>
                <c:pt idx="200">
                  <c:v>1.7888477892430061</c:v>
                </c:pt>
                <c:pt idx="201">
                  <c:v>1.8015923469844703</c:v>
                </c:pt>
                <c:pt idx="202">
                  <c:v>1.8206524618651507</c:v>
                </c:pt>
                <c:pt idx="203">
                  <c:v>1.8459903925122692</c:v>
                </c:pt>
                <c:pt idx="204">
                  <c:v>1.87756830685139</c:v>
                </c:pt>
                <c:pt idx="205">
                  <c:v>1.915348094575499</c:v>
                </c:pt>
                <c:pt idx="206">
                  <c:v>1.959291190488845</c:v>
                </c:pt>
                <c:pt idx="207">
                  <c:v>2.0093584096612394</c:v>
                </c:pt>
                <c:pt idx="208">
                  <c:v>2.0655097950781678</c:v>
                </c:pt>
                <c:pt idx="209">
                  <c:v>2.1277044782224337</c:v>
                </c:pt>
                <c:pt idx="210">
                  <c:v>2.1959005527861715</c:v>
                </c:pt>
                <c:pt idx="211">
                  <c:v>2.2700549614975798</c:v>
                </c:pt>
                <c:pt idx="212">
                  <c:v>2.3501233958607282</c:v>
                </c:pt>
                <c:pt idx="213">
                  <c:v>2.4360602084528016</c:v>
                </c:pt>
                <c:pt idx="214">
                  <c:v>2.5278183373019334</c:v>
                </c:pt>
                <c:pt idx="215">
                  <c:v>2.6253492417787645</c:v>
                </c:pt>
                <c:pt idx="216">
                  <c:v>2.728602849373738</c:v>
                </c:pt>
                <c:pt idx="217">
                  <c:v>2.8375275126956576</c:v>
                </c:pt>
                <c:pt idx="218">
                  <c:v>2.9520699760117108</c:v>
                </c:pt>
                <c:pt idx="219">
                  <c:v>3.0721753506503648</c:v>
                </c:pt>
                <c:pt idx="220">
                  <c:v>3.1977870986028529</c:v>
                </c:pt>
                <c:pt idx="221">
                  <c:v>3.3288470236826297</c:v>
                </c:pt>
                <c:pt idx="222">
                  <c:v>3.4652952696324086</c:v>
                </c:pt>
                <c:pt idx="223">
                  <c:v>3.6070703246026756</c:v>
                </c:pt>
                <c:pt idx="224">
                  <c:v>3.7541090314620127</c:v>
                </c:pt>
                <c:pt idx="225">
                  <c:v>3.9063466034365129</c:v>
                </c:pt>
                <c:pt idx="226">
                  <c:v>4.0637166446122475</c:v>
                </c:pt>
                <c:pt idx="227">
                  <c:v>4.2261511748697567</c:v>
                </c:pt>
                <c:pt idx="228">
                  <c:v>4.393580658853204</c:v>
                </c:pt>
                <c:pt idx="229">
                  <c:v>4.5659340386078577</c:v>
                </c:pt>
                <c:pt idx="230">
                  <c:v>4.7431387695487022</c:v>
                </c:pt>
                <c:pt idx="231">
                  <c:v>4.9251208594494189</c:v>
                </c:pt>
                <c:pt idx="232">
                  <c:v>5.1118049101653522</c:v>
                </c:pt>
                <c:pt idx="233">
                  <c:v>5.3031141618260467</c:v>
                </c:pt>
                <c:pt idx="234">
                  <c:v>5.4989705392528325</c:v>
                </c:pt>
                <c:pt idx="235">
                  <c:v>5.6992947003750407</c:v>
                </c:pt>
                <c:pt idx="236">
                  <c:v>5.9040060864344435</c:v>
                </c:pt>
                <c:pt idx="237">
                  <c:v>6.1130229737822592</c:v>
                </c:pt>
                <c:pt idx="238">
                  <c:v>6.3262625270860573</c:v>
                </c:pt>
                <c:pt idx="239">
                  <c:v>6.5436408537757673</c:v>
                </c:pt>
                <c:pt idx="240">
                  <c:v>6.765073059568671</c:v>
                </c:pt>
                <c:pt idx="241">
                  <c:v>6.9904733049227881</c:v>
                </c:pt>
                <c:pt idx="242">
                  <c:v>7.2197548622769601</c:v>
                </c:pt>
                <c:pt idx="243">
                  <c:v>7.4528301739437177</c:v>
                </c:pt>
                <c:pt idx="244">
                  <c:v>7.6896109105283621</c:v>
                </c:pt>
                <c:pt idx="245">
                  <c:v>7.9300080297543385</c:v>
                </c:pt>
                <c:pt idx="246">
                  <c:v>8.1739318355810315</c:v>
                </c:pt>
                <c:pt idx="247">
                  <c:v>8.4212920375058431</c:v>
                </c:pt>
                <c:pt idx="248">
                  <c:v>8.6719978099477064</c:v>
                </c:pt>
                <c:pt idx="249">
                  <c:v>8.9259578516140117</c:v>
                </c:pt>
                <c:pt idx="250">
                  <c:v>9.1830804447577314</c:v>
                </c:pt>
                <c:pt idx="251">
                  <c:v>9.4432735142357327</c:v>
                </c:pt>
                <c:pt idx="252">
                  <c:v>9.7064446862835627</c:v>
                </c:pt>
                <c:pt idx="253">
                  <c:v>9.9725013469259114</c:v>
                </c:pt>
                <c:pt idx="254">
                  <c:v>10.241350699945819</c:v>
                </c:pt>
                <c:pt idx="255">
                  <c:v>10.512899824339232</c:v>
                </c:pt>
                <c:pt idx="256">
                  <c:v>10.787055731185312</c:v>
                </c:pt>
                <c:pt idx="257">
                  <c:v>11.063725419866023</c:v>
                </c:pt>
                <c:pt idx="258">
                  <c:v>11.342815933572156</c:v>
                </c:pt>
                <c:pt idx="259">
                  <c:v>11.624234414036058</c:v>
                </c:pt>
                <c:pt idx="260">
                  <c:v>11.907888155434504</c:v>
                </c:pt>
                <c:pt idx="261">
                  <c:v>12.193684657408443</c:v>
                </c:pt>
                <c:pt idx="262">
                  <c:v>12.481531677149182</c:v>
                </c:pt>
                <c:pt idx="263">
                  <c:v>12.771337280503699</c:v>
                </c:pt>
                <c:pt idx="264">
                  <c:v>13.063009892054859</c:v>
                </c:pt>
                <c:pt idx="265">
                  <c:v>13.356458344134824</c:v>
                </c:pt>
                <c:pt idx="266">
                  <c:v>13.651591924733305</c:v>
                </c:pt>
                <c:pt idx="267">
                  <c:v>13.948320424264573</c:v>
                </c:pt>
                <c:pt idx="268">
                  <c:v>14.246554181160475</c:v>
                </c:pt>
                <c:pt idx="269">
                  <c:v>14.546204126258827</c:v>
                </c:pt>
                <c:pt idx="270">
                  <c:v>14.847181825959725</c:v>
                </c:pt>
                <c:pt idx="271">
                  <c:v>15.149399524124485</c:v>
                </c:pt>
                <c:pt idx="272">
                  <c:v>15.452770182695009</c:v>
                </c:pt>
                <c:pt idx="273">
                  <c:v>15.757207521013237</c:v>
                </c:pt>
                <c:pt idx="274">
                  <c:v>16.062626053823383</c:v>
                </c:pt>
                <c:pt idx="275">
                  <c:v>16.368941127941859</c:v>
                </c:pt>
                <c:pt idx="276">
                  <c:v>16.676068957581858</c:v>
                </c:pt>
                <c:pt idx="277">
                  <c:v>16.983926658322449</c:v>
                </c:pt>
                <c:pt idx="278">
                  <c:v>17.292432279713722</c:v>
                </c:pt>
                <c:pt idx="279">
                  <c:v>17.601504836511999</c:v>
                </c:pt>
                <c:pt idx="280">
                  <c:v>17.911064338541223</c:v>
                </c:pt>
                <c:pt idx="281">
                  <c:v>18.221031819178556</c:v>
                </c:pt>
                <c:pt idx="282">
                  <c:v>18.531329362464412</c:v>
                </c:pt>
                <c:pt idx="283">
                  <c:v>18.841880128838842</c:v>
                </c:pt>
                <c:pt idx="284">
                  <c:v>19.152608379508301</c:v>
                </c:pt>
                <c:pt idx="285">
                  <c:v>19.463439499448409</c:v>
                </c:pt>
                <c:pt idx="286">
                  <c:v>19.774300019050241</c:v>
                </c:pt>
                <c:pt idx="287">
                  <c:v>20.085117634419078</c:v>
                </c:pt>
                <c:pt idx="288">
                  <c:v>20.395821226336526</c:v>
                </c:pt>
                <c:pt idx="289">
                  <c:v>20.70634087789804</c:v>
                </c:pt>
                <c:pt idx="290">
                  <c:v>21.016607890839584</c:v>
                </c:pt>
                <c:pt idx="291">
                  <c:v>21.326554800568413</c:v>
                </c:pt>
                <c:pt idx="292">
                  <c:v>21.636115389914544</c:v>
                </c:pt>
                <c:pt idx="293">
                  <c:v>21.945224701620202</c:v>
                </c:pt>
                <c:pt idx="294">
                  <c:v>22.253819049586301</c:v>
                </c:pt>
                <c:pt idx="295">
                  <c:v>22.561836028895613</c:v>
                </c:pt>
                <c:pt idx="296">
                  <c:v>22.869214524633808</c:v>
                </c:pt>
                <c:pt idx="297">
                  <c:v>23.175894719529989</c:v>
                </c:pt>
                <c:pt idx="298">
                  <c:v>23.481818100439643</c:v>
                </c:pt>
                <c:pt idx="299">
                  <c:v>23.786927463693658</c:v>
                </c:pt>
                <c:pt idx="300">
                  <c:v>24.091166919337649</c:v>
                </c:pt>
                <c:pt idx="301">
                  <c:v>24.394481894286866</c:v>
                </c:pt>
                <c:pt idx="302">
                  <c:v>24.696819134422228</c:v>
                </c:pt>
                <c:pt idx="303">
                  <c:v>24.998126705653952</c:v>
                </c:pt>
                <c:pt idx="304">
                  <c:v>25.298353993979418</c:v>
                </c:pt>
                <c:pt idx="305">
                  <c:v>25.597451704562786</c:v>
                </c:pt>
                <c:pt idx="306">
                  <c:v>25.895371859863676</c:v>
                </c:pt>
                <c:pt idx="307">
                  <c:v>26.19206779684335</c:v>
                </c:pt>
                <c:pt idx="308">
                  <c:v>26.487494163276256</c:v>
                </c:pt>
                <c:pt idx="309">
                  <c:v>26.78160691319578</c:v>
                </c:pt>
                <c:pt idx="310">
                  <c:v>27.074363301502789</c:v>
                </c:pt>
                <c:pt idx="311">
                  <c:v>27.365721877765672</c:v>
                </c:pt>
                <c:pt idx="312">
                  <c:v>27.655642479241024</c:v>
                </c:pt>
                <c:pt idx="313">
                  <c:v>27.944086223143628</c:v>
                </c:pt>
                <c:pt idx="314">
                  <c:v>28.231015498194985</c:v>
                </c:pt>
                <c:pt idx="315">
                  <c:v>28.516393955478858</c:v>
                </c:pt>
                <c:pt idx="316">
                  <c:v>28.800186498632964</c:v>
                </c:pt>
                <c:pt idx="317">
                  <c:v>29.082359273405238</c:v>
                </c:pt>
                <c:pt idx="318">
                  <c:v>29.362879656603159</c:v>
                </c:pt>
                <c:pt idx="319">
                  <c:v>29.641716244464359</c:v>
                </c:pt>
                <c:pt idx="320">
                  <c:v>29.918838840476564</c:v>
                </c:pt>
                <c:pt idx="321">
                  <c:v>30.194218442674515</c:v>
                </c:pt>
                <c:pt idx="322">
                  <c:v>30.467827230441383</c:v>
                </c:pt>
                <c:pt idx="323">
                  <c:v>30.739638550841534</c:v>
                </c:pt>
                <c:pt idx="324">
                  <c:v>31.009626904511581</c:v>
                </c:pt>
                <c:pt idx="325">
                  <c:v>31.277767931135902</c:v>
                </c:pt>
                <c:pt idx="326">
                  <c:v>31.544038394532532</c:v>
                </c:pt>
                <c:pt idx="327">
                  <c:v>31.808416167374975</c:v>
                </c:pt>
                <c:pt idx="328">
                  <c:v>32.070880215574768</c:v>
                </c:pt>
                <c:pt idx="329">
                  <c:v>32.331410582349591</c:v>
                </c:pt>
                <c:pt idx="330">
                  <c:v>32.589988372000647</c:v>
                </c:pt>
                <c:pt idx="331">
                  <c:v>32.846595733423236</c:v>
                </c:pt>
                <c:pt idx="332">
                  <c:v>33.101215843373133</c:v>
                </c:pt>
                <c:pt idx="333">
                  <c:v>33.353832889511629</c:v>
                </c:pt>
                <c:pt idx="334">
                  <c:v>33.604432053250832</c:v>
                </c:pt>
                <c:pt idx="335">
                  <c:v>33.852999492420949</c:v>
                </c:pt>
                <c:pt idx="336">
                  <c:v>34.099522323780157</c:v>
                </c:pt>
                <c:pt idx="337">
                  <c:v>34.343988605387423</c:v>
                </c:pt>
                <c:pt idx="338">
                  <c:v>34.58638731885793</c:v>
                </c:pt>
                <c:pt idx="339">
                  <c:v>34.826708351520232</c:v>
                </c:pt>
                <c:pt idx="340">
                  <c:v>35.064942478493705</c:v>
                </c:pt>
                <c:pt idx="341">
                  <c:v>35.301081344704251</c:v>
                </c:pt>
                <c:pt idx="342">
                  <c:v>35.535117446855509</c:v>
                </c:pt>
                <c:pt idx="343">
                  <c:v>35.767044115372521</c:v>
                </c:pt>
                <c:pt idx="344">
                  <c:v>35.996855496333978</c:v>
                </c:pt>
                <c:pt idx="345">
                  <c:v>36.224546533408677</c:v>
                </c:pt>
                <c:pt idx="346">
                  <c:v>36.450112949811171</c:v>
                </c:pt>
                <c:pt idx="347">
                  <c:v>36.673551230291267</c:v>
                </c:pt>
                <c:pt idx="348">
                  <c:v>36.894858603171059</c:v>
                </c:pt>
                <c:pt idx="349">
                  <c:v>37.114033022442847</c:v>
                </c:pt>
                <c:pt idx="350">
                  <c:v>37.331073149941083</c:v>
                </c:pt>
                <c:pt idx="351">
                  <c:v>37.545978337599863</c:v>
                </c:pt>
                <c:pt idx="352">
                  <c:v>37.758748609808492</c:v>
                </c:pt>
                <c:pt idx="353">
                  <c:v>37.969384645875408</c:v>
                </c:pt>
                <c:pt idx="354">
                  <c:v>38.177887762611803</c:v>
                </c:pt>
                <c:pt idx="355">
                  <c:v>38.384259897044487</c:v>
                </c:pt>
                <c:pt idx="356">
                  <c:v>38.58850358926788</c:v>
                </c:pt>
                <c:pt idx="357">
                  <c:v>38.790621965444146</c:v>
                </c:pt>
                <c:pt idx="358">
                  <c:v>38.990618720959823</c:v>
                </c:pt>
                <c:pt idx="359">
                  <c:v>39.188498103747314</c:v>
                </c:pt>
                <c:pt idx="360">
                  <c:v>39.384264897778749</c:v>
                </c:pt>
                <c:pt idx="361">
                  <c:v>39.577924406739193</c:v>
                </c:pt>
                <c:pt idx="362">
                  <c:v>39.769482437886289</c:v>
                </c:pt>
                <c:pt idx="363">
                  <c:v>39.958945286102086</c:v>
                </c:pt>
                <c:pt idx="364">
                  <c:v>40.146319718143253</c:v>
                </c:pt>
                <c:pt idx="365">
                  <c:v>40.331612957094983</c:v>
                </c:pt>
                <c:pt idx="366">
                  <c:v>40.514832667033318</c:v>
                </c:pt>
                <c:pt idx="367">
                  <c:v>40.695986937901004</c:v>
                </c:pt>
                <c:pt idx="368">
                  <c:v>40.875084270600539</c:v>
                </c:pt>
                <c:pt idx="369">
                  <c:v>41.052133562308583</c:v>
                </c:pt>
                <c:pt idx="370">
                  <c:v>41.227144092014996</c:v>
                </c:pt>
                <c:pt idx="371">
                  <c:v>41.40012550628979</c:v>
                </c:pt>
                <c:pt idx="372">
                  <c:v>41.57108780528069</c:v>
                </c:pt>
                <c:pt idx="373">
                  <c:v>41.740041328943626</c:v>
                </c:pt>
                <c:pt idx="374">
                  <c:v>41.906996743508557</c:v>
                </c:pt>
                <c:pt idx="375">
                  <c:v>42.071965028182071</c:v>
                </c:pt>
                <c:pt idx="376">
                  <c:v>42.234957462088708</c:v>
                </c:pt>
                <c:pt idx="377">
                  <c:v>42.395985611451792</c:v>
                </c:pt>
                <c:pt idx="378">
                  <c:v>42.555061317015266</c:v>
                </c:pt>
                <c:pt idx="379">
                  <c:v>42.712196681706587</c:v>
                </c:pt>
                <c:pt idx="380">
                  <c:v>42.867404058541723</c:v>
                </c:pt>
                <c:pt idx="381">
                  <c:v>43.020696038772186</c:v>
                </c:pt>
                <c:pt idx="382">
                  <c:v>43.172085440273932</c:v>
                </c:pt>
                <c:pt idx="383">
                  <c:v>43.172234687734047</c:v>
                </c:pt>
                <c:pt idx="384">
                  <c:v>43.172383933332249</c:v>
                </c:pt>
                <c:pt idx="385">
                  <c:v>43.172533177068544</c:v>
                </c:pt>
                <c:pt idx="386">
                  <c:v>43.172682418942941</c:v>
                </c:pt>
                <c:pt idx="387">
                  <c:v>43.172831658955481</c:v>
                </c:pt>
                <c:pt idx="388">
                  <c:v>43.172980897106157</c:v>
                </c:pt>
                <c:pt idx="389">
                  <c:v>43.173130133394963</c:v>
                </c:pt>
                <c:pt idx="390">
                  <c:v>43.173279367821955</c:v>
                </c:pt>
                <c:pt idx="391">
                  <c:v>43.173428600387119</c:v>
                </c:pt>
                <c:pt idx="392">
                  <c:v>43.173577831090448</c:v>
                </c:pt>
                <c:pt idx="393">
                  <c:v>43.173727059932006</c:v>
                </c:pt>
                <c:pt idx="394">
                  <c:v>43.173876286911764</c:v>
                </c:pt>
                <c:pt idx="395">
                  <c:v>43.174025512029772</c:v>
                </c:pt>
                <c:pt idx="396">
                  <c:v>43.174174735285987</c:v>
                </c:pt>
                <c:pt idx="397">
                  <c:v>43.174323956680503</c:v>
                </c:pt>
                <c:pt idx="398">
                  <c:v>43.174473176213247</c:v>
                </c:pt>
                <c:pt idx="399">
                  <c:v>43.174622393884277</c:v>
                </c:pt>
                <c:pt idx="400">
                  <c:v>43.174771609693593</c:v>
                </c:pt>
                <c:pt idx="401">
                  <c:v>43.174920823641244</c:v>
                </c:pt>
                <c:pt idx="402">
                  <c:v>43.175070035727181</c:v>
                </c:pt>
                <c:pt idx="403">
                  <c:v>43.175219245951475</c:v>
                </c:pt>
                <c:pt idx="404">
                  <c:v>43.175368454314082</c:v>
                </c:pt>
                <c:pt idx="405">
                  <c:v>43.175517660815075</c:v>
                </c:pt>
                <c:pt idx="406">
                  <c:v>43.175666865454446</c:v>
                </c:pt>
                <c:pt idx="407">
                  <c:v>43.175816068232152</c:v>
                </c:pt>
                <c:pt idx="408">
                  <c:v>43.175965269148307</c:v>
                </c:pt>
                <c:pt idx="409">
                  <c:v>43.17611446820284</c:v>
                </c:pt>
                <c:pt idx="410">
                  <c:v>43.176263665395794</c:v>
                </c:pt>
                <c:pt idx="411">
                  <c:v>43.176412860727183</c:v>
                </c:pt>
                <c:pt idx="412">
                  <c:v>43.176562054197056</c:v>
                </c:pt>
                <c:pt idx="413">
                  <c:v>43.176711245805343</c:v>
                </c:pt>
                <c:pt idx="414">
                  <c:v>43.176860435552129</c:v>
                </c:pt>
                <c:pt idx="415">
                  <c:v>43.177009623437385</c:v>
                </c:pt>
                <c:pt idx="416">
                  <c:v>43.177158809461154</c:v>
                </c:pt>
                <c:pt idx="417">
                  <c:v>43.177307993623423</c:v>
                </c:pt>
                <c:pt idx="418">
                  <c:v>43.177457175924239</c:v>
                </c:pt>
                <c:pt idx="419">
                  <c:v>43.177606356363576</c:v>
                </c:pt>
                <c:pt idx="420">
                  <c:v>43.177755534941468</c:v>
                </c:pt>
                <c:pt idx="421">
                  <c:v>43.177904711657924</c:v>
                </c:pt>
                <c:pt idx="422">
                  <c:v>43.178053886512956</c:v>
                </c:pt>
                <c:pt idx="423">
                  <c:v>43.178203059506579</c:v>
                </c:pt>
                <c:pt idx="424">
                  <c:v>43.178352230638787</c:v>
                </c:pt>
                <c:pt idx="425">
                  <c:v>43.178501399909628</c:v>
                </c:pt>
                <c:pt idx="426">
                  <c:v>43.178650567319117</c:v>
                </c:pt>
                <c:pt idx="427">
                  <c:v>43.178799732867198</c:v>
                </c:pt>
                <c:pt idx="428">
                  <c:v>43.178948896553976</c:v>
                </c:pt>
                <c:pt idx="429">
                  <c:v>43.179098058379424</c:v>
                </c:pt>
                <c:pt idx="430">
                  <c:v>43.179247218343519</c:v>
                </c:pt>
                <c:pt idx="431">
                  <c:v>43.179396376446313</c:v>
                </c:pt>
                <c:pt idx="432">
                  <c:v>43.17954553268784</c:v>
                </c:pt>
                <c:pt idx="433">
                  <c:v>43.179694687068064</c:v>
                </c:pt>
                <c:pt idx="434">
                  <c:v>43.179843839587043</c:v>
                </c:pt>
                <c:pt idx="435">
                  <c:v>43.179992990244742</c:v>
                </c:pt>
                <c:pt idx="436">
                  <c:v>43.180142139041209</c:v>
                </c:pt>
                <c:pt idx="437">
                  <c:v>43.180291285976431</c:v>
                </c:pt>
                <c:pt idx="438">
                  <c:v>43.180440431050471</c:v>
                </c:pt>
                <c:pt idx="439">
                  <c:v>43.18058957426328</c:v>
                </c:pt>
                <c:pt idx="440">
                  <c:v>43.180738715614886</c:v>
                </c:pt>
                <c:pt idx="441">
                  <c:v>43.180887855105347</c:v>
                </c:pt>
                <c:pt idx="442">
                  <c:v>43.181036992734647</c:v>
                </c:pt>
                <c:pt idx="443">
                  <c:v>43.18118612850278</c:v>
                </c:pt>
                <c:pt idx="444">
                  <c:v>43.181335262409767</c:v>
                </c:pt>
                <c:pt idx="445">
                  <c:v>43.181484394455651</c:v>
                </c:pt>
                <c:pt idx="446">
                  <c:v>43.181633524640411</c:v>
                </c:pt>
                <c:pt idx="447">
                  <c:v>43.181782652964074</c:v>
                </c:pt>
                <c:pt idx="448">
                  <c:v>43.181931779426648</c:v>
                </c:pt>
                <c:pt idx="449">
                  <c:v>43.182080904028126</c:v>
                </c:pt>
                <c:pt idx="450">
                  <c:v>43.182230026768572</c:v>
                </c:pt>
                <c:pt idx="451">
                  <c:v>43.182379147647964</c:v>
                </c:pt>
                <c:pt idx="452">
                  <c:v>43.182528266666324</c:v>
                </c:pt>
                <c:pt idx="453">
                  <c:v>43.182677383823666</c:v>
                </c:pt>
                <c:pt idx="454">
                  <c:v>43.182826499119983</c:v>
                </c:pt>
                <c:pt idx="455">
                  <c:v>43.182975612555303</c:v>
                </c:pt>
                <c:pt idx="456">
                  <c:v>43.183124724129648</c:v>
                </c:pt>
                <c:pt idx="457">
                  <c:v>43.183273833843025</c:v>
                </c:pt>
                <c:pt idx="458">
                  <c:v>43.183422941695433</c:v>
                </c:pt>
                <c:pt idx="459">
                  <c:v>43.183572047686894</c:v>
                </c:pt>
                <c:pt idx="460">
                  <c:v>43.183721151817444</c:v>
                </c:pt>
                <c:pt idx="461">
                  <c:v>43.183870254087054</c:v>
                </c:pt>
                <c:pt idx="462">
                  <c:v>43.184019354495788</c:v>
                </c:pt>
                <c:pt idx="463">
                  <c:v>43.184168453043604</c:v>
                </c:pt>
                <c:pt idx="464">
                  <c:v>43.184317549730565</c:v>
                </c:pt>
                <c:pt idx="465">
                  <c:v>43.184466644556636</c:v>
                </c:pt>
                <c:pt idx="466">
                  <c:v>43.184615737521838</c:v>
                </c:pt>
                <c:pt idx="467">
                  <c:v>43.184764828626243</c:v>
                </c:pt>
                <c:pt idx="468">
                  <c:v>43.184913917869792</c:v>
                </c:pt>
                <c:pt idx="469">
                  <c:v>43.185063005252523</c:v>
                </c:pt>
                <c:pt idx="470">
                  <c:v>43.185212090774449</c:v>
                </c:pt>
                <c:pt idx="471">
                  <c:v>43.185361174435599</c:v>
                </c:pt>
                <c:pt idx="472">
                  <c:v>43.185510256235972</c:v>
                </c:pt>
                <c:pt idx="473">
                  <c:v>43.18565933617559</c:v>
                </c:pt>
                <c:pt idx="474">
                  <c:v>43.185808414254446</c:v>
                </c:pt>
                <c:pt idx="475">
                  <c:v>43.185957490472568</c:v>
                </c:pt>
                <c:pt idx="476">
                  <c:v>43.186106564829949</c:v>
                </c:pt>
                <c:pt idx="477">
                  <c:v>43.186255637326646</c:v>
                </c:pt>
                <c:pt idx="478">
                  <c:v>43.186404707962637</c:v>
                </c:pt>
                <c:pt idx="479">
                  <c:v>43.186553776737931</c:v>
                </c:pt>
                <c:pt idx="480">
                  <c:v>43.186702843652562</c:v>
                </c:pt>
                <c:pt idx="481">
                  <c:v>43.186851908706522</c:v>
                </c:pt>
                <c:pt idx="482">
                  <c:v>43.187000971899828</c:v>
                </c:pt>
                <c:pt idx="483">
                  <c:v>43.187150033232513</c:v>
                </c:pt>
                <c:pt idx="484">
                  <c:v>43.187299092704592</c:v>
                </c:pt>
                <c:pt idx="485">
                  <c:v>43.187448150316051</c:v>
                </c:pt>
                <c:pt idx="486">
                  <c:v>43.18759720606689</c:v>
                </c:pt>
                <c:pt idx="487">
                  <c:v>43.18774625995718</c:v>
                </c:pt>
                <c:pt idx="488">
                  <c:v>43.187895311986885</c:v>
                </c:pt>
                <c:pt idx="489">
                  <c:v>43.188044362156035</c:v>
                </c:pt>
                <c:pt idx="490">
                  <c:v>43.188193410464642</c:v>
                </c:pt>
                <c:pt idx="491">
                  <c:v>43.188342456912729</c:v>
                </c:pt>
                <c:pt idx="492">
                  <c:v>43.18849150150028</c:v>
                </c:pt>
                <c:pt idx="493">
                  <c:v>43.188640544227361</c:v>
                </c:pt>
                <c:pt idx="494">
                  <c:v>43.188789585093936</c:v>
                </c:pt>
                <c:pt idx="495">
                  <c:v>43.188938624100032</c:v>
                </c:pt>
                <c:pt idx="496">
                  <c:v>43.189087661245651</c:v>
                </c:pt>
                <c:pt idx="497">
                  <c:v>43.189236696530813</c:v>
                </c:pt>
                <c:pt idx="498">
                  <c:v>43.189385729955561</c:v>
                </c:pt>
                <c:pt idx="499">
                  <c:v>43.189534761519866</c:v>
                </c:pt>
                <c:pt idx="500">
                  <c:v>43.189683791223757</c:v>
                </c:pt>
                <c:pt idx="501">
                  <c:v>43.189832819067249</c:v>
                </c:pt>
                <c:pt idx="502">
                  <c:v>43.189981845050362</c:v>
                </c:pt>
                <c:pt idx="503">
                  <c:v>43.190130869173082</c:v>
                </c:pt>
                <c:pt idx="504">
                  <c:v>43.190279891435424</c:v>
                </c:pt>
                <c:pt idx="505">
                  <c:v>43.190428911837451</c:v>
                </c:pt>
                <c:pt idx="506">
                  <c:v>43.190577930379135</c:v>
                </c:pt>
                <c:pt idx="507">
                  <c:v>43.190726947060497</c:v>
                </c:pt>
                <c:pt idx="508">
                  <c:v>43.190875961881545</c:v>
                </c:pt>
                <c:pt idx="509">
                  <c:v>43.191024974842279</c:v>
                </c:pt>
                <c:pt idx="510">
                  <c:v>43.191173985942775</c:v>
                </c:pt>
                <c:pt idx="511">
                  <c:v>43.191322995182958</c:v>
                </c:pt>
                <c:pt idx="512">
                  <c:v>43.19147200256289</c:v>
                </c:pt>
                <c:pt idx="513">
                  <c:v>43.191621008082578</c:v>
                </c:pt>
                <c:pt idx="514">
                  <c:v>43.19177001174203</c:v>
                </c:pt>
                <c:pt idx="515">
                  <c:v>43.19191901354128</c:v>
                </c:pt>
                <c:pt idx="516">
                  <c:v>43.192068013480309</c:v>
                </c:pt>
                <c:pt idx="517">
                  <c:v>43.19221701155913</c:v>
                </c:pt>
                <c:pt idx="518">
                  <c:v>43.192366007777814</c:v>
                </c:pt>
                <c:pt idx="519">
                  <c:v>43.192515002136297</c:v>
                </c:pt>
                <c:pt idx="520">
                  <c:v>43.192663994634628</c:v>
                </c:pt>
                <c:pt idx="521">
                  <c:v>43.192812985272809</c:v>
                </c:pt>
                <c:pt idx="522">
                  <c:v>43.192961974050888</c:v>
                </c:pt>
                <c:pt idx="523">
                  <c:v>43.193110960968838</c:v>
                </c:pt>
                <c:pt idx="524">
                  <c:v>43.193259946026686</c:v>
                </c:pt>
                <c:pt idx="525">
                  <c:v>43.193408929224447</c:v>
                </c:pt>
                <c:pt idx="526">
                  <c:v>43.193557910562106</c:v>
                </c:pt>
                <c:pt idx="527">
                  <c:v>43.193706890039721</c:v>
                </c:pt>
                <c:pt idx="528">
                  <c:v>43.193855867657305</c:v>
                </c:pt>
                <c:pt idx="529">
                  <c:v>43.194004843414831</c:v>
                </c:pt>
                <c:pt idx="530">
                  <c:v>43.194153817312312</c:v>
                </c:pt>
                <c:pt idx="531">
                  <c:v>43.194302789349798</c:v>
                </c:pt>
                <c:pt idx="532">
                  <c:v>43.194451759527311</c:v>
                </c:pt>
                <c:pt idx="533">
                  <c:v>43.194600727844801</c:v>
                </c:pt>
                <c:pt idx="534">
                  <c:v>43.194749694302338</c:v>
                </c:pt>
                <c:pt idx="535">
                  <c:v>43.194898658899902</c:v>
                </c:pt>
                <c:pt idx="536">
                  <c:v>43.195047621637535</c:v>
                </c:pt>
                <c:pt idx="537">
                  <c:v>43.195196582515202</c:v>
                </c:pt>
                <c:pt idx="538">
                  <c:v>43.195345541532959</c:v>
                </c:pt>
                <c:pt idx="539">
                  <c:v>43.19549449869082</c:v>
                </c:pt>
                <c:pt idx="540">
                  <c:v>43.195643453988765</c:v>
                </c:pt>
                <c:pt idx="541">
                  <c:v>43.19579240742685</c:v>
                </c:pt>
                <c:pt idx="542">
                  <c:v>43.19594135900504</c:v>
                </c:pt>
                <c:pt idx="543">
                  <c:v>43.196090308723392</c:v>
                </c:pt>
                <c:pt idx="544">
                  <c:v>43.196239256581897</c:v>
                </c:pt>
                <c:pt idx="545">
                  <c:v>43.19638820258055</c:v>
                </c:pt>
                <c:pt idx="546">
                  <c:v>43.196537146719415</c:v>
                </c:pt>
                <c:pt idx="547">
                  <c:v>43.196686088998462</c:v>
                </c:pt>
                <c:pt idx="548">
                  <c:v>43.196835029417713</c:v>
                </c:pt>
                <c:pt idx="549">
                  <c:v>43.196983967977175</c:v>
                </c:pt>
                <c:pt idx="550">
                  <c:v>43.197132904676906</c:v>
                </c:pt>
                <c:pt idx="551">
                  <c:v>43.197281839516862</c:v>
                </c:pt>
                <c:pt idx="552">
                  <c:v>43.197430772497079</c:v>
                </c:pt>
                <c:pt idx="553">
                  <c:v>43.197579703617585</c:v>
                </c:pt>
                <c:pt idx="554">
                  <c:v>43.197728632878359</c:v>
                </c:pt>
                <c:pt idx="555">
                  <c:v>43.197877560279437</c:v>
                </c:pt>
                <c:pt idx="556">
                  <c:v>43.198026485820833</c:v>
                </c:pt>
                <c:pt idx="557">
                  <c:v>43.198175409502532</c:v>
                </c:pt>
                <c:pt idx="558">
                  <c:v>43.198324331324585</c:v>
                </c:pt>
                <c:pt idx="559">
                  <c:v>43.198473251286991</c:v>
                </c:pt>
                <c:pt idx="560">
                  <c:v>43.198622169389758</c:v>
                </c:pt>
                <c:pt idx="561">
                  <c:v>43.198771085632885</c:v>
                </c:pt>
                <c:pt idx="562">
                  <c:v>43.198920000016415</c:v>
                </c:pt>
                <c:pt idx="563">
                  <c:v>43.199068912540362</c:v>
                </c:pt>
                <c:pt idx="564">
                  <c:v>43.199217823204712</c:v>
                </c:pt>
                <c:pt idx="565">
                  <c:v>43.19936673200948</c:v>
                </c:pt>
                <c:pt idx="566">
                  <c:v>43.199515638954686</c:v>
                </c:pt>
                <c:pt idx="567">
                  <c:v>43.199664544040353</c:v>
                </c:pt>
                <c:pt idx="568">
                  <c:v>43.199813447266479</c:v>
                </c:pt>
                <c:pt idx="569">
                  <c:v>43.1999623486331</c:v>
                </c:pt>
                <c:pt idx="570">
                  <c:v>43.200111248140196</c:v>
                </c:pt>
                <c:pt idx="571">
                  <c:v>43.20026014578783</c:v>
                </c:pt>
                <c:pt idx="572">
                  <c:v>43.200409041575952</c:v>
                </c:pt>
                <c:pt idx="573">
                  <c:v>43.200557935504612</c:v>
                </c:pt>
                <c:pt idx="574">
                  <c:v>43.200706827573825</c:v>
                </c:pt>
                <c:pt idx="575">
                  <c:v>43.200855717783575</c:v>
                </c:pt>
                <c:pt idx="576">
                  <c:v>43.201004606133914</c:v>
                </c:pt>
                <c:pt idx="577">
                  <c:v>43.20115349262484</c:v>
                </c:pt>
                <c:pt idx="578">
                  <c:v>43.201302377256354</c:v>
                </c:pt>
                <c:pt idx="579">
                  <c:v>43.201451260028506</c:v>
                </c:pt>
                <c:pt idx="580">
                  <c:v>43.20160014094126</c:v>
                </c:pt>
                <c:pt idx="581">
                  <c:v>43.201749019994615</c:v>
                </c:pt>
                <c:pt idx="582">
                  <c:v>43.201897897188658</c:v>
                </c:pt>
                <c:pt idx="583">
                  <c:v>43.202046772523367</c:v>
                </c:pt>
                <c:pt idx="584">
                  <c:v>43.202195645998749</c:v>
                </c:pt>
                <c:pt idx="585">
                  <c:v>43.202344517614797</c:v>
                </c:pt>
                <c:pt idx="586">
                  <c:v>43.202493387371575</c:v>
                </c:pt>
                <c:pt idx="587">
                  <c:v>43.202642255269048</c:v>
                </c:pt>
                <c:pt idx="588">
                  <c:v>43.202791121307243</c:v>
                </c:pt>
                <c:pt idx="589">
                  <c:v>43.202939985486175</c:v>
                </c:pt>
                <c:pt idx="590">
                  <c:v>43.203088847805866</c:v>
                </c:pt>
                <c:pt idx="591">
                  <c:v>43.203237708266322</c:v>
                </c:pt>
                <c:pt idx="592">
                  <c:v>43.203386566867557</c:v>
                </c:pt>
                <c:pt idx="593">
                  <c:v>43.203535423609587</c:v>
                </c:pt>
                <c:pt idx="594">
                  <c:v>43.203684278492425</c:v>
                </c:pt>
                <c:pt idx="595">
                  <c:v>43.203833131516049</c:v>
                </c:pt>
                <c:pt idx="596">
                  <c:v>43.203981982680517</c:v>
                </c:pt>
                <c:pt idx="597">
                  <c:v>43.204130831985836</c:v>
                </c:pt>
                <c:pt idx="598">
                  <c:v>43.20427967943202</c:v>
                </c:pt>
                <c:pt idx="599">
                  <c:v>43.204428525019061</c:v>
                </c:pt>
                <c:pt idx="600">
                  <c:v>43.204577368746996</c:v>
                </c:pt>
                <c:pt idx="601">
                  <c:v>43.204726210615796</c:v>
                </c:pt>
                <c:pt idx="602">
                  <c:v>43.204875050625539</c:v>
                </c:pt>
                <c:pt idx="603">
                  <c:v>43.205023888776168</c:v>
                </c:pt>
                <c:pt idx="604">
                  <c:v>43.205172725067769</c:v>
                </c:pt>
                <c:pt idx="605">
                  <c:v>43.205321559500291</c:v>
                </c:pt>
                <c:pt idx="606">
                  <c:v>43.205470392073778</c:v>
                </c:pt>
                <c:pt idx="607">
                  <c:v>43.205619222788236</c:v>
                </c:pt>
                <c:pt idx="608">
                  <c:v>43.20576805164368</c:v>
                </c:pt>
                <c:pt idx="609">
                  <c:v>43.205916878640132</c:v>
                </c:pt>
                <c:pt idx="610">
                  <c:v>43.206065703777597</c:v>
                </c:pt>
                <c:pt idx="611">
                  <c:v>43.206214527056062</c:v>
                </c:pt>
                <c:pt idx="612">
                  <c:v>43.206363348475584</c:v>
                </c:pt>
                <c:pt idx="613">
                  <c:v>43.206512168036149</c:v>
                </c:pt>
                <c:pt idx="614">
                  <c:v>43.206660985737784</c:v>
                </c:pt>
                <c:pt idx="615">
                  <c:v>43.206809801580498</c:v>
                </c:pt>
                <c:pt idx="616">
                  <c:v>43.20695861556429</c:v>
                </c:pt>
                <c:pt idx="617">
                  <c:v>43.207107427689202</c:v>
                </c:pt>
                <c:pt idx="618">
                  <c:v>43.207256237955214</c:v>
                </c:pt>
                <c:pt idx="619">
                  <c:v>43.207405046362339</c:v>
                </c:pt>
                <c:pt idx="620">
                  <c:v>43.207553852910635</c:v>
                </c:pt>
                <c:pt idx="621">
                  <c:v>43.20770265760008</c:v>
                </c:pt>
                <c:pt idx="622">
                  <c:v>43.207851460430682</c:v>
                </c:pt>
                <c:pt idx="623">
                  <c:v>43.208000261402461</c:v>
                </c:pt>
                <c:pt idx="624">
                  <c:v>43.208149060515446</c:v>
                </c:pt>
                <c:pt idx="625">
                  <c:v>43.20829785776963</c:v>
                </c:pt>
                <c:pt idx="626">
                  <c:v>43.208446653165026</c:v>
                </c:pt>
                <c:pt idx="627">
                  <c:v>43.208595446701672</c:v>
                </c:pt>
                <c:pt idx="628">
                  <c:v>43.208744238379559</c:v>
                </c:pt>
                <c:pt idx="629">
                  <c:v>43.208893028198688</c:v>
                </c:pt>
                <c:pt idx="630">
                  <c:v>43.209041816159086</c:v>
                </c:pt>
                <c:pt idx="631">
                  <c:v>43.20919060226079</c:v>
                </c:pt>
                <c:pt idx="632">
                  <c:v>43.209339386503785</c:v>
                </c:pt>
                <c:pt idx="633">
                  <c:v>43.209488168888079</c:v>
                </c:pt>
                <c:pt idx="634">
                  <c:v>43.209636949413714</c:v>
                </c:pt>
                <c:pt idx="635">
                  <c:v>43.209785728080668</c:v>
                </c:pt>
                <c:pt idx="636">
                  <c:v>43.209934504888963</c:v>
                </c:pt>
                <c:pt idx="637">
                  <c:v>43.210083279838649</c:v>
                </c:pt>
                <c:pt idx="638">
                  <c:v>43.210232052929676</c:v>
                </c:pt>
                <c:pt idx="639">
                  <c:v>43.210380824162144</c:v>
                </c:pt>
                <c:pt idx="640">
                  <c:v>43.210529593535973</c:v>
                </c:pt>
                <c:pt idx="641">
                  <c:v>43.210678361051208</c:v>
                </c:pt>
                <c:pt idx="642">
                  <c:v>43.210827126707876</c:v>
                </c:pt>
                <c:pt idx="643">
                  <c:v>43.210975890505978</c:v>
                </c:pt>
                <c:pt idx="644">
                  <c:v>43.211124652445555</c:v>
                </c:pt>
                <c:pt idx="645">
                  <c:v>43.211273412526573</c:v>
                </c:pt>
                <c:pt idx="646">
                  <c:v>43.211422170749074</c:v>
                </c:pt>
                <c:pt idx="647">
                  <c:v>43.211570927113073</c:v>
                </c:pt>
                <c:pt idx="648">
                  <c:v>43.211719681618582</c:v>
                </c:pt>
                <c:pt idx="649">
                  <c:v>43.211868434265597</c:v>
                </c:pt>
                <c:pt idx="650">
                  <c:v>43.212017185054151</c:v>
                </c:pt>
                <c:pt idx="651">
                  <c:v>43.212165933984252</c:v>
                </c:pt>
                <c:pt idx="652">
                  <c:v>43.212314681055901</c:v>
                </c:pt>
                <c:pt idx="653">
                  <c:v>43.21246342626911</c:v>
                </c:pt>
                <c:pt idx="654">
                  <c:v>43.212612169623917</c:v>
                </c:pt>
                <c:pt idx="655">
                  <c:v>43.212760911120313</c:v>
                </c:pt>
                <c:pt idx="656">
                  <c:v>43.212909650758313</c:v>
                </c:pt>
                <c:pt idx="657">
                  <c:v>43.213058388537945</c:v>
                </c:pt>
                <c:pt idx="658">
                  <c:v>43.213207124459203</c:v>
                </c:pt>
                <c:pt idx="659">
                  <c:v>43.213355858522107</c:v>
                </c:pt>
                <c:pt idx="660">
                  <c:v>43.213504590726679</c:v>
                </c:pt>
                <c:pt idx="661">
                  <c:v>43.213653321072933</c:v>
                </c:pt>
                <c:pt idx="662">
                  <c:v>43.213802049560833</c:v>
                </c:pt>
                <c:pt idx="663">
                  <c:v>43.21395077619048</c:v>
                </c:pt>
                <c:pt idx="664">
                  <c:v>43.214099500961801</c:v>
                </c:pt>
                <c:pt idx="665">
                  <c:v>43.214248223874876</c:v>
                </c:pt>
                <c:pt idx="666">
                  <c:v>43.214396944929675</c:v>
                </c:pt>
                <c:pt idx="667">
                  <c:v>43.214545664126234</c:v>
                </c:pt>
                <c:pt idx="668">
                  <c:v>43.214694381464533</c:v>
                </c:pt>
                <c:pt idx="669">
                  <c:v>43.214843096944634</c:v>
                </c:pt>
                <c:pt idx="670">
                  <c:v>43.214991810566531</c:v>
                </c:pt>
                <c:pt idx="671">
                  <c:v>43.215140522330195</c:v>
                </c:pt>
                <c:pt idx="672">
                  <c:v>43.215289232235698</c:v>
                </c:pt>
                <c:pt idx="673">
                  <c:v>43.215437940283046</c:v>
                </c:pt>
                <c:pt idx="674">
                  <c:v>43.215586646472218</c:v>
                </c:pt>
                <c:pt idx="675">
                  <c:v>43.215735350803264</c:v>
                </c:pt>
                <c:pt idx="676">
                  <c:v>43.215884053276135</c:v>
                </c:pt>
                <c:pt idx="677">
                  <c:v>43.216032753890914</c:v>
                </c:pt>
                <c:pt idx="678">
                  <c:v>43.216181452647589</c:v>
                </c:pt>
                <c:pt idx="679">
                  <c:v>43.216330149546181</c:v>
                </c:pt>
                <c:pt idx="680">
                  <c:v>43.216478844586668</c:v>
                </c:pt>
                <c:pt idx="681">
                  <c:v>43.216627537769106</c:v>
                </c:pt>
                <c:pt idx="682">
                  <c:v>43.216776229093469</c:v>
                </c:pt>
                <c:pt idx="683">
                  <c:v>43.216924918559805</c:v>
                </c:pt>
                <c:pt idx="684">
                  <c:v>43.2170736061681</c:v>
                </c:pt>
                <c:pt idx="685">
                  <c:v>43.217222291918397</c:v>
                </c:pt>
                <c:pt idx="686">
                  <c:v>43.217370975810695</c:v>
                </c:pt>
                <c:pt idx="687">
                  <c:v>43.217519657844989</c:v>
                </c:pt>
                <c:pt idx="688">
                  <c:v>43.217668338021319</c:v>
                </c:pt>
                <c:pt idx="689">
                  <c:v>43.217817016339666</c:v>
                </c:pt>
                <c:pt idx="690">
                  <c:v>43.217965692800071</c:v>
                </c:pt>
                <c:pt idx="691">
                  <c:v>43.218114367402549</c:v>
                </c:pt>
                <c:pt idx="692">
                  <c:v>43.218263040147086</c:v>
                </c:pt>
                <c:pt idx="693">
                  <c:v>43.218411711033717</c:v>
                </c:pt>
                <c:pt idx="694">
                  <c:v>43.218560380062463</c:v>
                </c:pt>
                <c:pt idx="695">
                  <c:v>43.21870904723329</c:v>
                </c:pt>
                <c:pt idx="696">
                  <c:v>43.218857712546281</c:v>
                </c:pt>
                <c:pt idx="697">
                  <c:v>43.21900637600141</c:v>
                </c:pt>
                <c:pt idx="698">
                  <c:v>43.219155037598654</c:v>
                </c:pt>
                <c:pt idx="699">
                  <c:v>43.219303697338113</c:v>
                </c:pt>
                <c:pt idx="700">
                  <c:v>43.219452355219715</c:v>
                </c:pt>
                <c:pt idx="701">
                  <c:v>43.219601011243526</c:v>
                </c:pt>
                <c:pt idx="702">
                  <c:v>43.21974966540953</c:v>
                </c:pt>
                <c:pt idx="703">
                  <c:v>43.219898317717764</c:v>
                </c:pt>
                <c:pt idx="704">
                  <c:v>43.220046968168212</c:v>
                </c:pt>
                <c:pt idx="705">
                  <c:v>43.22019561676094</c:v>
                </c:pt>
                <c:pt idx="706">
                  <c:v>43.220344263495903</c:v>
                </c:pt>
                <c:pt idx="707">
                  <c:v>43.220492908373124</c:v>
                </c:pt>
                <c:pt idx="708">
                  <c:v>43.220641551392667</c:v>
                </c:pt>
                <c:pt idx="709">
                  <c:v>43.220790192554482</c:v>
                </c:pt>
                <c:pt idx="710">
                  <c:v>43.220938831858604</c:v>
                </c:pt>
                <c:pt idx="711">
                  <c:v>43.221087469305047</c:v>
                </c:pt>
                <c:pt idx="712">
                  <c:v>43.221236104893826</c:v>
                </c:pt>
                <c:pt idx="713">
                  <c:v>43.22138473862497</c:v>
                </c:pt>
                <c:pt idx="714">
                  <c:v>43.221533370498463</c:v>
                </c:pt>
                <c:pt idx="715">
                  <c:v>43.221682000514313</c:v>
                </c:pt>
                <c:pt idx="716">
                  <c:v>43.221830628672578</c:v>
                </c:pt>
                <c:pt idx="717">
                  <c:v>43.221979254973228</c:v>
                </c:pt>
                <c:pt idx="718">
                  <c:v>43.222127879416291</c:v>
                </c:pt>
                <c:pt idx="719">
                  <c:v>43.222276502001797</c:v>
                </c:pt>
                <c:pt idx="720">
                  <c:v>43.222425122729724</c:v>
                </c:pt>
                <c:pt idx="721">
                  <c:v>43.222573741600094</c:v>
                </c:pt>
                <c:pt idx="722">
                  <c:v>43.222722358612934</c:v>
                </c:pt>
                <c:pt idx="723">
                  <c:v>43.222870973768281</c:v>
                </c:pt>
                <c:pt idx="724">
                  <c:v>43.223019587066098</c:v>
                </c:pt>
                <c:pt idx="725">
                  <c:v>43.223168198506428</c:v>
                </c:pt>
                <c:pt idx="726">
                  <c:v>43.223316808089265</c:v>
                </c:pt>
                <c:pt idx="727">
                  <c:v>43.22346541581463</c:v>
                </c:pt>
                <c:pt idx="728">
                  <c:v>43.223614021682543</c:v>
                </c:pt>
                <c:pt idx="729">
                  <c:v>43.223762625693013</c:v>
                </c:pt>
                <c:pt idx="730">
                  <c:v>43.223911227846045</c:v>
                </c:pt>
                <c:pt idx="731">
                  <c:v>43.224059828141691</c:v>
                </c:pt>
                <c:pt idx="732">
                  <c:v>43.224208426579899</c:v>
                </c:pt>
                <c:pt idx="733">
                  <c:v>43.224357023160721</c:v>
                </c:pt>
                <c:pt idx="734">
                  <c:v>43.224505617884155</c:v>
                </c:pt>
                <c:pt idx="735">
                  <c:v>43.224654210750217</c:v>
                </c:pt>
                <c:pt idx="736">
                  <c:v>43.224802801758962</c:v>
                </c:pt>
                <c:pt idx="737">
                  <c:v>43.224951390910341</c:v>
                </c:pt>
                <c:pt idx="738">
                  <c:v>43.225099978204391</c:v>
                </c:pt>
                <c:pt idx="739">
                  <c:v>43.225248563641152</c:v>
                </c:pt>
                <c:pt idx="740">
                  <c:v>43.225397147220576</c:v>
                </c:pt>
                <c:pt idx="741">
                  <c:v>43.225545728942748</c:v>
                </c:pt>
                <c:pt idx="742">
                  <c:v>43.225694308807647</c:v>
                </c:pt>
                <c:pt idx="743">
                  <c:v>43.225842886815251</c:v>
                </c:pt>
                <c:pt idx="744">
                  <c:v>43.225991462965617</c:v>
                </c:pt>
                <c:pt idx="745">
                  <c:v>43.22614003725873</c:v>
                </c:pt>
                <c:pt idx="746">
                  <c:v>43.226288609694649</c:v>
                </c:pt>
                <c:pt idx="747">
                  <c:v>43.226437180273365</c:v>
                </c:pt>
                <c:pt idx="748">
                  <c:v>43.22658574899485</c:v>
                </c:pt>
                <c:pt idx="749">
                  <c:v>43.226734315859176</c:v>
                </c:pt>
                <c:pt idx="750">
                  <c:v>43.226882880866327</c:v>
                </c:pt>
                <c:pt idx="751">
                  <c:v>43.227031444016319</c:v>
                </c:pt>
                <c:pt idx="752">
                  <c:v>43.227180005309151</c:v>
                </c:pt>
                <c:pt idx="753">
                  <c:v>43.227328564744852</c:v>
                </c:pt>
                <c:pt idx="754">
                  <c:v>43.22747712232345</c:v>
                </c:pt>
                <c:pt idx="755">
                  <c:v>43.22762567804493</c:v>
                </c:pt>
                <c:pt idx="756">
                  <c:v>43.227774231909322</c:v>
                </c:pt>
                <c:pt idx="757">
                  <c:v>43.22792278391664</c:v>
                </c:pt>
                <c:pt idx="758">
                  <c:v>43.228071334066868</c:v>
                </c:pt>
                <c:pt idx="759">
                  <c:v>43.228219882360079</c:v>
                </c:pt>
                <c:pt idx="760">
                  <c:v>43.228368428796244</c:v>
                </c:pt>
                <c:pt idx="761">
                  <c:v>43.228516973375356</c:v>
                </c:pt>
                <c:pt idx="762">
                  <c:v>43.228665516097472</c:v>
                </c:pt>
                <c:pt idx="763">
                  <c:v>43.22881405696257</c:v>
                </c:pt>
                <c:pt idx="764">
                  <c:v>43.228962595970664</c:v>
                </c:pt>
                <c:pt idx="765">
                  <c:v>43.229111133121805</c:v>
                </c:pt>
                <c:pt idx="766">
                  <c:v>43.229259668415992</c:v>
                </c:pt>
                <c:pt idx="767">
                  <c:v>43.229408201853211</c:v>
                </c:pt>
                <c:pt idx="768">
                  <c:v>43.229556733433512</c:v>
                </c:pt>
                <c:pt idx="769">
                  <c:v>43.229705263156873</c:v>
                </c:pt>
                <c:pt idx="770">
                  <c:v>43.229853791023324</c:v>
                </c:pt>
                <c:pt idx="771">
                  <c:v>43.23000231703287</c:v>
                </c:pt>
                <c:pt idx="772">
                  <c:v>43.230150841185548</c:v>
                </c:pt>
                <c:pt idx="773">
                  <c:v>43.23029936348135</c:v>
                </c:pt>
                <c:pt idx="774">
                  <c:v>43.230447883920291</c:v>
                </c:pt>
                <c:pt idx="775">
                  <c:v>43.230596402502371</c:v>
                </c:pt>
                <c:pt idx="776">
                  <c:v>43.230744919227639</c:v>
                </c:pt>
                <c:pt idx="777">
                  <c:v>43.230893434096096</c:v>
                </c:pt>
                <c:pt idx="778">
                  <c:v>43.231041947107713</c:v>
                </c:pt>
                <c:pt idx="779">
                  <c:v>43.231190458262553</c:v>
                </c:pt>
                <c:pt idx="780">
                  <c:v>43.231338967560617</c:v>
                </c:pt>
                <c:pt idx="781">
                  <c:v>43.231487475001899</c:v>
                </c:pt>
                <c:pt idx="782">
                  <c:v>43.231635980586447</c:v>
                </c:pt>
                <c:pt idx="783">
                  <c:v>43.231784484314218</c:v>
                </c:pt>
                <c:pt idx="784">
                  <c:v>43.231932986185278</c:v>
                </c:pt>
                <c:pt idx="785">
                  <c:v>43.23208148619964</c:v>
                </c:pt>
                <c:pt idx="786">
                  <c:v>43.232229984357296</c:v>
                </c:pt>
                <c:pt idx="787">
                  <c:v>43.232378480658234</c:v>
                </c:pt>
                <c:pt idx="788">
                  <c:v>43.23252697510253</c:v>
                </c:pt>
                <c:pt idx="789">
                  <c:v>43.232675467690122</c:v>
                </c:pt>
                <c:pt idx="790">
                  <c:v>43.232823958421079</c:v>
                </c:pt>
                <c:pt idx="791">
                  <c:v>43.232972447295417</c:v>
                </c:pt>
                <c:pt idx="792">
                  <c:v>43.233120934313099</c:v>
                </c:pt>
                <c:pt idx="793">
                  <c:v>43.23326941947419</c:v>
                </c:pt>
                <c:pt idx="794">
                  <c:v>43.233417902778676</c:v>
                </c:pt>
                <c:pt idx="795">
                  <c:v>43.233566384226577</c:v>
                </c:pt>
                <c:pt idx="796">
                  <c:v>43.233714863817902</c:v>
                </c:pt>
                <c:pt idx="797">
                  <c:v>43.233863341552663</c:v>
                </c:pt>
                <c:pt idx="798">
                  <c:v>43.234011817430883</c:v>
                </c:pt>
                <c:pt idx="799">
                  <c:v>43.234160291452575</c:v>
                </c:pt>
                <c:pt idx="800">
                  <c:v>43.234308763617733</c:v>
                </c:pt>
                <c:pt idx="801">
                  <c:v>43.234457233926378</c:v>
                </c:pt>
                <c:pt idx="802">
                  <c:v>43.234605702378538</c:v>
                </c:pt>
                <c:pt idx="803">
                  <c:v>43.234754168974206</c:v>
                </c:pt>
                <c:pt idx="804">
                  <c:v>43.234902633713418</c:v>
                </c:pt>
                <c:pt idx="805">
                  <c:v>43.23505109659618</c:v>
                </c:pt>
                <c:pt idx="806">
                  <c:v>43.235199557622494</c:v>
                </c:pt>
                <c:pt idx="807">
                  <c:v>43.235348016792365</c:v>
                </c:pt>
                <c:pt idx="808">
                  <c:v>43.235496474105851</c:v>
                </c:pt>
                <c:pt idx="809">
                  <c:v>43.235644929562909</c:v>
                </c:pt>
                <c:pt idx="810">
                  <c:v>43.235793383163582</c:v>
                </c:pt>
                <c:pt idx="811">
                  <c:v>43.235941834907862</c:v>
                </c:pt>
                <c:pt idx="812">
                  <c:v>43.236090284795765</c:v>
                </c:pt>
                <c:pt idx="813">
                  <c:v>43.236238732827346</c:v>
                </c:pt>
                <c:pt idx="814">
                  <c:v>43.236387179002591</c:v>
                </c:pt>
                <c:pt idx="815">
                  <c:v>43.236535623321487</c:v>
                </c:pt>
                <c:pt idx="816">
                  <c:v>43.23668406578409</c:v>
                </c:pt>
                <c:pt idx="817">
                  <c:v>43.236832506390371</c:v>
                </c:pt>
                <c:pt idx="818">
                  <c:v>43.236980945140395</c:v>
                </c:pt>
                <c:pt idx="819">
                  <c:v>43.237129382034105</c:v>
                </c:pt>
                <c:pt idx="820">
                  <c:v>43.237277817071572</c:v>
                </c:pt>
                <c:pt idx="821">
                  <c:v>43.237426250252796</c:v>
                </c:pt>
                <c:pt idx="822">
                  <c:v>43.23757468157779</c:v>
                </c:pt>
                <c:pt idx="823">
                  <c:v>43.237723111046549</c:v>
                </c:pt>
                <c:pt idx="824">
                  <c:v>43.2378715386591</c:v>
                </c:pt>
                <c:pt idx="825">
                  <c:v>43.238019964415457</c:v>
                </c:pt>
                <c:pt idx="826">
                  <c:v>43.238168388315643</c:v>
                </c:pt>
                <c:pt idx="827">
                  <c:v>43.238316810359656</c:v>
                </c:pt>
                <c:pt idx="828">
                  <c:v>43.238465230547497</c:v>
                </c:pt>
                <c:pt idx="829">
                  <c:v>43.238613648879202</c:v>
                </c:pt>
                <c:pt idx="830">
                  <c:v>43.238762065354784</c:v>
                </c:pt>
                <c:pt idx="831">
                  <c:v>43.23891047997423</c:v>
                </c:pt>
                <c:pt idx="832">
                  <c:v>43.239058892737596</c:v>
                </c:pt>
                <c:pt idx="833">
                  <c:v>43.239207303644854</c:v>
                </c:pt>
                <c:pt idx="834">
                  <c:v>43.239355712696053</c:v>
                </c:pt>
                <c:pt idx="835">
                  <c:v>43.239504119891166</c:v>
                </c:pt>
                <c:pt idx="836">
                  <c:v>43.23965252523022</c:v>
                </c:pt>
                <c:pt idx="837">
                  <c:v>43.239800928713258</c:v>
                </c:pt>
                <c:pt idx="838">
                  <c:v>43.239949330340238</c:v>
                </c:pt>
                <c:pt idx="839">
                  <c:v>43.240097730111238</c:v>
                </c:pt>
                <c:pt idx="840">
                  <c:v>43.240246128026222</c:v>
                </c:pt>
                <c:pt idx="841">
                  <c:v>43.240394524085211</c:v>
                </c:pt>
                <c:pt idx="842">
                  <c:v>43.24054291828822</c:v>
                </c:pt>
                <c:pt idx="843">
                  <c:v>43.240691310635285</c:v>
                </c:pt>
                <c:pt idx="844">
                  <c:v>43.240839701126383</c:v>
                </c:pt>
                <c:pt idx="845">
                  <c:v>43.240988089761565</c:v>
                </c:pt>
                <c:pt idx="846">
                  <c:v>43.241136476540809</c:v>
                </c:pt>
                <c:pt idx="847">
                  <c:v>43.241284861464145</c:v>
                </c:pt>
                <c:pt idx="848">
                  <c:v>43.241433244531578</c:v>
                </c:pt>
                <c:pt idx="849">
                  <c:v>43.241581625743152</c:v>
                </c:pt>
                <c:pt idx="850">
                  <c:v>43.241730005098837</c:v>
                </c:pt>
                <c:pt idx="851">
                  <c:v>43.241878382598671</c:v>
                </c:pt>
                <c:pt idx="852">
                  <c:v>43.242026758242659</c:v>
                </c:pt>
                <c:pt idx="853">
                  <c:v>43.242175132030816</c:v>
                </c:pt>
                <c:pt idx="854">
                  <c:v>43.242323503963149</c:v>
                </c:pt>
                <c:pt idx="855">
                  <c:v>43.242471874039694</c:v>
                </c:pt>
                <c:pt idx="856">
                  <c:v>43.242620242260422</c:v>
                </c:pt>
                <c:pt idx="857">
                  <c:v>43.242768608625383</c:v>
                </c:pt>
                <c:pt idx="858">
                  <c:v>43.242916973134577</c:v>
                </c:pt>
                <c:pt idx="859">
                  <c:v>43.24306533578801</c:v>
                </c:pt>
                <c:pt idx="860">
                  <c:v>43.243213696585698</c:v>
                </c:pt>
                <c:pt idx="861">
                  <c:v>43.243362055527669</c:v>
                </c:pt>
                <c:pt idx="862">
                  <c:v>43.243510412613929</c:v>
                </c:pt>
                <c:pt idx="863">
                  <c:v>43.243658767844487</c:v>
                </c:pt>
                <c:pt idx="864">
                  <c:v>43.243807121219355</c:v>
                </c:pt>
                <c:pt idx="865">
                  <c:v>43.243955472738541</c:v>
                </c:pt>
                <c:pt idx="866">
                  <c:v>43.244103822402053</c:v>
                </c:pt>
                <c:pt idx="867">
                  <c:v>43.244252170209933</c:v>
                </c:pt>
                <c:pt idx="868">
                  <c:v>43.24440051616218</c:v>
                </c:pt>
                <c:pt idx="869">
                  <c:v>43.244548860258817</c:v>
                </c:pt>
                <c:pt idx="870">
                  <c:v>43.244697202499836</c:v>
                </c:pt>
                <c:pt idx="871">
                  <c:v>43.244845542885244</c:v>
                </c:pt>
                <c:pt idx="872">
                  <c:v>43.24499388141507</c:v>
                </c:pt>
                <c:pt idx="873">
                  <c:v>43.245142218089335</c:v>
                </c:pt>
                <c:pt idx="874">
                  <c:v>43.245290552908024</c:v>
                </c:pt>
                <c:pt idx="875">
                  <c:v>43.245438885871174</c:v>
                </c:pt>
                <c:pt idx="876">
                  <c:v>43.245587216978805</c:v>
                </c:pt>
                <c:pt idx="877">
                  <c:v>43.245735546230897</c:v>
                </c:pt>
                <c:pt idx="878">
                  <c:v>43.245883873627506</c:v>
                </c:pt>
                <c:pt idx="879">
                  <c:v>43.24603219916861</c:v>
                </c:pt>
                <c:pt idx="880">
                  <c:v>43.246180522854225</c:v>
                </c:pt>
                <c:pt idx="881">
                  <c:v>43.246328844684385</c:v>
                </c:pt>
                <c:pt idx="882">
                  <c:v>43.246477164659083</c:v>
                </c:pt>
                <c:pt idx="883">
                  <c:v>43.24662548277832</c:v>
                </c:pt>
                <c:pt idx="884">
                  <c:v>43.246773799042167</c:v>
                </c:pt>
                <c:pt idx="885">
                  <c:v>43.246922113450587</c:v>
                </c:pt>
                <c:pt idx="886">
                  <c:v>43.24707042600361</c:v>
                </c:pt>
                <c:pt idx="887">
                  <c:v>43.247218736701221</c:v>
                </c:pt>
                <c:pt idx="888">
                  <c:v>43.24736704554347</c:v>
                </c:pt>
                <c:pt idx="889">
                  <c:v>43.247515352530371</c:v>
                </c:pt>
                <c:pt idx="890">
                  <c:v>43.247663657661903</c:v>
                </c:pt>
                <c:pt idx="891">
                  <c:v>43.247811960938101</c:v>
                </c:pt>
                <c:pt idx="892">
                  <c:v>43.247960262358987</c:v>
                </c:pt>
                <c:pt idx="893">
                  <c:v>43.248108561924539</c:v>
                </c:pt>
                <c:pt idx="894">
                  <c:v>43.248256859634793</c:v>
                </c:pt>
                <c:pt idx="895">
                  <c:v>43.248405155489799</c:v>
                </c:pt>
                <c:pt idx="896">
                  <c:v>43.248553449489506</c:v>
                </c:pt>
                <c:pt idx="897">
                  <c:v>43.248701741633944</c:v>
                </c:pt>
                <c:pt idx="898">
                  <c:v>43.248850031923148</c:v>
                </c:pt>
                <c:pt idx="899">
                  <c:v>43.248998320357131</c:v>
                </c:pt>
                <c:pt idx="900">
                  <c:v>43.249146606935874</c:v>
                </c:pt>
                <c:pt idx="901">
                  <c:v>43.249294891659432</c:v>
                </c:pt>
                <c:pt idx="902">
                  <c:v>43.249443174527762</c:v>
                </c:pt>
                <c:pt idx="903">
                  <c:v>43.249591455540937</c:v>
                </c:pt>
                <c:pt idx="904">
                  <c:v>43.249739734698949</c:v>
                </c:pt>
                <c:pt idx="905">
                  <c:v>43.249888012001797</c:v>
                </c:pt>
                <c:pt idx="906">
                  <c:v>43.250036287449497</c:v>
                </c:pt>
                <c:pt idx="907">
                  <c:v>43.250184561042083</c:v>
                </c:pt>
                <c:pt idx="908">
                  <c:v>43.25033283277952</c:v>
                </c:pt>
                <c:pt idx="909">
                  <c:v>43.25048110266188</c:v>
                </c:pt>
                <c:pt idx="910">
                  <c:v>43.250629370689168</c:v>
                </c:pt>
                <c:pt idx="911">
                  <c:v>43.250777636861372</c:v>
                </c:pt>
                <c:pt idx="912">
                  <c:v>43.250925901178483</c:v>
                </c:pt>
                <c:pt idx="913">
                  <c:v>43.251074163640595</c:v>
                </c:pt>
                <c:pt idx="914">
                  <c:v>43.251222424247636</c:v>
                </c:pt>
                <c:pt idx="915">
                  <c:v>43.251370682999642</c:v>
                </c:pt>
                <c:pt idx="916">
                  <c:v>43.251518939896656</c:v>
                </c:pt>
                <c:pt idx="917">
                  <c:v>43.251667194938662</c:v>
                </c:pt>
                <c:pt idx="918">
                  <c:v>43.25181544812569</c:v>
                </c:pt>
                <c:pt idx="919">
                  <c:v>43.251963699457747</c:v>
                </c:pt>
                <c:pt idx="920">
                  <c:v>43.252111948934825</c:v>
                </c:pt>
                <c:pt idx="921">
                  <c:v>43.252260196556982</c:v>
                </c:pt>
                <c:pt idx="922">
                  <c:v>43.252408442324182</c:v>
                </c:pt>
                <c:pt idx="923">
                  <c:v>43.252556686236488</c:v>
                </c:pt>
                <c:pt idx="924">
                  <c:v>43.252704928293873</c:v>
                </c:pt>
                <c:pt idx="925">
                  <c:v>43.252853168496387</c:v>
                </c:pt>
                <c:pt idx="926">
                  <c:v>43.253001406843985</c:v>
                </c:pt>
                <c:pt idx="927">
                  <c:v>43.253149643336712</c:v>
                </c:pt>
                <c:pt idx="928">
                  <c:v>43.25329787797461</c:v>
                </c:pt>
                <c:pt idx="929">
                  <c:v>43.25344611075765</c:v>
                </c:pt>
                <c:pt idx="930">
                  <c:v>43.253594341685869</c:v>
                </c:pt>
                <c:pt idx="931">
                  <c:v>43.253742570759272</c:v>
                </c:pt>
                <c:pt idx="932">
                  <c:v>43.253890797977867</c:v>
                </c:pt>
                <c:pt idx="933">
                  <c:v>43.25403902334169</c:v>
                </c:pt>
                <c:pt idx="934">
                  <c:v>43.254187246850719</c:v>
                </c:pt>
                <c:pt idx="935">
                  <c:v>43.254335468504991</c:v>
                </c:pt>
                <c:pt idx="936">
                  <c:v>43.254483688304511</c:v>
                </c:pt>
                <c:pt idx="937">
                  <c:v>43.254631906249287</c:v>
                </c:pt>
                <c:pt idx="938">
                  <c:v>43.254780122339334</c:v>
                </c:pt>
                <c:pt idx="939">
                  <c:v>43.254928336574658</c:v>
                </c:pt>
                <c:pt idx="940">
                  <c:v>43.255076548955323</c:v>
                </c:pt>
                <c:pt idx="941">
                  <c:v>43.255224759481273</c:v>
                </c:pt>
                <c:pt idx="942">
                  <c:v>43.255372968152571</c:v>
                </c:pt>
                <c:pt idx="943">
                  <c:v>43.255521174969203</c:v>
                </c:pt>
                <c:pt idx="944">
                  <c:v>43.25566937993117</c:v>
                </c:pt>
                <c:pt idx="945">
                  <c:v>43.255817583038521</c:v>
                </c:pt>
                <c:pt idx="946">
                  <c:v>43.255965784291256</c:v>
                </c:pt>
                <c:pt idx="947">
                  <c:v>43.256113983689374</c:v>
                </c:pt>
                <c:pt idx="948">
                  <c:v>43.256262181232906</c:v>
                </c:pt>
                <c:pt idx="949">
                  <c:v>43.256410376921835</c:v>
                </c:pt>
                <c:pt idx="950">
                  <c:v>43.256558570756219</c:v>
                </c:pt>
                <c:pt idx="951">
                  <c:v>43.256706762736044</c:v>
                </c:pt>
                <c:pt idx="952">
                  <c:v>43.25685495286131</c:v>
                </c:pt>
                <c:pt idx="953">
                  <c:v>43.25700314113206</c:v>
                </c:pt>
                <c:pt idx="954">
                  <c:v>43.257151327548293</c:v>
                </c:pt>
                <c:pt idx="955">
                  <c:v>43.257299512110023</c:v>
                </c:pt>
                <c:pt idx="956">
                  <c:v>43.257447694817259</c:v>
                </c:pt>
                <c:pt idx="957">
                  <c:v>43.257595875670006</c:v>
                </c:pt>
                <c:pt idx="958">
                  <c:v>43.257744054668294</c:v>
                </c:pt>
                <c:pt idx="959">
                  <c:v>43.25789223181215</c:v>
                </c:pt>
                <c:pt idx="960">
                  <c:v>43.258040407101561</c:v>
                </c:pt>
                <c:pt idx="961">
                  <c:v>43.25818858053654</c:v>
                </c:pt>
                <c:pt idx="962">
                  <c:v>43.258336752117103</c:v>
                </c:pt>
                <c:pt idx="963">
                  <c:v>43.258484921843277</c:v>
                </c:pt>
                <c:pt idx="964">
                  <c:v>43.258633089715069</c:v>
                </c:pt>
                <c:pt idx="965">
                  <c:v>43.258781255732472</c:v>
                </c:pt>
                <c:pt idx="966">
                  <c:v>43.258929419895516</c:v>
                </c:pt>
                <c:pt idx="967">
                  <c:v>43.259077582204235</c:v>
                </c:pt>
                <c:pt idx="968">
                  <c:v>43.259225742658614</c:v>
                </c:pt>
                <c:pt idx="969">
                  <c:v>43.259373901258662</c:v>
                </c:pt>
                <c:pt idx="970">
                  <c:v>43.259522058004428</c:v>
                </c:pt>
                <c:pt idx="971">
                  <c:v>43.259670212895877</c:v>
                </c:pt>
                <c:pt idx="972">
                  <c:v>43.259818365933043</c:v>
                </c:pt>
                <c:pt idx="973">
                  <c:v>43.259966517115949</c:v>
                </c:pt>
                <c:pt idx="974">
                  <c:v>43.260114666444593</c:v>
                </c:pt>
                <c:pt idx="975">
                  <c:v>43.260262813918985</c:v>
                </c:pt>
                <c:pt idx="976">
                  <c:v>43.260410959539165</c:v>
                </c:pt>
                <c:pt idx="977">
                  <c:v>43.260559103305134</c:v>
                </c:pt>
                <c:pt idx="978">
                  <c:v>43.260707245216885</c:v>
                </c:pt>
                <c:pt idx="979">
                  <c:v>43.260855385274432</c:v>
                </c:pt>
                <c:pt idx="980">
                  <c:v>43.261003523477804</c:v>
                </c:pt>
                <c:pt idx="981">
                  <c:v>43.26115165982705</c:v>
                </c:pt>
                <c:pt idx="982">
                  <c:v>43.261299794322092</c:v>
                </c:pt>
                <c:pt idx="983">
                  <c:v>43.261447926963029</c:v>
                </c:pt>
                <c:pt idx="984">
                  <c:v>43.261596057749834</c:v>
                </c:pt>
                <c:pt idx="985">
                  <c:v>43.261744186682535</c:v>
                </c:pt>
                <c:pt idx="986">
                  <c:v>43.26189231376113</c:v>
                </c:pt>
                <c:pt idx="987">
                  <c:v>43.262040438985643</c:v>
                </c:pt>
                <c:pt idx="988">
                  <c:v>43.262188562356087</c:v>
                </c:pt>
                <c:pt idx="989">
                  <c:v>43.262336683872448</c:v>
                </c:pt>
                <c:pt idx="990">
                  <c:v>43.262484803534797</c:v>
                </c:pt>
                <c:pt idx="991">
                  <c:v>43.262632921343076</c:v>
                </c:pt>
                <c:pt idx="992">
                  <c:v>43.262781037297366</c:v>
                </c:pt>
                <c:pt idx="993">
                  <c:v>43.262929151397621</c:v>
                </c:pt>
                <c:pt idx="994">
                  <c:v>43.2630772636439</c:v>
                </c:pt>
                <c:pt idx="995">
                  <c:v>43.263225374036196</c:v>
                </c:pt>
                <c:pt idx="996">
                  <c:v>43.263373482574487</c:v>
                </c:pt>
                <c:pt idx="997">
                  <c:v>43.263521589258879</c:v>
                </c:pt>
                <c:pt idx="998">
                  <c:v>43.263669694089288</c:v>
                </c:pt>
                <c:pt idx="999">
                  <c:v>43.263817797065791</c:v>
                </c:pt>
                <c:pt idx="1000">
                  <c:v>43.26396589818836</c:v>
                </c:pt>
              </c:numCache>
            </c:numRef>
          </c:yVal>
          <c:smooth val="0"/>
          <c:extLst>
            <c:ext xmlns:c16="http://schemas.microsoft.com/office/drawing/2014/chart" uri="{C3380CC4-5D6E-409C-BE32-E72D297353CC}">
              <c16:uniqueId val="{00000002-B98B-46BB-BB51-DAAA2071230C}"/>
            </c:ext>
          </c:extLst>
        </c:ser>
        <c:dLbls>
          <c:showLegendKey val="0"/>
          <c:showVal val="0"/>
          <c:showCatName val="0"/>
          <c:showSerName val="0"/>
          <c:showPercent val="0"/>
          <c:showBubbleSize val="0"/>
        </c:dLbls>
        <c:axId val="149500672"/>
        <c:axId val="149502592"/>
      </c:scatterChart>
      <c:valAx>
        <c:axId val="149500672"/>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1"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fr-FR"/>
          </a:p>
        </c:txPr>
        <c:crossAx val="149502592"/>
        <c:crosses val="autoZero"/>
        <c:crossBetween val="midCat"/>
      </c:valAx>
      <c:valAx>
        <c:axId val="149502592"/>
        <c:scaling>
          <c:orientation val="minMax"/>
        </c:scaling>
        <c:delete val="0"/>
        <c:axPos val="l"/>
        <c:majorGridlines>
          <c:spPr>
            <a:ln w="3175">
              <a:solidFill>
                <a:srgbClr val="000000"/>
              </a:solidFill>
              <a:prstDash val="sysDash"/>
            </a:ln>
          </c:spPr>
        </c:majorGridlines>
        <c:title>
          <c:tx>
            <c:rich>
              <a:bodyPr/>
              <a:lstStyle/>
              <a:p>
                <a:pPr>
                  <a:defRPr sz="1200" b="1" i="0" u="none" strike="noStrike" baseline="0">
                    <a:solidFill>
                      <a:srgbClr val="000000"/>
                    </a:solidFill>
                    <a:latin typeface="Arial"/>
                    <a:ea typeface="Arial"/>
                    <a:cs typeface="Arial"/>
                  </a:defRPr>
                </a:pPr>
                <a:r>
                  <a:rPr lang="fr-FR"/>
                  <a:t>Forces [N]</a:t>
                </a:r>
              </a:p>
            </c:rich>
          </c:tx>
          <c:layout>
            <c:manualLayout>
              <c:xMode val="edge"/>
              <c:yMode val="edge"/>
              <c:x val="2.0047169811320761E-2"/>
              <c:y val="0.3333343832020999"/>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fr-FR"/>
          </a:p>
        </c:txPr>
        <c:crossAx val="149500672"/>
        <c:crosses val="autoZero"/>
        <c:crossBetween val="midCat"/>
      </c:valAx>
      <c:spPr>
        <a:noFill/>
        <a:ln w="12700">
          <a:solidFill>
            <a:srgbClr val="808080"/>
          </a:solidFill>
          <a:prstDash val="solid"/>
        </a:ln>
      </c:spPr>
    </c:plotArea>
    <c:legend>
      <c:legendPos val="r"/>
      <c:layout>
        <c:manualLayout>
          <c:xMode val="edge"/>
          <c:yMode val="edge"/>
          <c:x val="0.83018929827167842"/>
          <c:y val="0.34444479440069992"/>
          <c:w val="0.13050326845936713"/>
          <c:h val="0.22888888888888886"/>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Courbes!$B$140</c:f>
          <c:strCache>
            <c:ptCount val="1"/>
            <c:pt idx="0">
              <c:v>Vitesse</c:v>
            </c:pt>
          </c:strCache>
        </c:strRef>
      </c:tx>
      <c:overlay val="1"/>
      <c:txPr>
        <a:bodyPr/>
        <a:lstStyle/>
        <a:p>
          <a:pPr>
            <a:defRPr sz="1200" b="1" i="0" u="none" strike="noStrike" baseline="0">
              <a:solidFill>
                <a:srgbClr val="000000"/>
              </a:solidFill>
              <a:latin typeface="Arial"/>
              <a:ea typeface="Arial"/>
              <a:cs typeface="Arial"/>
            </a:defRPr>
          </a:pPr>
          <a:endParaRPr lang="fr-FR"/>
        </a:p>
      </c:txPr>
    </c:title>
    <c:autoTitleDeleted val="0"/>
    <c:plotArea>
      <c:layout>
        <c:manualLayout>
          <c:layoutTarget val="inner"/>
          <c:xMode val="edge"/>
          <c:yMode val="edge"/>
          <c:x val="0.10495283018867926"/>
          <c:y val="9.4771544282144501E-2"/>
          <c:w val="0.87617924528302116"/>
          <c:h val="0.74183243282920064"/>
        </c:manualLayout>
      </c:layout>
      <c:scatterChart>
        <c:scatterStyle val="lineMarker"/>
        <c:varyColors val="0"/>
        <c:ser>
          <c:idx val="0"/>
          <c:order val="0"/>
          <c:tx>
            <c:strRef>
              <c:f>Courbes!$B$140</c:f>
              <c:strCache>
                <c:ptCount val="1"/>
                <c:pt idx="0">
                  <c:v>Vitesse</c:v>
                </c:pt>
              </c:strCache>
            </c:strRef>
          </c:tx>
          <c:spPr>
            <a:ln w="25400">
              <a:solidFill>
                <a:srgbClr val="80000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1.1000000000000008</c:v>
                </c:pt>
                <c:pt idx="102">
                  <c:v>1.2000000000000008</c:v>
                </c:pt>
                <c:pt idx="103">
                  <c:v>1.3000000000000009</c:v>
                </c:pt>
                <c:pt idx="104">
                  <c:v>1.400000000000001</c:v>
                </c:pt>
                <c:pt idx="105">
                  <c:v>1.5000000000000011</c:v>
                </c:pt>
                <c:pt idx="106">
                  <c:v>1.6000000000000012</c:v>
                </c:pt>
                <c:pt idx="107">
                  <c:v>1.7000000000000013</c:v>
                </c:pt>
                <c:pt idx="108">
                  <c:v>1.8000000000000014</c:v>
                </c:pt>
                <c:pt idx="109">
                  <c:v>1.9000000000000015</c:v>
                </c:pt>
                <c:pt idx="110">
                  <c:v>2.0000000000000013</c:v>
                </c:pt>
                <c:pt idx="111">
                  <c:v>2.1000000000000014</c:v>
                </c:pt>
                <c:pt idx="112">
                  <c:v>2.2000000000000015</c:v>
                </c:pt>
                <c:pt idx="113">
                  <c:v>2.3000000000000016</c:v>
                </c:pt>
                <c:pt idx="114">
                  <c:v>2.4000000000000017</c:v>
                </c:pt>
                <c:pt idx="115">
                  <c:v>2.5000000000000018</c:v>
                </c:pt>
                <c:pt idx="116">
                  <c:v>2.6000000000000019</c:v>
                </c:pt>
                <c:pt idx="117">
                  <c:v>2.700000000000002</c:v>
                </c:pt>
                <c:pt idx="118">
                  <c:v>2.800000000000002</c:v>
                </c:pt>
                <c:pt idx="119">
                  <c:v>2.9000000000000021</c:v>
                </c:pt>
                <c:pt idx="120">
                  <c:v>3.0000000000000022</c:v>
                </c:pt>
                <c:pt idx="121">
                  <c:v>3.1000000000000023</c:v>
                </c:pt>
                <c:pt idx="122">
                  <c:v>3.2000000000000024</c:v>
                </c:pt>
                <c:pt idx="123">
                  <c:v>3.3000000000000025</c:v>
                </c:pt>
                <c:pt idx="124">
                  <c:v>3.4000000000000026</c:v>
                </c:pt>
                <c:pt idx="125">
                  <c:v>3.5000000000000027</c:v>
                </c:pt>
                <c:pt idx="126">
                  <c:v>3.6000000000000028</c:v>
                </c:pt>
                <c:pt idx="127">
                  <c:v>3.7000000000000028</c:v>
                </c:pt>
                <c:pt idx="128">
                  <c:v>3.8000000000000029</c:v>
                </c:pt>
                <c:pt idx="129">
                  <c:v>3.900000000000003</c:v>
                </c:pt>
                <c:pt idx="130">
                  <c:v>4.0000000000000027</c:v>
                </c:pt>
                <c:pt idx="131">
                  <c:v>4.1000000000000023</c:v>
                </c:pt>
                <c:pt idx="132">
                  <c:v>4.200000000000002</c:v>
                </c:pt>
                <c:pt idx="133">
                  <c:v>4.3000000000000016</c:v>
                </c:pt>
                <c:pt idx="134">
                  <c:v>4.4000000000000012</c:v>
                </c:pt>
                <c:pt idx="135">
                  <c:v>4.5000000000000009</c:v>
                </c:pt>
                <c:pt idx="136">
                  <c:v>4.6000000000000005</c:v>
                </c:pt>
                <c:pt idx="137">
                  <c:v>4.7</c:v>
                </c:pt>
                <c:pt idx="138">
                  <c:v>4.8</c:v>
                </c:pt>
                <c:pt idx="139">
                  <c:v>4.8999999999999995</c:v>
                </c:pt>
                <c:pt idx="140">
                  <c:v>4.9999999999999991</c:v>
                </c:pt>
                <c:pt idx="141">
                  <c:v>5.0999999999999988</c:v>
                </c:pt>
                <c:pt idx="142">
                  <c:v>5.1999999999999984</c:v>
                </c:pt>
                <c:pt idx="143">
                  <c:v>5.299999999999998</c:v>
                </c:pt>
                <c:pt idx="144">
                  <c:v>5.3999999999999977</c:v>
                </c:pt>
                <c:pt idx="145">
                  <c:v>5.4999999999999973</c:v>
                </c:pt>
                <c:pt idx="146">
                  <c:v>5.599999999999997</c:v>
                </c:pt>
                <c:pt idx="147">
                  <c:v>5.6999999999999966</c:v>
                </c:pt>
                <c:pt idx="148">
                  <c:v>5.7999999999999963</c:v>
                </c:pt>
                <c:pt idx="149">
                  <c:v>5.8999999999999959</c:v>
                </c:pt>
                <c:pt idx="150">
                  <c:v>5.9999999999999956</c:v>
                </c:pt>
                <c:pt idx="151">
                  <c:v>6.0999999999999952</c:v>
                </c:pt>
                <c:pt idx="152">
                  <c:v>6.1999999999999948</c:v>
                </c:pt>
                <c:pt idx="153">
                  <c:v>6.2999999999999945</c:v>
                </c:pt>
                <c:pt idx="154">
                  <c:v>6.3999999999999941</c:v>
                </c:pt>
                <c:pt idx="155">
                  <c:v>6.4999999999999938</c:v>
                </c:pt>
                <c:pt idx="156">
                  <c:v>6.5999999999999934</c:v>
                </c:pt>
                <c:pt idx="157">
                  <c:v>6.6999999999999931</c:v>
                </c:pt>
                <c:pt idx="158">
                  <c:v>6.7999999999999927</c:v>
                </c:pt>
                <c:pt idx="159">
                  <c:v>6.8999999999999924</c:v>
                </c:pt>
                <c:pt idx="160">
                  <c:v>6.999999999999992</c:v>
                </c:pt>
                <c:pt idx="161">
                  <c:v>7.0999999999999917</c:v>
                </c:pt>
                <c:pt idx="162">
                  <c:v>7.1999999999999913</c:v>
                </c:pt>
                <c:pt idx="163">
                  <c:v>7.2999999999999909</c:v>
                </c:pt>
                <c:pt idx="164">
                  <c:v>7.3999999999999906</c:v>
                </c:pt>
                <c:pt idx="165">
                  <c:v>7.4999999999999902</c:v>
                </c:pt>
                <c:pt idx="166">
                  <c:v>7.5999999999999899</c:v>
                </c:pt>
                <c:pt idx="167">
                  <c:v>7.6999999999999895</c:v>
                </c:pt>
                <c:pt idx="168">
                  <c:v>7.7999999999999892</c:v>
                </c:pt>
                <c:pt idx="169">
                  <c:v>7.8999999999999888</c:v>
                </c:pt>
                <c:pt idx="170">
                  <c:v>7.9999999999999885</c:v>
                </c:pt>
                <c:pt idx="171">
                  <c:v>8.099999999999989</c:v>
                </c:pt>
                <c:pt idx="172">
                  <c:v>8.1999999999999886</c:v>
                </c:pt>
                <c:pt idx="173">
                  <c:v>8.2999999999999883</c:v>
                </c:pt>
                <c:pt idx="174">
                  <c:v>8.3999999999999879</c:v>
                </c:pt>
                <c:pt idx="175">
                  <c:v>8.4999999999999876</c:v>
                </c:pt>
                <c:pt idx="176">
                  <c:v>8.5999999999999872</c:v>
                </c:pt>
                <c:pt idx="177">
                  <c:v>8.6999999999999869</c:v>
                </c:pt>
                <c:pt idx="178">
                  <c:v>8.7999999999999865</c:v>
                </c:pt>
                <c:pt idx="179">
                  <c:v>8.8999999999999861</c:v>
                </c:pt>
                <c:pt idx="180">
                  <c:v>8.9999999999999858</c:v>
                </c:pt>
                <c:pt idx="181">
                  <c:v>9.0999999999999854</c:v>
                </c:pt>
                <c:pt idx="182">
                  <c:v>9.1999999999999851</c:v>
                </c:pt>
                <c:pt idx="183">
                  <c:v>9.2999999999999847</c:v>
                </c:pt>
                <c:pt idx="184">
                  <c:v>9.3999999999999844</c:v>
                </c:pt>
                <c:pt idx="185">
                  <c:v>9.499999999999984</c:v>
                </c:pt>
                <c:pt idx="186">
                  <c:v>9.5999999999999837</c:v>
                </c:pt>
                <c:pt idx="187">
                  <c:v>9.6999999999999833</c:v>
                </c:pt>
                <c:pt idx="188">
                  <c:v>9.7999999999999829</c:v>
                </c:pt>
                <c:pt idx="189">
                  <c:v>9.8999999999999826</c:v>
                </c:pt>
                <c:pt idx="190">
                  <c:v>9.9999999999999822</c:v>
                </c:pt>
                <c:pt idx="191">
                  <c:v>10.099999999999982</c:v>
                </c:pt>
                <c:pt idx="192">
                  <c:v>10.199999999999982</c:v>
                </c:pt>
                <c:pt idx="193">
                  <c:v>10.299999999999981</c:v>
                </c:pt>
                <c:pt idx="194">
                  <c:v>10.399999999999981</c:v>
                </c:pt>
                <c:pt idx="195">
                  <c:v>10.49999999999998</c:v>
                </c:pt>
                <c:pt idx="196">
                  <c:v>10.59999999999998</c:v>
                </c:pt>
                <c:pt idx="197">
                  <c:v>10.69999999999998</c:v>
                </c:pt>
                <c:pt idx="198">
                  <c:v>10.799999999999979</c:v>
                </c:pt>
                <c:pt idx="199">
                  <c:v>10.899999999999979</c:v>
                </c:pt>
                <c:pt idx="200">
                  <c:v>10.999999999999979</c:v>
                </c:pt>
                <c:pt idx="201">
                  <c:v>11.099999999999978</c:v>
                </c:pt>
                <c:pt idx="202">
                  <c:v>11.199999999999978</c:v>
                </c:pt>
                <c:pt idx="203">
                  <c:v>11.299999999999978</c:v>
                </c:pt>
                <c:pt idx="204">
                  <c:v>11.399999999999977</c:v>
                </c:pt>
                <c:pt idx="205">
                  <c:v>11.499999999999977</c:v>
                </c:pt>
                <c:pt idx="206">
                  <c:v>11.599999999999977</c:v>
                </c:pt>
                <c:pt idx="207">
                  <c:v>11.699999999999976</c:v>
                </c:pt>
                <c:pt idx="208">
                  <c:v>11.799999999999976</c:v>
                </c:pt>
                <c:pt idx="209">
                  <c:v>11.899999999999975</c:v>
                </c:pt>
                <c:pt idx="210">
                  <c:v>11.999999999999975</c:v>
                </c:pt>
                <c:pt idx="211">
                  <c:v>12.099999999999975</c:v>
                </c:pt>
                <c:pt idx="212">
                  <c:v>12.199999999999974</c:v>
                </c:pt>
                <c:pt idx="213">
                  <c:v>12.299999999999974</c:v>
                </c:pt>
                <c:pt idx="214">
                  <c:v>12.399999999999974</c:v>
                </c:pt>
                <c:pt idx="215">
                  <c:v>12.499999999999973</c:v>
                </c:pt>
                <c:pt idx="216">
                  <c:v>12.599999999999973</c:v>
                </c:pt>
                <c:pt idx="217">
                  <c:v>12.699999999999973</c:v>
                </c:pt>
                <c:pt idx="218">
                  <c:v>12.799999999999972</c:v>
                </c:pt>
                <c:pt idx="219">
                  <c:v>12.899999999999972</c:v>
                </c:pt>
                <c:pt idx="220">
                  <c:v>12.999999999999972</c:v>
                </c:pt>
                <c:pt idx="221">
                  <c:v>13.099999999999971</c:v>
                </c:pt>
                <c:pt idx="222">
                  <c:v>13.199999999999971</c:v>
                </c:pt>
                <c:pt idx="223">
                  <c:v>13.299999999999971</c:v>
                </c:pt>
                <c:pt idx="224">
                  <c:v>13.39999999999997</c:v>
                </c:pt>
                <c:pt idx="225">
                  <c:v>13.49999999999997</c:v>
                </c:pt>
                <c:pt idx="226">
                  <c:v>13.599999999999969</c:v>
                </c:pt>
                <c:pt idx="227">
                  <c:v>13.699999999999969</c:v>
                </c:pt>
                <c:pt idx="228">
                  <c:v>13.799999999999969</c:v>
                </c:pt>
                <c:pt idx="229">
                  <c:v>13.899999999999968</c:v>
                </c:pt>
                <c:pt idx="230">
                  <c:v>13.999999999999968</c:v>
                </c:pt>
                <c:pt idx="231">
                  <c:v>14.099999999999968</c:v>
                </c:pt>
                <c:pt idx="232">
                  <c:v>14.199999999999967</c:v>
                </c:pt>
                <c:pt idx="233">
                  <c:v>14.299999999999967</c:v>
                </c:pt>
                <c:pt idx="234">
                  <c:v>14.399999999999967</c:v>
                </c:pt>
                <c:pt idx="235">
                  <c:v>14.499999999999966</c:v>
                </c:pt>
                <c:pt idx="236">
                  <c:v>14.599999999999966</c:v>
                </c:pt>
                <c:pt idx="237">
                  <c:v>14.699999999999966</c:v>
                </c:pt>
                <c:pt idx="238">
                  <c:v>14.799999999999965</c:v>
                </c:pt>
                <c:pt idx="239">
                  <c:v>14.899999999999965</c:v>
                </c:pt>
                <c:pt idx="240">
                  <c:v>14.999999999999964</c:v>
                </c:pt>
                <c:pt idx="241">
                  <c:v>15.099999999999964</c:v>
                </c:pt>
                <c:pt idx="242">
                  <c:v>15.199999999999964</c:v>
                </c:pt>
                <c:pt idx="243">
                  <c:v>15.299999999999963</c:v>
                </c:pt>
                <c:pt idx="244">
                  <c:v>15.399999999999963</c:v>
                </c:pt>
                <c:pt idx="245">
                  <c:v>15.499999999999963</c:v>
                </c:pt>
                <c:pt idx="246">
                  <c:v>15.599999999999962</c:v>
                </c:pt>
                <c:pt idx="247">
                  <c:v>15.699999999999962</c:v>
                </c:pt>
                <c:pt idx="248">
                  <c:v>15.799999999999962</c:v>
                </c:pt>
                <c:pt idx="249">
                  <c:v>15.899999999999961</c:v>
                </c:pt>
                <c:pt idx="250">
                  <c:v>15.999999999999961</c:v>
                </c:pt>
                <c:pt idx="251">
                  <c:v>16.099999999999962</c:v>
                </c:pt>
                <c:pt idx="252">
                  <c:v>16.199999999999964</c:v>
                </c:pt>
                <c:pt idx="253">
                  <c:v>16.299999999999965</c:v>
                </c:pt>
                <c:pt idx="254">
                  <c:v>16.399999999999967</c:v>
                </c:pt>
                <c:pt idx="255">
                  <c:v>16.499999999999968</c:v>
                </c:pt>
                <c:pt idx="256">
                  <c:v>16.599999999999969</c:v>
                </c:pt>
                <c:pt idx="257">
                  <c:v>16.699999999999971</c:v>
                </c:pt>
                <c:pt idx="258">
                  <c:v>16.799999999999972</c:v>
                </c:pt>
                <c:pt idx="259">
                  <c:v>16.899999999999974</c:v>
                </c:pt>
                <c:pt idx="260">
                  <c:v>16.999999999999975</c:v>
                </c:pt>
                <c:pt idx="261">
                  <c:v>17.099999999999977</c:v>
                </c:pt>
                <c:pt idx="262">
                  <c:v>17.199999999999978</c:v>
                </c:pt>
                <c:pt idx="263">
                  <c:v>17.299999999999979</c:v>
                </c:pt>
                <c:pt idx="264">
                  <c:v>17.399999999999981</c:v>
                </c:pt>
                <c:pt idx="265">
                  <c:v>17.499999999999982</c:v>
                </c:pt>
                <c:pt idx="266">
                  <c:v>17.599999999999984</c:v>
                </c:pt>
                <c:pt idx="267">
                  <c:v>17.699999999999985</c:v>
                </c:pt>
                <c:pt idx="268">
                  <c:v>17.799999999999986</c:v>
                </c:pt>
                <c:pt idx="269">
                  <c:v>17.899999999999988</c:v>
                </c:pt>
                <c:pt idx="270">
                  <c:v>17.999999999999989</c:v>
                </c:pt>
                <c:pt idx="271">
                  <c:v>18.099999999999991</c:v>
                </c:pt>
                <c:pt idx="272">
                  <c:v>18.199999999999992</c:v>
                </c:pt>
                <c:pt idx="273">
                  <c:v>18.299999999999994</c:v>
                </c:pt>
                <c:pt idx="274">
                  <c:v>18.399999999999995</c:v>
                </c:pt>
                <c:pt idx="275">
                  <c:v>18.499999999999996</c:v>
                </c:pt>
                <c:pt idx="276">
                  <c:v>18.599999999999998</c:v>
                </c:pt>
                <c:pt idx="277">
                  <c:v>18.7</c:v>
                </c:pt>
                <c:pt idx="278">
                  <c:v>18.8</c:v>
                </c:pt>
                <c:pt idx="279">
                  <c:v>18.900000000000002</c:v>
                </c:pt>
                <c:pt idx="280">
                  <c:v>19.000000000000004</c:v>
                </c:pt>
                <c:pt idx="281">
                  <c:v>19.100000000000005</c:v>
                </c:pt>
                <c:pt idx="282">
                  <c:v>19.200000000000006</c:v>
                </c:pt>
                <c:pt idx="283">
                  <c:v>19.300000000000008</c:v>
                </c:pt>
                <c:pt idx="284">
                  <c:v>19.400000000000009</c:v>
                </c:pt>
                <c:pt idx="285">
                  <c:v>19.500000000000011</c:v>
                </c:pt>
                <c:pt idx="286">
                  <c:v>19.600000000000012</c:v>
                </c:pt>
                <c:pt idx="287">
                  <c:v>19.700000000000014</c:v>
                </c:pt>
                <c:pt idx="288">
                  <c:v>19.800000000000015</c:v>
                </c:pt>
                <c:pt idx="289">
                  <c:v>19.900000000000016</c:v>
                </c:pt>
                <c:pt idx="290">
                  <c:v>20.000000000000018</c:v>
                </c:pt>
                <c:pt idx="291">
                  <c:v>20.100000000000019</c:v>
                </c:pt>
                <c:pt idx="292">
                  <c:v>20.200000000000021</c:v>
                </c:pt>
                <c:pt idx="293">
                  <c:v>20.300000000000022</c:v>
                </c:pt>
                <c:pt idx="294">
                  <c:v>20.400000000000023</c:v>
                </c:pt>
                <c:pt idx="295">
                  <c:v>20.500000000000025</c:v>
                </c:pt>
                <c:pt idx="296">
                  <c:v>20.600000000000026</c:v>
                </c:pt>
                <c:pt idx="297">
                  <c:v>20.700000000000028</c:v>
                </c:pt>
                <c:pt idx="298">
                  <c:v>20.800000000000029</c:v>
                </c:pt>
                <c:pt idx="299">
                  <c:v>20.900000000000031</c:v>
                </c:pt>
                <c:pt idx="300">
                  <c:v>21.000000000000032</c:v>
                </c:pt>
                <c:pt idx="301">
                  <c:v>21.100000000000033</c:v>
                </c:pt>
                <c:pt idx="302">
                  <c:v>21.200000000000035</c:v>
                </c:pt>
                <c:pt idx="303">
                  <c:v>21.300000000000036</c:v>
                </c:pt>
                <c:pt idx="304">
                  <c:v>21.400000000000038</c:v>
                </c:pt>
                <c:pt idx="305">
                  <c:v>21.500000000000039</c:v>
                </c:pt>
                <c:pt idx="306">
                  <c:v>21.600000000000041</c:v>
                </c:pt>
                <c:pt idx="307">
                  <c:v>21.700000000000042</c:v>
                </c:pt>
                <c:pt idx="308">
                  <c:v>21.800000000000043</c:v>
                </c:pt>
                <c:pt idx="309">
                  <c:v>21.900000000000045</c:v>
                </c:pt>
                <c:pt idx="310">
                  <c:v>22.000000000000046</c:v>
                </c:pt>
                <c:pt idx="311">
                  <c:v>22.100000000000048</c:v>
                </c:pt>
                <c:pt idx="312">
                  <c:v>22.200000000000049</c:v>
                </c:pt>
                <c:pt idx="313">
                  <c:v>22.30000000000005</c:v>
                </c:pt>
                <c:pt idx="314">
                  <c:v>22.400000000000052</c:v>
                </c:pt>
                <c:pt idx="315">
                  <c:v>22.500000000000053</c:v>
                </c:pt>
                <c:pt idx="316">
                  <c:v>22.600000000000055</c:v>
                </c:pt>
                <c:pt idx="317">
                  <c:v>22.700000000000056</c:v>
                </c:pt>
                <c:pt idx="318">
                  <c:v>22.800000000000058</c:v>
                </c:pt>
                <c:pt idx="319">
                  <c:v>22.900000000000059</c:v>
                </c:pt>
                <c:pt idx="320">
                  <c:v>23.00000000000006</c:v>
                </c:pt>
                <c:pt idx="321">
                  <c:v>23.100000000000062</c:v>
                </c:pt>
                <c:pt idx="322">
                  <c:v>23.200000000000063</c:v>
                </c:pt>
                <c:pt idx="323">
                  <c:v>23.300000000000065</c:v>
                </c:pt>
                <c:pt idx="324">
                  <c:v>23.400000000000066</c:v>
                </c:pt>
                <c:pt idx="325">
                  <c:v>23.500000000000068</c:v>
                </c:pt>
                <c:pt idx="326">
                  <c:v>23.600000000000069</c:v>
                </c:pt>
                <c:pt idx="327">
                  <c:v>23.70000000000007</c:v>
                </c:pt>
                <c:pt idx="328">
                  <c:v>23.800000000000072</c:v>
                </c:pt>
                <c:pt idx="329">
                  <c:v>23.900000000000073</c:v>
                </c:pt>
                <c:pt idx="330">
                  <c:v>24.000000000000075</c:v>
                </c:pt>
                <c:pt idx="331">
                  <c:v>24.100000000000076</c:v>
                </c:pt>
                <c:pt idx="332">
                  <c:v>24.200000000000077</c:v>
                </c:pt>
                <c:pt idx="333">
                  <c:v>24.300000000000079</c:v>
                </c:pt>
                <c:pt idx="334">
                  <c:v>24.40000000000008</c:v>
                </c:pt>
                <c:pt idx="335">
                  <c:v>24.500000000000082</c:v>
                </c:pt>
                <c:pt idx="336">
                  <c:v>24.600000000000083</c:v>
                </c:pt>
                <c:pt idx="337">
                  <c:v>24.700000000000085</c:v>
                </c:pt>
                <c:pt idx="338">
                  <c:v>24.800000000000086</c:v>
                </c:pt>
                <c:pt idx="339">
                  <c:v>24.900000000000087</c:v>
                </c:pt>
                <c:pt idx="340">
                  <c:v>25.000000000000089</c:v>
                </c:pt>
                <c:pt idx="341">
                  <c:v>25.10000000000009</c:v>
                </c:pt>
                <c:pt idx="342">
                  <c:v>25.200000000000092</c:v>
                </c:pt>
                <c:pt idx="343">
                  <c:v>25.300000000000093</c:v>
                </c:pt>
                <c:pt idx="344">
                  <c:v>25.400000000000095</c:v>
                </c:pt>
                <c:pt idx="345">
                  <c:v>25.500000000000096</c:v>
                </c:pt>
                <c:pt idx="346">
                  <c:v>25.600000000000097</c:v>
                </c:pt>
                <c:pt idx="347">
                  <c:v>25.700000000000099</c:v>
                </c:pt>
                <c:pt idx="348">
                  <c:v>25.8000000000001</c:v>
                </c:pt>
                <c:pt idx="349">
                  <c:v>25.900000000000102</c:v>
                </c:pt>
                <c:pt idx="350">
                  <c:v>26.000000000000103</c:v>
                </c:pt>
                <c:pt idx="351">
                  <c:v>26.100000000000104</c:v>
                </c:pt>
                <c:pt idx="352">
                  <c:v>26.200000000000106</c:v>
                </c:pt>
                <c:pt idx="353">
                  <c:v>26.300000000000107</c:v>
                </c:pt>
                <c:pt idx="354">
                  <c:v>26.400000000000109</c:v>
                </c:pt>
                <c:pt idx="355">
                  <c:v>26.50000000000011</c:v>
                </c:pt>
                <c:pt idx="356">
                  <c:v>26.600000000000112</c:v>
                </c:pt>
                <c:pt idx="357">
                  <c:v>26.700000000000113</c:v>
                </c:pt>
                <c:pt idx="358">
                  <c:v>26.800000000000114</c:v>
                </c:pt>
                <c:pt idx="359">
                  <c:v>26.900000000000116</c:v>
                </c:pt>
                <c:pt idx="360">
                  <c:v>27.000000000000117</c:v>
                </c:pt>
                <c:pt idx="361">
                  <c:v>27.100000000000119</c:v>
                </c:pt>
                <c:pt idx="362">
                  <c:v>27.20000000000012</c:v>
                </c:pt>
                <c:pt idx="363">
                  <c:v>27.300000000000122</c:v>
                </c:pt>
                <c:pt idx="364">
                  <c:v>27.400000000000123</c:v>
                </c:pt>
                <c:pt idx="365">
                  <c:v>27.500000000000124</c:v>
                </c:pt>
                <c:pt idx="366">
                  <c:v>27.600000000000126</c:v>
                </c:pt>
                <c:pt idx="367">
                  <c:v>27.700000000000127</c:v>
                </c:pt>
                <c:pt idx="368">
                  <c:v>27.800000000000129</c:v>
                </c:pt>
                <c:pt idx="369">
                  <c:v>27.90000000000013</c:v>
                </c:pt>
                <c:pt idx="370">
                  <c:v>28.000000000000131</c:v>
                </c:pt>
                <c:pt idx="371">
                  <c:v>28.100000000000133</c:v>
                </c:pt>
                <c:pt idx="372">
                  <c:v>28.200000000000134</c:v>
                </c:pt>
                <c:pt idx="373">
                  <c:v>28.300000000000136</c:v>
                </c:pt>
                <c:pt idx="374">
                  <c:v>28.400000000000137</c:v>
                </c:pt>
                <c:pt idx="375">
                  <c:v>28.500000000000139</c:v>
                </c:pt>
                <c:pt idx="376">
                  <c:v>28.60000000000014</c:v>
                </c:pt>
                <c:pt idx="377">
                  <c:v>28.700000000000141</c:v>
                </c:pt>
                <c:pt idx="378">
                  <c:v>28.800000000000143</c:v>
                </c:pt>
                <c:pt idx="379">
                  <c:v>28.900000000000144</c:v>
                </c:pt>
                <c:pt idx="380">
                  <c:v>29.000000000000146</c:v>
                </c:pt>
                <c:pt idx="381">
                  <c:v>29.100000000000147</c:v>
                </c:pt>
                <c:pt idx="382">
                  <c:v>29.200000000000149</c:v>
                </c:pt>
                <c:pt idx="383">
                  <c:v>29.200100000000148</c:v>
                </c:pt>
                <c:pt idx="384">
                  <c:v>29.200200000000148</c:v>
                </c:pt>
                <c:pt idx="385">
                  <c:v>29.200300000000148</c:v>
                </c:pt>
                <c:pt idx="386">
                  <c:v>29.200400000000148</c:v>
                </c:pt>
                <c:pt idx="387">
                  <c:v>29.200500000000147</c:v>
                </c:pt>
                <c:pt idx="388">
                  <c:v>29.200600000000147</c:v>
                </c:pt>
                <c:pt idx="389">
                  <c:v>29.200700000000147</c:v>
                </c:pt>
                <c:pt idx="390">
                  <c:v>29.200800000000147</c:v>
                </c:pt>
                <c:pt idx="391">
                  <c:v>29.200900000000146</c:v>
                </c:pt>
                <c:pt idx="392">
                  <c:v>29.201000000000146</c:v>
                </c:pt>
                <c:pt idx="393">
                  <c:v>29.201100000000146</c:v>
                </c:pt>
                <c:pt idx="394">
                  <c:v>29.201200000000146</c:v>
                </c:pt>
                <c:pt idx="395">
                  <c:v>29.201300000000145</c:v>
                </c:pt>
                <c:pt idx="396">
                  <c:v>29.201400000000145</c:v>
                </c:pt>
                <c:pt idx="397">
                  <c:v>29.201500000000145</c:v>
                </c:pt>
                <c:pt idx="398">
                  <c:v>29.201600000000145</c:v>
                </c:pt>
                <c:pt idx="399">
                  <c:v>29.201700000000145</c:v>
                </c:pt>
                <c:pt idx="400">
                  <c:v>29.201800000000144</c:v>
                </c:pt>
                <c:pt idx="401">
                  <c:v>29.201900000000144</c:v>
                </c:pt>
                <c:pt idx="402">
                  <c:v>29.202000000000144</c:v>
                </c:pt>
                <c:pt idx="403">
                  <c:v>29.202100000000144</c:v>
                </c:pt>
                <c:pt idx="404">
                  <c:v>29.202200000000143</c:v>
                </c:pt>
                <c:pt idx="405">
                  <c:v>29.202300000000143</c:v>
                </c:pt>
                <c:pt idx="406">
                  <c:v>29.202400000000143</c:v>
                </c:pt>
                <c:pt idx="407">
                  <c:v>29.202500000000143</c:v>
                </c:pt>
                <c:pt idx="408">
                  <c:v>29.202600000000142</c:v>
                </c:pt>
                <c:pt idx="409">
                  <c:v>29.202700000000142</c:v>
                </c:pt>
                <c:pt idx="410">
                  <c:v>29.202800000000142</c:v>
                </c:pt>
                <c:pt idx="411">
                  <c:v>29.202900000000142</c:v>
                </c:pt>
                <c:pt idx="412">
                  <c:v>29.203000000000142</c:v>
                </c:pt>
                <c:pt idx="413">
                  <c:v>29.203100000000141</c:v>
                </c:pt>
                <c:pt idx="414">
                  <c:v>29.203200000000141</c:v>
                </c:pt>
                <c:pt idx="415">
                  <c:v>29.203300000000141</c:v>
                </c:pt>
                <c:pt idx="416">
                  <c:v>29.203400000000141</c:v>
                </c:pt>
                <c:pt idx="417">
                  <c:v>29.20350000000014</c:v>
                </c:pt>
                <c:pt idx="418">
                  <c:v>29.20360000000014</c:v>
                </c:pt>
                <c:pt idx="419">
                  <c:v>29.20370000000014</c:v>
                </c:pt>
                <c:pt idx="420">
                  <c:v>29.20380000000014</c:v>
                </c:pt>
                <c:pt idx="421">
                  <c:v>29.203900000000139</c:v>
                </c:pt>
                <c:pt idx="422">
                  <c:v>29.204000000000139</c:v>
                </c:pt>
                <c:pt idx="423">
                  <c:v>29.204100000000139</c:v>
                </c:pt>
                <c:pt idx="424">
                  <c:v>29.204200000000139</c:v>
                </c:pt>
                <c:pt idx="425">
                  <c:v>29.204300000000138</c:v>
                </c:pt>
                <c:pt idx="426">
                  <c:v>29.204400000000138</c:v>
                </c:pt>
                <c:pt idx="427">
                  <c:v>29.204500000000138</c:v>
                </c:pt>
                <c:pt idx="428">
                  <c:v>29.204600000000138</c:v>
                </c:pt>
                <c:pt idx="429">
                  <c:v>29.204700000000138</c:v>
                </c:pt>
                <c:pt idx="430">
                  <c:v>29.204800000000137</c:v>
                </c:pt>
                <c:pt idx="431">
                  <c:v>29.204900000000137</c:v>
                </c:pt>
                <c:pt idx="432">
                  <c:v>29.205000000000137</c:v>
                </c:pt>
                <c:pt idx="433">
                  <c:v>29.205100000000137</c:v>
                </c:pt>
                <c:pt idx="434">
                  <c:v>29.205200000000136</c:v>
                </c:pt>
                <c:pt idx="435">
                  <c:v>29.205300000000136</c:v>
                </c:pt>
                <c:pt idx="436">
                  <c:v>29.205400000000136</c:v>
                </c:pt>
                <c:pt idx="437">
                  <c:v>29.205500000000136</c:v>
                </c:pt>
                <c:pt idx="438">
                  <c:v>29.205600000000135</c:v>
                </c:pt>
                <c:pt idx="439">
                  <c:v>29.205700000000135</c:v>
                </c:pt>
                <c:pt idx="440">
                  <c:v>29.205800000000135</c:v>
                </c:pt>
                <c:pt idx="441">
                  <c:v>29.205900000000135</c:v>
                </c:pt>
                <c:pt idx="442">
                  <c:v>29.206000000000135</c:v>
                </c:pt>
                <c:pt idx="443">
                  <c:v>29.206100000000134</c:v>
                </c:pt>
                <c:pt idx="444">
                  <c:v>29.206200000000134</c:v>
                </c:pt>
                <c:pt idx="445">
                  <c:v>29.206300000000134</c:v>
                </c:pt>
                <c:pt idx="446">
                  <c:v>29.206400000000134</c:v>
                </c:pt>
                <c:pt idx="447">
                  <c:v>29.206500000000133</c:v>
                </c:pt>
                <c:pt idx="448">
                  <c:v>29.206600000000133</c:v>
                </c:pt>
                <c:pt idx="449">
                  <c:v>29.206700000000133</c:v>
                </c:pt>
                <c:pt idx="450">
                  <c:v>29.206800000000133</c:v>
                </c:pt>
                <c:pt idx="451">
                  <c:v>29.206900000000132</c:v>
                </c:pt>
                <c:pt idx="452">
                  <c:v>29.207000000000132</c:v>
                </c:pt>
                <c:pt idx="453">
                  <c:v>29.207100000000132</c:v>
                </c:pt>
                <c:pt idx="454">
                  <c:v>29.207200000000132</c:v>
                </c:pt>
                <c:pt idx="455">
                  <c:v>29.207300000000131</c:v>
                </c:pt>
                <c:pt idx="456">
                  <c:v>29.207400000000131</c:v>
                </c:pt>
                <c:pt idx="457">
                  <c:v>29.207500000000131</c:v>
                </c:pt>
                <c:pt idx="458">
                  <c:v>29.207600000000131</c:v>
                </c:pt>
                <c:pt idx="459">
                  <c:v>29.207700000000131</c:v>
                </c:pt>
                <c:pt idx="460">
                  <c:v>29.20780000000013</c:v>
                </c:pt>
                <c:pt idx="461">
                  <c:v>29.20790000000013</c:v>
                </c:pt>
                <c:pt idx="462">
                  <c:v>29.20800000000013</c:v>
                </c:pt>
                <c:pt idx="463">
                  <c:v>29.20810000000013</c:v>
                </c:pt>
                <c:pt idx="464">
                  <c:v>29.208200000000129</c:v>
                </c:pt>
                <c:pt idx="465">
                  <c:v>29.208300000000129</c:v>
                </c:pt>
                <c:pt idx="466">
                  <c:v>29.208400000000129</c:v>
                </c:pt>
                <c:pt idx="467">
                  <c:v>29.208500000000129</c:v>
                </c:pt>
                <c:pt idx="468">
                  <c:v>29.208600000000128</c:v>
                </c:pt>
                <c:pt idx="469">
                  <c:v>29.208700000000128</c:v>
                </c:pt>
                <c:pt idx="470">
                  <c:v>29.208800000000128</c:v>
                </c:pt>
                <c:pt idx="471">
                  <c:v>29.208900000000128</c:v>
                </c:pt>
                <c:pt idx="472">
                  <c:v>29.209000000000128</c:v>
                </c:pt>
                <c:pt idx="473">
                  <c:v>29.209100000000127</c:v>
                </c:pt>
                <c:pt idx="474">
                  <c:v>29.209200000000127</c:v>
                </c:pt>
                <c:pt idx="475">
                  <c:v>29.209300000000127</c:v>
                </c:pt>
                <c:pt idx="476">
                  <c:v>29.209400000000127</c:v>
                </c:pt>
                <c:pt idx="477">
                  <c:v>29.209500000000126</c:v>
                </c:pt>
                <c:pt idx="478">
                  <c:v>29.209600000000126</c:v>
                </c:pt>
                <c:pt idx="479">
                  <c:v>29.209700000000126</c:v>
                </c:pt>
                <c:pt idx="480">
                  <c:v>29.209800000000126</c:v>
                </c:pt>
                <c:pt idx="481">
                  <c:v>29.209900000000125</c:v>
                </c:pt>
                <c:pt idx="482">
                  <c:v>29.210000000000125</c:v>
                </c:pt>
                <c:pt idx="483">
                  <c:v>29.210100000000125</c:v>
                </c:pt>
                <c:pt idx="484">
                  <c:v>29.210200000000125</c:v>
                </c:pt>
                <c:pt idx="485">
                  <c:v>29.210300000000124</c:v>
                </c:pt>
                <c:pt idx="486">
                  <c:v>29.210400000000124</c:v>
                </c:pt>
                <c:pt idx="487">
                  <c:v>29.210500000000124</c:v>
                </c:pt>
                <c:pt idx="488">
                  <c:v>29.210600000000124</c:v>
                </c:pt>
                <c:pt idx="489">
                  <c:v>29.210700000000124</c:v>
                </c:pt>
                <c:pt idx="490">
                  <c:v>29.210800000000123</c:v>
                </c:pt>
                <c:pt idx="491">
                  <c:v>29.210900000000123</c:v>
                </c:pt>
                <c:pt idx="492">
                  <c:v>29.211000000000123</c:v>
                </c:pt>
                <c:pt idx="493">
                  <c:v>29.211100000000123</c:v>
                </c:pt>
                <c:pt idx="494">
                  <c:v>29.211200000000122</c:v>
                </c:pt>
                <c:pt idx="495">
                  <c:v>29.211300000000122</c:v>
                </c:pt>
                <c:pt idx="496">
                  <c:v>29.211400000000122</c:v>
                </c:pt>
                <c:pt idx="497">
                  <c:v>29.211500000000122</c:v>
                </c:pt>
                <c:pt idx="498">
                  <c:v>29.211600000000121</c:v>
                </c:pt>
                <c:pt idx="499">
                  <c:v>29.211700000000121</c:v>
                </c:pt>
                <c:pt idx="500">
                  <c:v>29.211800000000121</c:v>
                </c:pt>
                <c:pt idx="501">
                  <c:v>29.211900000000121</c:v>
                </c:pt>
                <c:pt idx="502">
                  <c:v>29.212000000000121</c:v>
                </c:pt>
                <c:pt idx="503">
                  <c:v>29.21210000000012</c:v>
                </c:pt>
                <c:pt idx="504">
                  <c:v>29.21220000000012</c:v>
                </c:pt>
                <c:pt idx="505">
                  <c:v>29.21230000000012</c:v>
                </c:pt>
                <c:pt idx="506">
                  <c:v>29.21240000000012</c:v>
                </c:pt>
                <c:pt idx="507">
                  <c:v>29.212500000000119</c:v>
                </c:pt>
                <c:pt idx="508">
                  <c:v>29.212600000000119</c:v>
                </c:pt>
                <c:pt idx="509">
                  <c:v>29.212700000000119</c:v>
                </c:pt>
                <c:pt idx="510">
                  <c:v>29.212800000000119</c:v>
                </c:pt>
                <c:pt idx="511">
                  <c:v>29.212900000000118</c:v>
                </c:pt>
                <c:pt idx="512">
                  <c:v>29.213000000000118</c:v>
                </c:pt>
                <c:pt idx="513">
                  <c:v>29.213100000000118</c:v>
                </c:pt>
                <c:pt idx="514">
                  <c:v>29.213200000000118</c:v>
                </c:pt>
                <c:pt idx="515">
                  <c:v>29.213300000000118</c:v>
                </c:pt>
                <c:pt idx="516">
                  <c:v>29.213400000000117</c:v>
                </c:pt>
                <c:pt idx="517">
                  <c:v>29.213500000000117</c:v>
                </c:pt>
                <c:pt idx="518">
                  <c:v>29.213600000000117</c:v>
                </c:pt>
                <c:pt idx="519">
                  <c:v>29.213700000000117</c:v>
                </c:pt>
                <c:pt idx="520">
                  <c:v>29.213800000000116</c:v>
                </c:pt>
                <c:pt idx="521">
                  <c:v>29.213900000000116</c:v>
                </c:pt>
                <c:pt idx="522">
                  <c:v>29.214000000000116</c:v>
                </c:pt>
                <c:pt idx="523">
                  <c:v>29.214100000000116</c:v>
                </c:pt>
                <c:pt idx="524">
                  <c:v>29.214200000000115</c:v>
                </c:pt>
                <c:pt idx="525">
                  <c:v>29.214300000000115</c:v>
                </c:pt>
                <c:pt idx="526">
                  <c:v>29.214400000000115</c:v>
                </c:pt>
                <c:pt idx="527">
                  <c:v>29.214500000000115</c:v>
                </c:pt>
                <c:pt idx="528">
                  <c:v>29.214600000000114</c:v>
                </c:pt>
                <c:pt idx="529">
                  <c:v>29.214700000000114</c:v>
                </c:pt>
                <c:pt idx="530">
                  <c:v>29.214800000000114</c:v>
                </c:pt>
                <c:pt idx="531">
                  <c:v>29.214900000000114</c:v>
                </c:pt>
                <c:pt idx="532">
                  <c:v>29.215000000000114</c:v>
                </c:pt>
                <c:pt idx="533">
                  <c:v>29.215100000000113</c:v>
                </c:pt>
                <c:pt idx="534">
                  <c:v>29.215200000000113</c:v>
                </c:pt>
                <c:pt idx="535">
                  <c:v>29.215300000000113</c:v>
                </c:pt>
                <c:pt idx="536">
                  <c:v>29.215400000000113</c:v>
                </c:pt>
                <c:pt idx="537">
                  <c:v>29.215500000000112</c:v>
                </c:pt>
                <c:pt idx="538">
                  <c:v>29.215600000000112</c:v>
                </c:pt>
                <c:pt idx="539">
                  <c:v>29.215700000000112</c:v>
                </c:pt>
                <c:pt idx="540">
                  <c:v>29.215800000000112</c:v>
                </c:pt>
                <c:pt idx="541">
                  <c:v>29.215900000000111</c:v>
                </c:pt>
                <c:pt idx="542">
                  <c:v>29.216000000000111</c:v>
                </c:pt>
                <c:pt idx="543">
                  <c:v>29.216100000000111</c:v>
                </c:pt>
                <c:pt idx="544">
                  <c:v>29.216200000000111</c:v>
                </c:pt>
                <c:pt idx="545">
                  <c:v>29.216300000000111</c:v>
                </c:pt>
                <c:pt idx="546">
                  <c:v>29.21640000000011</c:v>
                </c:pt>
                <c:pt idx="547">
                  <c:v>29.21650000000011</c:v>
                </c:pt>
                <c:pt idx="548">
                  <c:v>29.21660000000011</c:v>
                </c:pt>
                <c:pt idx="549">
                  <c:v>29.21670000000011</c:v>
                </c:pt>
                <c:pt idx="550">
                  <c:v>29.216800000000109</c:v>
                </c:pt>
                <c:pt idx="551">
                  <c:v>29.216900000000109</c:v>
                </c:pt>
                <c:pt idx="552">
                  <c:v>29.217000000000109</c:v>
                </c:pt>
                <c:pt idx="553">
                  <c:v>29.217100000000109</c:v>
                </c:pt>
                <c:pt idx="554">
                  <c:v>29.217200000000108</c:v>
                </c:pt>
                <c:pt idx="555">
                  <c:v>29.217300000000108</c:v>
                </c:pt>
                <c:pt idx="556">
                  <c:v>29.217400000000108</c:v>
                </c:pt>
                <c:pt idx="557">
                  <c:v>29.217500000000108</c:v>
                </c:pt>
                <c:pt idx="558">
                  <c:v>29.217600000000107</c:v>
                </c:pt>
                <c:pt idx="559">
                  <c:v>29.217700000000107</c:v>
                </c:pt>
                <c:pt idx="560">
                  <c:v>29.217800000000107</c:v>
                </c:pt>
                <c:pt idx="561">
                  <c:v>29.217900000000107</c:v>
                </c:pt>
                <c:pt idx="562">
                  <c:v>29.218000000000107</c:v>
                </c:pt>
                <c:pt idx="563">
                  <c:v>29.218100000000106</c:v>
                </c:pt>
                <c:pt idx="564">
                  <c:v>29.218200000000106</c:v>
                </c:pt>
                <c:pt idx="565">
                  <c:v>29.218300000000106</c:v>
                </c:pt>
                <c:pt idx="566">
                  <c:v>29.218400000000106</c:v>
                </c:pt>
                <c:pt idx="567">
                  <c:v>29.218500000000105</c:v>
                </c:pt>
                <c:pt idx="568">
                  <c:v>29.218600000000105</c:v>
                </c:pt>
                <c:pt idx="569">
                  <c:v>29.218700000000105</c:v>
                </c:pt>
                <c:pt idx="570">
                  <c:v>29.218800000000105</c:v>
                </c:pt>
                <c:pt idx="571">
                  <c:v>29.218900000000104</c:v>
                </c:pt>
                <c:pt idx="572">
                  <c:v>29.219000000000104</c:v>
                </c:pt>
                <c:pt idx="573">
                  <c:v>29.219100000000104</c:v>
                </c:pt>
                <c:pt idx="574">
                  <c:v>29.219200000000104</c:v>
                </c:pt>
                <c:pt idx="575">
                  <c:v>29.219300000000104</c:v>
                </c:pt>
                <c:pt idx="576">
                  <c:v>29.219400000000103</c:v>
                </c:pt>
                <c:pt idx="577">
                  <c:v>29.219500000000103</c:v>
                </c:pt>
                <c:pt idx="578">
                  <c:v>29.219600000000103</c:v>
                </c:pt>
                <c:pt idx="579">
                  <c:v>29.219700000000103</c:v>
                </c:pt>
                <c:pt idx="580">
                  <c:v>29.219800000000102</c:v>
                </c:pt>
                <c:pt idx="581">
                  <c:v>29.219900000000102</c:v>
                </c:pt>
                <c:pt idx="582">
                  <c:v>29.220000000000102</c:v>
                </c:pt>
                <c:pt idx="583">
                  <c:v>29.220100000000102</c:v>
                </c:pt>
                <c:pt idx="584">
                  <c:v>29.220200000000101</c:v>
                </c:pt>
                <c:pt idx="585">
                  <c:v>29.220300000000101</c:v>
                </c:pt>
                <c:pt idx="586">
                  <c:v>29.220400000000101</c:v>
                </c:pt>
                <c:pt idx="587">
                  <c:v>29.220500000000101</c:v>
                </c:pt>
                <c:pt idx="588">
                  <c:v>29.2206000000001</c:v>
                </c:pt>
                <c:pt idx="589">
                  <c:v>29.2207000000001</c:v>
                </c:pt>
                <c:pt idx="590">
                  <c:v>29.2208000000001</c:v>
                </c:pt>
                <c:pt idx="591">
                  <c:v>29.2209000000001</c:v>
                </c:pt>
                <c:pt idx="592">
                  <c:v>29.2210000000001</c:v>
                </c:pt>
                <c:pt idx="593">
                  <c:v>29.221100000000099</c:v>
                </c:pt>
                <c:pt idx="594">
                  <c:v>29.221200000000099</c:v>
                </c:pt>
                <c:pt idx="595">
                  <c:v>29.221300000000099</c:v>
                </c:pt>
                <c:pt idx="596">
                  <c:v>29.221400000000099</c:v>
                </c:pt>
                <c:pt idx="597">
                  <c:v>29.221500000000098</c:v>
                </c:pt>
                <c:pt idx="598">
                  <c:v>29.221600000000098</c:v>
                </c:pt>
                <c:pt idx="599">
                  <c:v>29.221700000000098</c:v>
                </c:pt>
                <c:pt idx="600">
                  <c:v>29.221800000000098</c:v>
                </c:pt>
                <c:pt idx="601">
                  <c:v>29.221900000000097</c:v>
                </c:pt>
                <c:pt idx="602">
                  <c:v>29.222000000000097</c:v>
                </c:pt>
                <c:pt idx="603">
                  <c:v>29.222100000000097</c:v>
                </c:pt>
                <c:pt idx="604">
                  <c:v>29.222200000000097</c:v>
                </c:pt>
                <c:pt idx="605">
                  <c:v>29.222300000000097</c:v>
                </c:pt>
                <c:pt idx="606">
                  <c:v>29.222400000000096</c:v>
                </c:pt>
                <c:pt idx="607">
                  <c:v>29.222500000000096</c:v>
                </c:pt>
                <c:pt idx="608">
                  <c:v>29.222600000000096</c:v>
                </c:pt>
                <c:pt idx="609">
                  <c:v>29.222700000000096</c:v>
                </c:pt>
                <c:pt idx="610">
                  <c:v>29.222800000000095</c:v>
                </c:pt>
                <c:pt idx="611">
                  <c:v>29.222900000000095</c:v>
                </c:pt>
                <c:pt idx="612">
                  <c:v>29.223000000000095</c:v>
                </c:pt>
                <c:pt idx="613">
                  <c:v>29.223100000000095</c:v>
                </c:pt>
                <c:pt idx="614">
                  <c:v>29.223200000000094</c:v>
                </c:pt>
                <c:pt idx="615">
                  <c:v>29.223300000000094</c:v>
                </c:pt>
                <c:pt idx="616">
                  <c:v>29.223400000000094</c:v>
                </c:pt>
                <c:pt idx="617">
                  <c:v>29.223500000000094</c:v>
                </c:pt>
                <c:pt idx="618">
                  <c:v>29.223600000000094</c:v>
                </c:pt>
                <c:pt idx="619">
                  <c:v>29.223700000000093</c:v>
                </c:pt>
                <c:pt idx="620">
                  <c:v>29.223800000000093</c:v>
                </c:pt>
                <c:pt idx="621">
                  <c:v>29.223900000000093</c:v>
                </c:pt>
                <c:pt idx="622">
                  <c:v>29.224000000000093</c:v>
                </c:pt>
                <c:pt idx="623">
                  <c:v>29.224100000000092</c:v>
                </c:pt>
                <c:pt idx="624">
                  <c:v>29.224200000000092</c:v>
                </c:pt>
                <c:pt idx="625">
                  <c:v>29.224300000000092</c:v>
                </c:pt>
                <c:pt idx="626">
                  <c:v>29.224400000000092</c:v>
                </c:pt>
                <c:pt idx="627">
                  <c:v>29.224500000000091</c:v>
                </c:pt>
                <c:pt idx="628">
                  <c:v>29.224600000000091</c:v>
                </c:pt>
                <c:pt idx="629">
                  <c:v>29.224700000000091</c:v>
                </c:pt>
                <c:pt idx="630">
                  <c:v>29.224800000000091</c:v>
                </c:pt>
                <c:pt idx="631">
                  <c:v>29.22490000000009</c:v>
                </c:pt>
                <c:pt idx="632">
                  <c:v>29.22500000000009</c:v>
                </c:pt>
                <c:pt idx="633">
                  <c:v>29.22510000000009</c:v>
                </c:pt>
                <c:pt idx="634">
                  <c:v>29.22520000000009</c:v>
                </c:pt>
                <c:pt idx="635">
                  <c:v>29.22530000000009</c:v>
                </c:pt>
                <c:pt idx="636">
                  <c:v>29.225400000000089</c:v>
                </c:pt>
                <c:pt idx="637">
                  <c:v>29.225500000000089</c:v>
                </c:pt>
                <c:pt idx="638">
                  <c:v>29.225600000000089</c:v>
                </c:pt>
                <c:pt idx="639">
                  <c:v>29.225700000000089</c:v>
                </c:pt>
                <c:pt idx="640">
                  <c:v>29.225800000000088</c:v>
                </c:pt>
                <c:pt idx="641">
                  <c:v>29.225900000000088</c:v>
                </c:pt>
                <c:pt idx="642">
                  <c:v>29.226000000000088</c:v>
                </c:pt>
                <c:pt idx="643">
                  <c:v>29.226100000000088</c:v>
                </c:pt>
                <c:pt idx="644">
                  <c:v>29.226200000000087</c:v>
                </c:pt>
                <c:pt idx="645">
                  <c:v>29.226300000000087</c:v>
                </c:pt>
                <c:pt idx="646">
                  <c:v>29.226400000000087</c:v>
                </c:pt>
                <c:pt idx="647">
                  <c:v>29.226500000000087</c:v>
                </c:pt>
                <c:pt idx="648">
                  <c:v>29.226600000000087</c:v>
                </c:pt>
                <c:pt idx="649">
                  <c:v>29.226700000000086</c:v>
                </c:pt>
                <c:pt idx="650">
                  <c:v>29.226800000000086</c:v>
                </c:pt>
                <c:pt idx="651">
                  <c:v>29.226900000000086</c:v>
                </c:pt>
                <c:pt idx="652">
                  <c:v>29.227000000000086</c:v>
                </c:pt>
                <c:pt idx="653">
                  <c:v>29.227100000000085</c:v>
                </c:pt>
                <c:pt idx="654">
                  <c:v>29.227200000000085</c:v>
                </c:pt>
                <c:pt idx="655">
                  <c:v>29.227300000000085</c:v>
                </c:pt>
                <c:pt idx="656">
                  <c:v>29.227400000000085</c:v>
                </c:pt>
                <c:pt idx="657">
                  <c:v>29.227500000000084</c:v>
                </c:pt>
                <c:pt idx="658">
                  <c:v>29.227600000000084</c:v>
                </c:pt>
                <c:pt idx="659">
                  <c:v>29.227700000000084</c:v>
                </c:pt>
                <c:pt idx="660">
                  <c:v>29.227800000000084</c:v>
                </c:pt>
                <c:pt idx="661">
                  <c:v>29.227900000000083</c:v>
                </c:pt>
                <c:pt idx="662">
                  <c:v>29.228000000000083</c:v>
                </c:pt>
                <c:pt idx="663">
                  <c:v>29.228100000000083</c:v>
                </c:pt>
                <c:pt idx="664">
                  <c:v>29.228200000000083</c:v>
                </c:pt>
                <c:pt idx="665">
                  <c:v>29.228300000000083</c:v>
                </c:pt>
                <c:pt idx="666">
                  <c:v>29.228400000000082</c:v>
                </c:pt>
                <c:pt idx="667">
                  <c:v>29.228500000000082</c:v>
                </c:pt>
                <c:pt idx="668">
                  <c:v>29.228600000000082</c:v>
                </c:pt>
                <c:pt idx="669">
                  <c:v>29.228700000000082</c:v>
                </c:pt>
                <c:pt idx="670">
                  <c:v>29.228800000000081</c:v>
                </c:pt>
                <c:pt idx="671">
                  <c:v>29.228900000000081</c:v>
                </c:pt>
                <c:pt idx="672">
                  <c:v>29.229000000000081</c:v>
                </c:pt>
                <c:pt idx="673">
                  <c:v>29.229100000000081</c:v>
                </c:pt>
                <c:pt idx="674">
                  <c:v>29.22920000000008</c:v>
                </c:pt>
                <c:pt idx="675">
                  <c:v>29.22930000000008</c:v>
                </c:pt>
                <c:pt idx="676">
                  <c:v>29.22940000000008</c:v>
                </c:pt>
                <c:pt idx="677">
                  <c:v>29.22950000000008</c:v>
                </c:pt>
                <c:pt idx="678">
                  <c:v>29.22960000000008</c:v>
                </c:pt>
                <c:pt idx="679">
                  <c:v>29.229700000000079</c:v>
                </c:pt>
                <c:pt idx="680">
                  <c:v>29.229800000000079</c:v>
                </c:pt>
                <c:pt idx="681">
                  <c:v>29.229900000000079</c:v>
                </c:pt>
                <c:pt idx="682">
                  <c:v>29.230000000000079</c:v>
                </c:pt>
                <c:pt idx="683">
                  <c:v>29.230100000000078</c:v>
                </c:pt>
                <c:pt idx="684">
                  <c:v>29.230200000000078</c:v>
                </c:pt>
                <c:pt idx="685">
                  <c:v>29.230300000000078</c:v>
                </c:pt>
                <c:pt idx="686">
                  <c:v>29.230400000000078</c:v>
                </c:pt>
                <c:pt idx="687">
                  <c:v>29.230500000000077</c:v>
                </c:pt>
                <c:pt idx="688">
                  <c:v>29.230600000000077</c:v>
                </c:pt>
                <c:pt idx="689">
                  <c:v>29.230700000000077</c:v>
                </c:pt>
                <c:pt idx="690">
                  <c:v>29.230800000000077</c:v>
                </c:pt>
                <c:pt idx="691">
                  <c:v>29.230900000000076</c:v>
                </c:pt>
                <c:pt idx="692">
                  <c:v>29.231000000000076</c:v>
                </c:pt>
                <c:pt idx="693">
                  <c:v>29.231100000000076</c:v>
                </c:pt>
                <c:pt idx="694">
                  <c:v>29.231200000000076</c:v>
                </c:pt>
                <c:pt idx="695">
                  <c:v>29.231300000000076</c:v>
                </c:pt>
                <c:pt idx="696">
                  <c:v>29.231400000000075</c:v>
                </c:pt>
                <c:pt idx="697">
                  <c:v>29.231500000000075</c:v>
                </c:pt>
                <c:pt idx="698">
                  <c:v>29.231600000000075</c:v>
                </c:pt>
                <c:pt idx="699">
                  <c:v>29.231700000000075</c:v>
                </c:pt>
                <c:pt idx="700">
                  <c:v>29.231800000000074</c:v>
                </c:pt>
                <c:pt idx="701">
                  <c:v>29.231900000000074</c:v>
                </c:pt>
                <c:pt idx="702">
                  <c:v>29.232000000000074</c:v>
                </c:pt>
                <c:pt idx="703">
                  <c:v>29.232100000000074</c:v>
                </c:pt>
                <c:pt idx="704">
                  <c:v>29.232200000000073</c:v>
                </c:pt>
                <c:pt idx="705">
                  <c:v>29.232300000000073</c:v>
                </c:pt>
                <c:pt idx="706">
                  <c:v>29.232400000000073</c:v>
                </c:pt>
                <c:pt idx="707">
                  <c:v>29.232500000000073</c:v>
                </c:pt>
                <c:pt idx="708">
                  <c:v>29.232600000000073</c:v>
                </c:pt>
                <c:pt idx="709">
                  <c:v>29.232700000000072</c:v>
                </c:pt>
                <c:pt idx="710">
                  <c:v>29.232800000000072</c:v>
                </c:pt>
                <c:pt idx="711">
                  <c:v>29.232900000000072</c:v>
                </c:pt>
                <c:pt idx="712">
                  <c:v>29.233000000000072</c:v>
                </c:pt>
                <c:pt idx="713">
                  <c:v>29.233100000000071</c:v>
                </c:pt>
                <c:pt idx="714">
                  <c:v>29.233200000000071</c:v>
                </c:pt>
                <c:pt idx="715">
                  <c:v>29.233300000000071</c:v>
                </c:pt>
                <c:pt idx="716">
                  <c:v>29.233400000000071</c:v>
                </c:pt>
                <c:pt idx="717">
                  <c:v>29.23350000000007</c:v>
                </c:pt>
                <c:pt idx="718">
                  <c:v>29.23360000000007</c:v>
                </c:pt>
                <c:pt idx="719">
                  <c:v>29.23370000000007</c:v>
                </c:pt>
                <c:pt idx="720">
                  <c:v>29.23380000000007</c:v>
                </c:pt>
                <c:pt idx="721">
                  <c:v>29.233900000000069</c:v>
                </c:pt>
                <c:pt idx="722">
                  <c:v>29.234000000000069</c:v>
                </c:pt>
                <c:pt idx="723">
                  <c:v>29.234100000000069</c:v>
                </c:pt>
                <c:pt idx="724">
                  <c:v>29.234200000000069</c:v>
                </c:pt>
                <c:pt idx="725">
                  <c:v>29.234300000000069</c:v>
                </c:pt>
                <c:pt idx="726">
                  <c:v>29.234400000000068</c:v>
                </c:pt>
                <c:pt idx="727">
                  <c:v>29.234500000000068</c:v>
                </c:pt>
                <c:pt idx="728">
                  <c:v>29.234600000000068</c:v>
                </c:pt>
                <c:pt idx="729">
                  <c:v>29.234700000000068</c:v>
                </c:pt>
                <c:pt idx="730">
                  <c:v>29.234800000000067</c:v>
                </c:pt>
                <c:pt idx="731">
                  <c:v>29.234900000000067</c:v>
                </c:pt>
                <c:pt idx="732">
                  <c:v>29.235000000000067</c:v>
                </c:pt>
                <c:pt idx="733">
                  <c:v>29.235100000000067</c:v>
                </c:pt>
                <c:pt idx="734">
                  <c:v>29.235200000000066</c:v>
                </c:pt>
                <c:pt idx="735">
                  <c:v>29.235300000000066</c:v>
                </c:pt>
                <c:pt idx="736">
                  <c:v>29.235400000000066</c:v>
                </c:pt>
                <c:pt idx="737">
                  <c:v>29.235500000000066</c:v>
                </c:pt>
                <c:pt idx="738">
                  <c:v>29.235600000000066</c:v>
                </c:pt>
                <c:pt idx="739">
                  <c:v>29.235700000000065</c:v>
                </c:pt>
                <c:pt idx="740">
                  <c:v>29.235800000000065</c:v>
                </c:pt>
                <c:pt idx="741">
                  <c:v>29.235900000000065</c:v>
                </c:pt>
                <c:pt idx="742">
                  <c:v>29.236000000000065</c:v>
                </c:pt>
                <c:pt idx="743">
                  <c:v>29.236100000000064</c:v>
                </c:pt>
                <c:pt idx="744">
                  <c:v>29.236200000000064</c:v>
                </c:pt>
                <c:pt idx="745">
                  <c:v>29.236300000000064</c:v>
                </c:pt>
                <c:pt idx="746">
                  <c:v>29.236400000000064</c:v>
                </c:pt>
                <c:pt idx="747">
                  <c:v>29.236500000000063</c:v>
                </c:pt>
                <c:pt idx="748">
                  <c:v>29.236600000000063</c:v>
                </c:pt>
                <c:pt idx="749">
                  <c:v>29.236700000000063</c:v>
                </c:pt>
                <c:pt idx="750">
                  <c:v>29.236800000000063</c:v>
                </c:pt>
                <c:pt idx="751">
                  <c:v>29.236900000000063</c:v>
                </c:pt>
                <c:pt idx="752">
                  <c:v>29.237000000000062</c:v>
                </c:pt>
                <c:pt idx="753">
                  <c:v>29.237100000000062</c:v>
                </c:pt>
                <c:pt idx="754">
                  <c:v>29.237200000000062</c:v>
                </c:pt>
                <c:pt idx="755">
                  <c:v>29.237300000000062</c:v>
                </c:pt>
                <c:pt idx="756">
                  <c:v>29.237400000000061</c:v>
                </c:pt>
                <c:pt idx="757">
                  <c:v>29.237500000000061</c:v>
                </c:pt>
                <c:pt idx="758">
                  <c:v>29.237600000000061</c:v>
                </c:pt>
                <c:pt idx="759">
                  <c:v>29.237700000000061</c:v>
                </c:pt>
                <c:pt idx="760">
                  <c:v>29.23780000000006</c:v>
                </c:pt>
                <c:pt idx="761">
                  <c:v>29.23790000000006</c:v>
                </c:pt>
                <c:pt idx="762">
                  <c:v>29.23800000000006</c:v>
                </c:pt>
                <c:pt idx="763">
                  <c:v>29.23810000000006</c:v>
                </c:pt>
                <c:pt idx="764">
                  <c:v>29.238200000000059</c:v>
                </c:pt>
                <c:pt idx="765">
                  <c:v>29.238300000000059</c:v>
                </c:pt>
                <c:pt idx="766">
                  <c:v>29.238400000000059</c:v>
                </c:pt>
                <c:pt idx="767">
                  <c:v>29.238500000000059</c:v>
                </c:pt>
                <c:pt idx="768">
                  <c:v>29.238600000000059</c:v>
                </c:pt>
                <c:pt idx="769">
                  <c:v>29.238700000000058</c:v>
                </c:pt>
                <c:pt idx="770">
                  <c:v>29.238800000000058</c:v>
                </c:pt>
                <c:pt idx="771">
                  <c:v>29.238900000000058</c:v>
                </c:pt>
                <c:pt idx="772">
                  <c:v>29.239000000000058</c:v>
                </c:pt>
                <c:pt idx="773">
                  <c:v>29.239100000000057</c:v>
                </c:pt>
                <c:pt idx="774">
                  <c:v>29.239200000000057</c:v>
                </c:pt>
                <c:pt idx="775">
                  <c:v>29.239300000000057</c:v>
                </c:pt>
                <c:pt idx="776">
                  <c:v>29.239400000000057</c:v>
                </c:pt>
                <c:pt idx="777">
                  <c:v>29.239500000000056</c:v>
                </c:pt>
                <c:pt idx="778">
                  <c:v>29.239600000000056</c:v>
                </c:pt>
                <c:pt idx="779">
                  <c:v>29.239700000000056</c:v>
                </c:pt>
                <c:pt idx="780">
                  <c:v>29.239800000000056</c:v>
                </c:pt>
                <c:pt idx="781">
                  <c:v>29.239900000000056</c:v>
                </c:pt>
                <c:pt idx="782">
                  <c:v>29.240000000000055</c:v>
                </c:pt>
                <c:pt idx="783">
                  <c:v>29.240100000000055</c:v>
                </c:pt>
                <c:pt idx="784">
                  <c:v>29.240200000000055</c:v>
                </c:pt>
                <c:pt idx="785">
                  <c:v>29.240300000000055</c:v>
                </c:pt>
                <c:pt idx="786">
                  <c:v>29.240400000000054</c:v>
                </c:pt>
                <c:pt idx="787">
                  <c:v>29.240500000000054</c:v>
                </c:pt>
                <c:pt idx="788">
                  <c:v>29.240600000000054</c:v>
                </c:pt>
                <c:pt idx="789">
                  <c:v>29.240700000000054</c:v>
                </c:pt>
                <c:pt idx="790">
                  <c:v>29.240800000000053</c:v>
                </c:pt>
                <c:pt idx="791">
                  <c:v>29.240900000000053</c:v>
                </c:pt>
                <c:pt idx="792">
                  <c:v>29.241000000000053</c:v>
                </c:pt>
                <c:pt idx="793">
                  <c:v>29.241100000000053</c:v>
                </c:pt>
                <c:pt idx="794">
                  <c:v>29.241200000000052</c:v>
                </c:pt>
                <c:pt idx="795">
                  <c:v>29.241300000000052</c:v>
                </c:pt>
                <c:pt idx="796">
                  <c:v>29.241400000000052</c:v>
                </c:pt>
                <c:pt idx="797">
                  <c:v>29.241500000000052</c:v>
                </c:pt>
                <c:pt idx="798">
                  <c:v>29.241600000000052</c:v>
                </c:pt>
                <c:pt idx="799">
                  <c:v>29.241700000000051</c:v>
                </c:pt>
                <c:pt idx="800">
                  <c:v>29.241800000000051</c:v>
                </c:pt>
                <c:pt idx="801">
                  <c:v>29.241900000000051</c:v>
                </c:pt>
                <c:pt idx="802">
                  <c:v>29.242000000000051</c:v>
                </c:pt>
                <c:pt idx="803">
                  <c:v>29.24210000000005</c:v>
                </c:pt>
                <c:pt idx="804">
                  <c:v>29.24220000000005</c:v>
                </c:pt>
                <c:pt idx="805">
                  <c:v>29.24230000000005</c:v>
                </c:pt>
                <c:pt idx="806">
                  <c:v>29.24240000000005</c:v>
                </c:pt>
                <c:pt idx="807">
                  <c:v>29.242500000000049</c:v>
                </c:pt>
                <c:pt idx="808">
                  <c:v>29.242600000000049</c:v>
                </c:pt>
                <c:pt idx="809">
                  <c:v>29.242700000000049</c:v>
                </c:pt>
                <c:pt idx="810">
                  <c:v>29.242800000000049</c:v>
                </c:pt>
                <c:pt idx="811">
                  <c:v>29.242900000000049</c:v>
                </c:pt>
                <c:pt idx="812">
                  <c:v>29.243000000000048</c:v>
                </c:pt>
                <c:pt idx="813">
                  <c:v>29.243100000000048</c:v>
                </c:pt>
                <c:pt idx="814">
                  <c:v>29.243200000000048</c:v>
                </c:pt>
                <c:pt idx="815">
                  <c:v>29.243300000000048</c:v>
                </c:pt>
                <c:pt idx="816">
                  <c:v>29.243400000000047</c:v>
                </c:pt>
                <c:pt idx="817">
                  <c:v>29.243500000000047</c:v>
                </c:pt>
                <c:pt idx="818">
                  <c:v>29.243600000000047</c:v>
                </c:pt>
                <c:pt idx="819">
                  <c:v>29.243700000000047</c:v>
                </c:pt>
                <c:pt idx="820">
                  <c:v>29.243800000000046</c:v>
                </c:pt>
                <c:pt idx="821">
                  <c:v>29.243900000000046</c:v>
                </c:pt>
                <c:pt idx="822">
                  <c:v>29.244000000000046</c:v>
                </c:pt>
                <c:pt idx="823">
                  <c:v>29.244100000000046</c:v>
                </c:pt>
                <c:pt idx="824">
                  <c:v>29.244200000000045</c:v>
                </c:pt>
                <c:pt idx="825">
                  <c:v>29.244300000000045</c:v>
                </c:pt>
                <c:pt idx="826">
                  <c:v>29.244400000000045</c:v>
                </c:pt>
                <c:pt idx="827">
                  <c:v>29.244500000000045</c:v>
                </c:pt>
                <c:pt idx="828">
                  <c:v>29.244600000000045</c:v>
                </c:pt>
                <c:pt idx="829">
                  <c:v>29.244700000000044</c:v>
                </c:pt>
                <c:pt idx="830">
                  <c:v>29.244800000000044</c:v>
                </c:pt>
                <c:pt idx="831">
                  <c:v>29.244900000000044</c:v>
                </c:pt>
                <c:pt idx="832">
                  <c:v>29.245000000000044</c:v>
                </c:pt>
                <c:pt idx="833">
                  <c:v>29.245100000000043</c:v>
                </c:pt>
                <c:pt idx="834">
                  <c:v>29.245200000000043</c:v>
                </c:pt>
                <c:pt idx="835">
                  <c:v>29.245300000000043</c:v>
                </c:pt>
                <c:pt idx="836">
                  <c:v>29.245400000000043</c:v>
                </c:pt>
                <c:pt idx="837">
                  <c:v>29.245500000000042</c:v>
                </c:pt>
                <c:pt idx="838">
                  <c:v>29.245600000000042</c:v>
                </c:pt>
                <c:pt idx="839">
                  <c:v>29.245700000000042</c:v>
                </c:pt>
                <c:pt idx="840">
                  <c:v>29.245800000000042</c:v>
                </c:pt>
                <c:pt idx="841">
                  <c:v>29.245900000000042</c:v>
                </c:pt>
                <c:pt idx="842">
                  <c:v>29.246000000000041</c:v>
                </c:pt>
                <c:pt idx="843">
                  <c:v>29.246100000000041</c:v>
                </c:pt>
                <c:pt idx="844">
                  <c:v>29.246200000000041</c:v>
                </c:pt>
                <c:pt idx="845">
                  <c:v>29.246300000000041</c:v>
                </c:pt>
                <c:pt idx="846">
                  <c:v>29.24640000000004</c:v>
                </c:pt>
                <c:pt idx="847">
                  <c:v>29.24650000000004</c:v>
                </c:pt>
                <c:pt idx="848">
                  <c:v>29.24660000000004</c:v>
                </c:pt>
                <c:pt idx="849">
                  <c:v>29.24670000000004</c:v>
                </c:pt>
                <c:pt idx="850">
                  <c:v>29.246800000000039</c:v>
                </c:pt>
                <c:pt idx="851">
                  <c:v>29.246900000000039</c:v>
                </c:pt>
                <c:pt idx="852">
                  <c:v>29.247000000000039</c:v>
                </c:pt>
                <c:pt idx="853">
                  <c:v>29.247100000000039</c:v>
                </c:pt>
                <c:pt idx="854">
                  <c:v>29.247200000000039</c:v>
                </c:pt>
                <c:pt idx="855">
                  <c:v>29.247300000000038</c:v>
                </c:pt>
                <c:pt idx="856">
                  <c:v>29.247400000000038</c:v>
                </c:pt>
                <c:pt idx="857">
                  <c:v>29.247500000000038</c:v>
                </c:pt>
                <c:pt idx="858">
                  <c:v>29.247600000000038</c:v>
                </c:pt>
                <c:pt idx="859">
                  <c:v>29.247700000000037</c:v>
                </c:pt>
                <c:pt idx="860">
                  <c:v>29.247800000000037</c:v>
                </c:pt>
                <c:pt idx="861">
                  <c:v>29.247900000000037</c:v>
                </c:pt>
                <c:pt idx="862">
                  <c:v>29.248000000000037</c:v>
                </c:pt>
                <c:pt idx="863">
                  <c:v>29.248100000000036</c:v>
                </c:pt>
                <c:pt idx="864">
                  <c:v>29.248200000000036</c:v>
                </c:pt>
                <c:pt idx="865">
                  <c:v>29.248300000000036</c:v>
                </c:pt>
                <c:pt idx="866">
                  <c:v>29.248400000000036</c:v>
                </c:pt>
                <c:pt idx="867">
                  <c:v>29.248500000000035</c:v>
                </c:pt>
                <c:pt idx="868">
                  <c:v>29.248600000000035</c:v>
                </c:pt>
                <c:pt idx="869">
                  <c:v>29.248700000000035</c:v>
                </c:pt>
                <c:pt idx="870">
                  <c:v>29.248800000000035</c:v>
                </c:pt>
                <c:pt idx="871">
                  <c:v>29.248900000000035</c:v>
                </c:pt>
                <c:pt idx="872">
                  <c:v>29.249000000000034</c:v>
                </c:pt>
                <c:pt idx="873">
                  <c:v>29.249100000000034</c:v>
                </c:pt>
                <c:pt idx="874">
                  <c:v>29.249200000000034</c:v>
                </c:pt>
                <c:pt idx="875">
                  <c:v>29.249300000000034</c:v>
                </c:pt>
                <c:pt idx="876">
                  <c:v>29.249400000000033</c:v>
                </c:pt>
                <c:pt idx="877">
                  <c:v>29.249500000000033</c:v>
                </c:pt>
                <c:pt idx="878">
                  <c:v>29.249600000000033</c:v>
                </c:pt>
                <c:pt idx="879">
                  <c:v>29.249700000000033</c:v>
                </c:pt>
                <c:pt idx="880">
                  <c:v>29.249800000000032</c:v>
                </c:pt>
                <c:pt idx="881">
                  <c:v>29.249900000000032</c:v>
                </c:pt>
                <c:pt idx="882">
                  <c:v>29.250000000000032</c:v>
                </c:pt>
                <c:pt idx="883">
                  <c:v>29.250100000000032</c:v>
                </c:pt>
                <c:pt idx="884">
                  <c:v>29.250200000000032</c:v>
                </c:pt>
                <c:pt idx="885">
                  <c:v>29.250300000000031</c:v>
                </c:pt>
                <c:pt idx="886">
                  <c:v>29.250400000000031</c:v>
                </c:pt>
                <c:pt idx="887">
                  <c:v>29.250500000000031</c:v>
                </c:pt>
                <c:pt idx="888">
                  <c:v>29.250600000000031</c:v>
                </c:pt>
                <c:pt idx="889">
                  <c:v>29.25070000000003</c:v>
                </c:pt>
                <c:pt idx="890">
                  <c:v>29.25080000000003</c:v>
                </c:pt>
                <c:pt idx="891">
                  <c:v>29.25090000000003</c:v>
                </c:pt>
                <c:pt idx="892">
                  <c:v>29.25100000000003</c:v>
                </c:pt>
                <c:pt idx="893">
                  <c:v>29.251100000000029</c:v>
                </c:pt>
                <c:pt idx="894">
                  <c:v>29.251200000000029</c:v>
                </c:pt>
                <c:pt idx="895">
                  <c:v>29.251300000000029</c:v>
                </c:pt>
                <c:pt idx="896">
                  <c:v>29.251400000000029</c:v>
                </c:pt>
                <c:pt idx="897">
                  <c:v>29.251500000000028</c:v>
                </c:pt>
                <c:pt idx="898">
                  <c:v>29.251600000000028</c:v>
                </c:pt>
                <c:pt idx="899">
                  <c:v>29.251700000000028</c:v>
                </c:pt>
                <c:pt idx="900">
                  <c:v>29.251800000000028</c:v>
                </c:pt>
                <c:pt idx="901">
                  <c:v>29.251900000000028</c:v>
                </c:pt>
                <c:pt idx="902">
                  <c:v>29.252000000000027</c:v>
                </c:pt>
                <c:pt idx="903">
                  <c:v>29.252100000000027</c:v>
                </c:pt>
                <c:pt idx="904">
                  <c:v>29.252200000000027</c:v>
                </c:pt>
                <c:pt idx="905">
                  <c:v>29.252300000000027</c:v>
                </c:pt>
                <c:pt idx="906">
                  <c:v>29.252400000000026</c:v>
                </c:pt>
                <c:pt idx="907">
                  <c:v>29.252500000000026</c:v>
                </c:pt>
                <c:pt idx="908">
                  <c:v>29.252600000000026</c:v>
                </c:pt>
                <c:pt idx="909">
                  <c:v>29.252700000000026</c:v>
                </c:pt>
                <c:pt idx="910">
                  <c:v>29.252800000000025</c:v>
                </c:pt>
                <c:pt idx="911">
                  <c:v>29.252900000000025</c:v>
                </c:pt>
                <c:pt idx="912">
                  <c:v>29.253000000000025</c:v>
                </c:pt>
                <c:pt idx="913">
                  <c:v>29.253100000000025</c:v>
                </c:pt>
                <c:pt idx="914">
                  <c:v>29.253200000000025</c:v>
                </c:pt>
                <c:pt idx="915">
                  <c:v>29.253300000000024</c:v>
                </c:pt>
                <c:pt idx="916">
                  <c:v>29.253400000000024</c:v>
                </c:pt>
                <c:pt idx="917">
                  <c:v>29.253500000000024</c:v>
                </c:pt>
                <c:pt idx="918">
                  <c:v>29.253600000000024</c:v>
                </c:pt>
                <c:pt idx="919">
                  <c:v>29.253700000000023</c:v>
                </c:pt>
                <c:pt idx="920">
                  <c:v>29.253800000000023</c:v>
                </c:pt>
                <c:pt idx="921">
                  <c:v>29.253900000000023</c:v>
                </c:pt>
                <c:pt idx="922">
                  <c:v>29.254000000000023</c:v>
                </c:pt>
                <c:pt idx="923">
                  <c:v>29.254100000000022</c:v>
                </c:pt>
                <c:pt idx="924">
                  <c:v>29.254200000000022</c:v>
                </c:pt>
                <c:pt idx="925">
                  <c:v>29.254300000000022</c:v>
                </c:pt>
                <c:pt idx="926">
                  <c:v>29.254400000000022</c:v>
                </c:pt>
                <c:pt idx="927">
                  <c:v>29.254500000000021</c:v>
                </c:pt>
                <c:pt idx="928">
                  <c:v>29.254600000000021</c:v>
                </c:pt>
                <c:pt idx="929">
                  <c:v>29.254700000000021</c:v>
                </c:pt>
                <c:pt idx="930">
                  <c:v>29.254800000000021</c:v>
                </c:pt>
                <c:pt idx="931">
                  <c:v>29.254900000000021</c:v>
                </c:pt>
                <c:pt idx="932">
                  <c:v>29.25500000000002</c:v>
                </c:pt>
                <c:pt idx="933">
                  <c:v>29.25510000000002</c:v>
                </c:pt>
                <c:pt idx="934">
                  <c:v>29.25520000000002</c:v>
                </c:pt>
                <c:pt idx="935">
                  <c:v>29.25530000000002</c:v>
                </c:pt>
                <c:pt idx="936">
                  <c:v>29.255400000000019</c:v>
                </c:pt>
                <c:pt idx="937">
                  <c:v>29.255500000000019</c:v>
                </c:pt>
                <c:pt idx="938">
                  <c:v>29.255600000000019</c:v>
                </c:pt>
                <c:pt idx="939">
                  <c:v>29.255700000000019</c:v>
                </c:pt>
                <c:pt idx="940">
                  <c:v>29.255800000000018</c:v>
                </c:pt>
                <c:pt idx="941">
                  <c:v>29.255900000000018</c:v>
                </c:pt>
                <c:pt idx="942">
                  <c:v>29.256000000000018</c:v>
                </c:pt>
                <c:pt idx="943">
                  <c:v>29.256100000000018</c:v>
                </c:pt>
                <c:pt idx="944">
                  <c:v>29.256200000000018</c:v>
                </c:pt>
                <c:pt idx="945">
                  <c:v>29.256300000000017</c:v>
                </c:pt>
                <c:pt idx="946">
                  <c:v>29.256400000000017</c:v>
                </c:pt>
                <c:pt idx="947">
                  <c:v>29.256500000000017</c:v>
                </c:pt>
                <c:pt idx="948">
                  <c:v>29.256600000000017</c:v>
                </c:pt>
                <c:pt idx="949">
                  <c:v>29.256700000000016</c:v>
                </c:pt>
                <c:pt idx="950">
                  <c:v>29.256800000000016</c:v>
                </c:pt>
                <c:pt idx="951">
                  <c:v>29.256900000000016</c:v>
                </c:pt>
                <c:pt idx="952">
                  <c:v>29.257000000000016</c:v>
                </c:pt>
                <c:pt idx="953">
                  <c:v>29.257100000000015</c:v>
                </c:pt>
                <c:pt idx="954">
                  <c:v>29.257200000000015</c:v>
                </c:pt>
                <c:pt idx="955">
                  <c:v>29.257300000000015</c:v>
                </c:pt>
                <c:pt idx="956">
                  <c:v>29.257400000000015</c:v>
                </c:pt>
                <c:pt idx="957">
                  <c:v>29.257500000000014</c:v>
                </c:pt>
                <c:pt idx="958">
                  <c:v>29.257600000000014</c:v>
                </c:pt>
                <c:pt idx="959">
                  <c:v>29.257700000000014</c:v>
                </c:pt>
                <c:pt idx="960">
                  <c:v>29.257800000000014</c:v>
                </c:pt>
                <c:pt idx="961">
                  <c:v>29.257900000000014</c:v>
                </c:pt>
                <c:pt idx="962">
                  <c:v>29.258000000000013</c:v>
                </c:pt>
                <c:pt idx="963">
                  <c:v>29.258100000000013</c:v>
                </c:pt>
                <c:pt idx="964">
                  <c:v>29.258200000000013</c:v>
                </c:pt>
                <c:pt idx="965">
                  <c:v>29.258300000000013</c:v>
                </c:pt>
                <c:pt idx="966">
                  <c:v>29.258400000000012</c:v>
                </c:pt>
                <c:pt idx="967">
                  <c:v>29.258500000000012</c:v>
                </c:pt>
                <c:pt idx="968">
                  <c:v>29.258600000000012</c:v>
                </c:pt>
                <c:pt idx="969">
                  <c:v>29.258700000000012</c:v>
                </c:pt>
                <c:pt idx="970">
                  <c:v>29.258800000000011</c:v>
                </c:pt>
                <c:pt idx="971">
                  <c:v>29.258900000000011</c:v>
                </c:pt>
                <c:pt idx="972">
                  <c:v>29.259000000000011</c:v>
                </c:pt>
                <c:pt idx="973">
                  <c:v>29.259100000000011</c:v>
                </c:pt>
                <c:pt idx="974">
                  <c:v>29.259200000000011</c:v>
                </c:pt>
                <c:pt idx="975">
                  <c:v>29.25930000000001</c:v>
                </c:pt>
                <c:pt idx="976">
                  <c:v>29.25940000000001</c:v>
                </c:pt>
                <c:pt idx="977">
                  <c:v>29.25950000000001</c:v>
                </c:pt>
                <c:pt idx="978">
                  <c:v>29.25960000000001</c:v>
                </c:pt>
                <c:pt idx="979">
                  <c:v>29.259700000000009</c:v>
                </c:pt>
                <c:pt idx="980">
                  <c:v>29.259800000000009</c:v>
                </c:pt>
                <c:pt idx="981">
                  <c:v>29.259900000000009</c:v>
                </c:pt>
                <c:pt idx="982">
                  <c:v>29.260000000000009</c:v>
                </c:pt>
                <c:pt idx="983">
                  <c:v>29.260100000000008</c:v>
                </c:pt>
                <c:pt idx="984">
                  <c:v>29.260200000000008</c:v>
                </c:pt>
                <c:pt idx="985">
                  <c:v>29.260300000000008</c:v>
                </c:pt>
                <c:pt idx="986">
                  <c:v>29.260400000000008</c:v>
                </c:pt>
                <c:pt idx="987">
                  <c:v>29.260500000000008</c:v>
                </c:pt>
                <c:pt idx="988">
                  <c:v>29.260600000000007</c:v>
                </c:pt>
                <c:pt idx="989">
                  <c:v>29.260700000000007</c:v>
                </c:pt>
                <c:pt idx="990">
                  <c:v>29.260800000000007</c:v>
                </c:pt>
                <c:pt idx="991">
                  <c:v>29.260900000000007</c:v>
                </c:pt>
                <c:pt idx="992">
                  <c:v>29.261000000000006</c:v>
                </c:pt>
                <c:pt idx="993">
                  <c:v>29.261100000000006</c:v>
                </c:pt>
                <c:pt idx="994">
                  <c:v>29.261200000000006</c:v>
                </c:pt>
                <c:pt idx="995">
                  <c:v>29.261300000000006</c:v>
                </c:pt>
                <c:pt idx="996">
                  <c:v>29.261400000000005</c:v>
                </c:pt>
                <c:pt idx="997">
                  <c:v>29.261500000000005</c:v>
                </c:pt>
                <c:pt idx="998">
                  <c:v>29.261600000000005</c:v>
                </c:pt>
                <c:pt idx="999">
                  <c:v>29.261700000000005</c:v>
                </c:pt>
                <c:pt idx="1000">
                  <c:v>29.261800000000004</c:v>
                </c:pt>
              </c:numCache>
            </c:numRef>
          </c:xVal>
          <c:yVal>
            <c:numRef>
              <c:f>Calculs!$I$4:$I$1004</c:f>
              <c:numCache>
                <c:formatCode>0.00</c:formatCode>
                <c:ptCount val="1001"/>
                <c:pt idx="0">
                  <c:v>155.35373067854024</c:v>
                </c:pt>
                <c:pt idx="1">
                  <c:v>155.09016152587523</c:v>
                </c:pt>
                <c:pt idx="2">
                  <c:v>154.82719509440446</c:v>
                </c:pt>
                <c:pt idx="3">
                  <c:v>154.56482886987089</c:v>
                </c:pt>
                <c:pt idx="4">
                  <c:v>154.30306035209668</c:v>
                </c:pt>
                <c:pt idx="5">
                  <c:v>154.04188705488448</c:v>
                </c:pt>
                <c:pt idx="6">
                  <c:v>153.78130650592044</c:v>
                </c:pt>
                <c:pt idx="7">
                  <c:v>153.5213162466772</c:v>
                </c:pt>
                <c:pt idx="8">
                  <c:v>153.26191383231841</c:v>
                </c:pt>
                <c:pt idx="9">
                  <c:v>153.0030968316035</c:v>
                </c:pt>
                <c:pt idx="10">
                  <c:v>152.74486282679359</c:v>
                </c:pt>
                <c:pt idx="11">
                  <c:v>152.48720747824603</c:v>
                </c:pt>
                <c:pt idx="12">
                  <c:v>152.23012649530332</c:v>
                </c:pt>
                <c:pt idx="13">
                  <c:v>151.97361757119396</c:v>
                </c:pt>
                <c:pt idx="14">
                  <c:v>151.71767841141798</c:v>
                </c:pt>
                <c:pt idx="15">
                  <c:v>151.4623067336654</c:v>
                </c:pt>
                <c:pt idx="16">
                  <c:v>151.20750026773507</c:v>
                </c:pt>
                <c:pt idx="17">
                  <c:v>150.95325675545428</c:v>
                </c:pt>
                <c:pt idx="18">
                  <c:v>150.69957395059907</c:v>
                </c:pt>
                <c:pt idx="19">
                  <c:v>150.44644961881508</c:v>
                </c:pt>
                <c:pt idx="20">
                  <c:v>150.19388153753911</c:v>
                </c:pt>
                <c:pt idx="21">
                  <c:v>149.94186846413572</c:v>
                </c:pt>
                <c:pt idx="22">
                  <c:v>149.69040915034228</c:v>
                </c:pt>
                <c:pt idx="23">
                  <c:v>149.43950137413461</c:v>
                </c:pt>
                <c:pt idx="24">
                  <c:v>149.18914292538435</c:v>
                </c:pt>
                <c:pt idx="25">
                  <c:v>148.93933160577953</c:v>
                </c:pt>
                <c:pt idx="26">
                  <c:v>148.69006522874577</c:v>
                </c:pt>
                <c:pt idx="27">
                  <c:v>148.4413416193681</c:v>
                </c:pt>
                <c:pt idx="28">
                  <c:v>148.19315861431355</c:v>
                </c:pt>
                <c:pt idx="29">
                  <c:v>147.9455140617541</c:v>
                </c:pt>
                <c:pt idx="30">
                  <c:v>147.69840582129055</c:v>
                </c:pt>
                <c:pt idx="31">
                  <c:v>147.45183176387675</c:v>
                </c:pt>
                <c:pt idx="32">
                  <c:v>147.20578977174461</c:v>
                </c:pt>
                <c:pt idx="33">
                  <c:v>146.96027773832961</c:v>
                </c:pt>
                <c:pt idx="34">
                  <c:v>146.71529356819693</c:v>
                </c:pt>
                <c:pt idx="35">
                  <c:v>146.47083517696831</c:v>
                </c:pt>
                <c:pt idx="36">
                  <c:v>146.22690049124913</c:v>
                </c:pt>
                <c:pt idx="37">
                  <c:v>145.98348744855653</c:v>
                </c:pt>
                <c:pt idx="38">
                  <c:v>145.7405939972478</c:v>
                </c:pt>
                <c:pt idx="39">
                  <c:v>145.49821809644936</c:v>
                </c:pt>
                <c:pt idx="40">
                  <c:v>145.2563577159865</c:v>
                </c:pt>
                <c:pt idx="41">
                  <c:v>145.01501083631342</c:v>
                </c:pt>
                <c:pt idx="42">
                  <c:v>144.77417544844403</c:v>
                </c:pt>
                <c:pt idx="43">
                  <c:v>144.5338495538831</c:v>
                </c:pt>
                <c:pt idx="44">
                  <c:v>144.29403116455831</c:v>
                </c:pt>
                <c:pt idx="45">
                  <c:v>144.05471830275229</c:v>
                </c:pt>
                <c:pt idx="46">
                  <c:v>143.81590900103572</c:v>
                </c:pt>
                <c:pt idx="47">
                  <c:v>143.57760130220063</c:v>
                </c:pt>
                <c:pt idx="48">
                  <c:v>143.33979325919441</c:v>
                </c:pt>
                <c:pt idx="49">
                  <c:v>143.10248293505424</c:v>
                </c:pt>
                <c:pt idx="50">
                  <c:v>142.86566840284195</c:v>
                </c:pt>
                <c:pt idx="51">
                  <c:v>142.62934774557971</c:v>
                </c:pt>
                <c:pt idx="52">
                  <c:v>142.39351905618582</c:v>
                </c:pt>
                <c:pt idx="53">
                  <c:v>142.1581804374112</c:v>
                </c:pt>
                <c:pt idx="54">
                  <c:v>141.92333000177661</c:v>
                </c:pt>
                <c:pt idx="55">
                  <c:v>141.68896587150971</c:v>
                </c:pt>
                <c:pt idx="56">
                  <c:v>141.45508617848347</c:v>
                </c:pt>
                <c:pt idx="57">
                  <c:v>141.22168906415416</c:v>
                </c:pt>
                <c:pt idx="58">
                  <c:v>140.98877267950061</c:v>
                </c:pt>
                <c:pt idx="59">
                  <c:v>140.75633518496346</c:v>
                </c:pt>
                <c:pt idx="60">
                  <c:v>140.52437475038505</c:v>
                </c:pt>
                <c:pt idx="61">
                  <c:v>140.29288955494971</c:v>
                </c:pt>
                <c:pt idx="62">
                  <c:v>140.06187778712456</c:v>
                </c:pt>
                <c:pt idx="63">
                  <c:v>139.83133764460069</c:v>
                </c:pt>
                <c:pt idx="64">
                  <c:v>139.6012673342351</c:v>
                </c:pt>
                <c:pt idx="65">
                  <c:v>139.37166507199251</c:v>
                </c:pt>
                <c:pt idx="66">
                  <c:v>139.14252908288819</c:v>
                </c:pt>
                <c:pt idx="67">
                  <c:v>138.9138576009309</c:v>
                </c:pt>
                <c:pt idx="68">
                  <c:v>138.6856488690664</c:v>
                </c:pt>
                <c:pt idx="69">
                  <c:v>138.45790113912122</c:v>
                </c:pt>
                <c:pt idx="70">
                  <c:v>138.23061267174725</c:v>
                </c:pt>
                <c:pt idx="71">
                  <c:v>138.00378173636622</c:v>
                </c:pt>
                <c:pt idx="72">
                  <c:v>137.77740661111503</c:v>
                </c:pt>
                <c:pt idx="73">
                  <c:v>137.55148558279137</c:v>
                </c:pt>
                <c:pt idx="74">
                  <c:v>137.32601694679963</c:v>
                </c:pt>
                <c:pt idx="75">
                  <c:v>137.10099900709741</c:v>
                </c:pt>
                <c:pt idx="76">
                  <c:v>136.87643007614224</c:v>
                </c:pt>
                <c:pt idx="77">
                  <c:v>136.65230847483895</c:v>
                </c:pt>
                <c:pt idx="78">
                  <c:v>136.42863253248726</c:v>
                </c:pt>
                <c:pt idx="79">
                  <c:v>136.20540058672972</c:v>
                </c:pt>
                <c:pt idx="80">
                  <c:v>135.98261098350022</c:v>
                </c:pt>
                <c:pt idx="81">
                  <c:v>135.76026207697282</c:v>
                </c:pt>
                <c:pt idx="82">
                  <c:v>135.53835222951088</c:v>
                </c:pt>
                <c:pt idx="83">
                  <c:v>135.31687981161667</c:v>
                </c:pt>
                <c:pt idx="84">
                  <c:v>135.09584320188139</c:v>
                </c:pt>
                <c:pt idx="85">
                  <c:v>134.87524078693536</c:v>
                </c:pt>
                <c:pt idx="86">
                  <c:v>134.65507096139893</c:v>
                </c:pt>
                <c:pt idx="87">
                  <c:v>134.43533212783336</c:v>
                </c:pt>
                <c:pt idx="88">
                  <c:v>134.21602269669248</c:v>
                </c:pt>
                <c:pt idx="89">
                  <c:v>133.99714108627421</c:v>
                </c:pt>
                <c:pt idx="90">
                  <c:v>133.77868572267309</c:v>
                </c:pt>
                <c:pt idx="91">
                  <c:v>133.56065503973252</c:v>
                </c:pt>
                <c:pt idx="92">
                  <c:v>133.34304747899773</c:v>
                </c:pt>
                <c:pt idx="93">
                  <c:v>133.12586148966915</c:v>
                </c:pt>
                <c:pt idx="94">
                  <c:v>132.90909552855572</c:v>
                </c:pt>
                <c:pt idx="95">
                  <c:v>132.69274806002909</c:v>
                </c:pt>
                <c:pt idx="96">
                  <c:v>132.47681755597768</c:v>
                </c:pt>
                <c:pt idx="97">
                  <c:v>132.26130249576144</c:v>
                </c:pt>
                <c:pt idx="98">
                  <c:v>132.04620136616671</c:v>
                </c:pt>
                <c:pt idx="99">
                  <c:v>131.8315126613615</c:v>
                </c:pt>
                <c:pt idx="100">
                  <c:v>131.61723488285119</c:v>
                </c:pt>
                <c:pt idx="101">
                  <c:v>129.47879211623737</c:v>
                </c:pt>
                <c:pt idx="102">
                  <c:v>127.3808179059214</c:v>
                </c:pt>
                <c:pt idx="103">
                  <c:v>125.32187025383953</c:v>
                </c:pt>
                <c:pt idx="104">
                  <c:v>123.30057558258591</c:v>
                </c:pt>
                <c:pt idx="105">
                  <c:v>121.31562479041493</c:v>
                </c:pt>
                <c:pt idx="106">
                  <c:v>119.3657695851154</c:v>
                </c:pt>
                <c:pt idx="107">
                  <c:v>117.44981907451984</c:v>
                </c:pt>
                <c:pt idx="108">
                  <c:v>115.56663659346646</c:v>
                </c:pt>
                <c:pt idx="109">
                  <c:v>113.7151367488769</c:v>
                </c:pt>
                <c:pt idx="110">
                  <c:v>111.8942826662754</c:v>
                </c:pt>
                <c:pt idx="111">
                  <c:v>110.1030834225736</c:v>
                </c:pt>
                <c:pt idx="112">
                  <c:v>108.34059165129776</c:v>
                </c:pt>
                <c:pt idx="113">
                  <c:v>106.60590130765935</c:v>
                </c:pt>
                <c:pt idx="114">
                  <c:v>104.89814558197827</c:v>
                </c:pt>
                <c:pt idx="115">
                  <c:v>103.2164949509729</c:v>
                </c:pt>
                <c:pt idx="116">
                  <c:v>101.56015535734554</c:v>
                </c:pt>
                <c:pt idx="117">
                  <c:v>99.928366508923034</c:v>
                </c:pt>
                <c:pt idx="118">
                  <c:v>98.320400289371307</c:v>
                </c:pt>
                <c:pt idx="119">
                  <c:v>96.73555927319488</c:v>
                </c:pt>
                <c:pt idx="120">
                  <c:v>95.173175338368097</c:v>
                </c:pt>
                <c:pt idx="121">
                  <c:v>93.632608370525844</c:v>
                </c:pt>
                <c:pt idx="122">
                  <c:v>92.113245053178517</c:v>
                </c:pt>
                <c:pt idx="123">
                  <c:v>90.614497738909066</c:v>
                </c:pt>
                <c:pt idx="124">
                  <c:v>89.135803396967432</c:v>
                </c:pt>
                <c:pt idx="125">
                  <c:v>87.6766226331018</c:v>
                </c:pt>
                <c:pt idx="126">
                  <c:v>86.236438777860798</c:v>
                </c:pt>
                <c:pt idx="127">
                  <c:v>84.814757039969848</c:v>
                </c:pt>
                <c:pt idx="128">
                  <c:v>83.411103721731621</c:v>
                </c:pt>
                <c:pt idx="129">
                  <c:v>82.025025493726901</c:v>
                </c:pt>
                <c:pt idx="130">
                  <c:v>80.656088726402089</c:v>
                </c:pt>
                <c:pt idx="131">
                  <c:v>79.30387887642442</c:v>
                </c:pt>
                <c:pt idx="132">
                  <c:v>77.967999925968869</c:v>
                </c:pt>
                <c:pt idx="133">
                  <c:v>76.648073873373363</c:v>
                </c:pt>
                <c:pt idx="134">
                  <c:v>75.343740273863702</c:v>
                </c:pt>
                <c:pt idx="135">
                  <c:v>74.054655829308317</c:v>
                </c:pt>
                <c:pt idx="136">
                  <c:v>72.780494026217312</c:v>
                </c:pt>
                <c:pt idx="137">
                  <c:v>71.520944821453142</c:v>
                </c:pt>
                <c:pt idx="138">
                  <c:v>70.275714375371336</c:v>
                </c:pt>
                <c:pt idx="139">
                  <c:v>69.044524832363081</c:v>
                </c:pt>
                <c:pt idx="140">
                  <c:v>67.827114149026841</c:v>
                </c:pt>
                <c:pt idx="141">
                  <c:v>66.623235970456591</c:v>
                </c:pt>
                <c:pt idx="142">
                  <c:v>65.432659555399681</c:v>
                </c:pt>
                <c:pt idx="143">
                  <c:v>64.255169751310916</c:v>
                </c:pt>
                <c:pt idx="144">
                  <c:v>63.090567020610393</c:v>
                </c:pt>
                <c:pt idx="145">
                  <c:v>61.938667519744783</c:v>
                </c:pt>
                <c:pt idx="146">
                  <c:v>60.799303232952205</c:v>
                </c:pt>
                <c:pt idx="147">
                  <c:v>59.672322162944646</c:v>
                </c:pt>
                <c:pt idx="148">
                  <c:v>58.557588581044925</c:v>
                </c:pt>
                <c:pt idx="149">
                  <c:v>57.454983339650667</c:v>
                </c:pt>
                <c:pt idx="150">
                  <c:v>56.364404250242046</c:v>
                </c:pt>
                <c:pt idx="151">
                  <c:v>55.285766530502968</c:v>
                </c:pt>
                <c:pt idx="152">
                  <c:v>54.21900332448304</c:v>
                </c:pt>
                <c:pt idx="153">
                  <c:v>53.164066300085679</c:v>
                </c:pt>
                <c:pt idx="154">
                  <c:v>52.120926328520021</c:v>
                </c:pt>
                <c:pt idx="155">
                  <c:v>51.089574250691747</c:v>
                </c:pt>
                <c:pt idx="156">
                  <c:v>50.070021735818962</c:v>
                </c:pt>
                <c:pt idx="157">
                  <c:v>49.062302237828106</c:v>
                </c:pt>
                <c:pt idx="158">
                  <c:v>48.066472055291747</c:v>
                </c:pt>
                <c:pt idx="159">
                  <c:v>47.082611500788275</c:v>
                </c:pt>
                <c:pt idx="160">
                  <c:v>46.110826185560086</c:v>
                </c:pt>
                <c:pt idx="161">
                  <c:v>45.151248425179816</c:v>
                </c:pt>
                <c:pt idx="162">
                  <c:v>44.204038771550351</c:v>
                </c:pt>
                <c:pt idx="163">
                  <c:v>43.269387675899182</c:v>
                </c:pt>
                <c:pt idx="164">
                  <c:v>42.347517286398904</c:v>
                </c:pt>
                <c:pt idx="165">
                  <c:v>41.438683382556832</c:v>
                </c:pt>
                <c:pt idx="166">
                  <c:v>40.543177446446862</c:v>
                </c:pt>
                <c:pt idx="167">
                  <c:v>39.661328868065013</c:v>
                </c:pt>
                <c:pt idx="168">
                  <c:v>38.793507278408335</c:v>
                </c:pt>
                <c:pt idx="169">
                  <c:v>37.940124999110509</c:v>
                </c:pt>
                <c:pt idx="170">
                  <c:v>37.101639591395312</c:v>
                </c:pt>
                <c:pt idx="171">
                  <c:v>36.278556479485147</c:v>
                </c:pt>
                <c:pt idx="172">
                  <c:v>35.471431614162185</c:v>
                </c:pt>
                <c:pt idx="173">
                  <c:v>34.680874130653933</c:v>
                </c:pt>
                <c:pt idx="174">
                  <c:v>33.907548941145549</c:v>
                </c:pt>
                <c:pt idx="175">
                  <c:v>33.152179185793571</c:v>
                </c:pt>
                <c:pt idx="176">
                  <c:v>32.415548447000745</c:v>
                </c:pt>
                <c:pt idx="177">
                  <c:v>31.698502609925356</c:v>
                </c:pt>
                <c:pt idx="178">
                  <c:v>31.001951227981589</c:v>
                </c:pt>
                <c:pt idx="179">
                  <c:v>30.326868226002631</c:v>
                </c:pt>
                <c:pt idx="180">
                  <c:v>29.674291746788306</c:v>
                </c:pt>
                <c:pt idx="181">
                  <c:v>29.04532292051783</c:v>
                </c:pt>
                <c:pt idx="182">
                  <c:v>28.441123313246408</c:v>
                </c:pt>
                <c:pt idx="183">
                  <c:v>27.862910793494994</c:v>
                </c:pt>
                <c:pt idx="184">
                  <c:v>27.311953548701162</c:v>
                </c:pt>
                <c:pt idx="185">
                  <c:v>26.789561990716869</c:v>
                </c:pt>
                <c:pt idx="186">
                  <c:v>26.297078316843336</c:v>
                </c:pt>
                <c:pt idx="187">
                  <c:v>25.835863545384658</c:v>
                </c:pt>
                <c:pt idx="188">
                  <c:v>25.407281927006384</c:v>
                </c:pt>
                <c:pt idx="189">
                  <c:v>25.012682748237143</c:v>
                </c:pt>
                <c:pt idx="190">
                  <c:v>24.653379691247586</c:v>
                </c:pt>
                <c:pt idx="191">
                  <c:v>24.330628090349755</c:v>
                </c:pt>
                <c:pt idx="192">
                  <c:v>24.045600620949571</c:v>
                </c:pt>
                <c:pt idx="193">
                  <c:v>23.799362155645923</c:v>
                </c:pt>
                <c:pt idx="194">
                  <c:v>23.592844704231922</c:v>
                </c:pt>
                <c:pt idx="195">
                  <c:v>23.426823495499246</c:v>
                </c:pt>
                <c:pt idx="196">
                  <c:v>23.301895334675585</c:v>
                </c:pt>
                <c:pt idx="197">
                  <c:v>23.218460360659179</c:v>
                </c:pt>
                <c:pt idx="198">
                  <c:v>23.176708219978774</c:v>
                </c:pt>
                <c:pt idx="199">
                  <c:v>23.176609469734668</c:v>
                </c:pt>
                <c:pt idx="200">
                  <c:v>23.21791273370669</c:v>
                </c:pt>
                <c:pt idx="201">
                  <c:v>23.300147791401784</c:v>
                </c:pt>
                <c:pt idx="202">
                  <c:v>23.422634415401216</c:v>
                </c:pt>
                <c:pt idx="203">
                  <c:v>23.584496427710064</c:v>
                </c:pt>
                <c:pt idx="204">
                  <c:v>23.784680157376375</c:v>
                </c:pt>
                <c:pt idx="205">
                  <c:v>24.021976276689671</c:v>
                </c:pt>
                <c:pt idx="206">
                  <c:v>24.295043886042901</c:v>
                </c:pt>
                <c:pt idx="207">
                  <c:v>24.602435708337389</c:v>
                </c:pt>
                <c:pt idx="208">
                  <c:v>24.942623330705732</c:v>
                </c:pt>
                <c:pt idx="209">
                  <c:v>25.314021573882641</c:v>
                </c:pt>
                <c:pt idx="210">
                  <c:v>25.715011253314586</c:v>
                </c:pt>
                <c:pt idx="211">
                  <c:v>26.14395979684625</c:v>
                </c:pt>
                <c:pt idx="212">
                  <c:v>26.599239380779586</c:v>
                </c:pt>
                <c:pt idx="213">
                  <c:v>27.079242423797087</c:v>
                </c:pt>
                <c:pt idx="214">
                  <c:v>27.582394427036931</c:v>
                </c:pt>
                <c:pt idx="215">
                  <c:v>28.10716426423436</c:v>
                </c:pt>
                <c:pt idx="216">
                  <c:v>28.652072108317874</c:v>
                </c:pt>
                <c:pt idx="217">
                  <c:v>29.215695233162755</c:v>
                </c:pt>
                <c:pt idx="218">
                  <c:v>29.796671956068863</c:v>
                </c:pt>
                <c:pt idx="219">
                  <c:v>30.39370399333135</c:v>
                </c:pt>
                <c:pt idx="220">
                  <c:v>31.005557493322158</c:v>
                </c:pt>
                <c:pt idx="221">
                  <c:v>31.631062993557055</c:v>
                </c:pt>
                <c:pt idx="222">
                  <c:v>32.269114524253716</c:v>
                </c:pt>
                <c:pt idx="223">
                  <c:v>32.918668054000264</c:v>
                </c:pt>
                <c:pt idx="224">
                  <c:v>33.578739445641112</c:v>
                </c:pt>
                <c:pt idx="225">
                  <c:v>34.248402063930058</c:v>
                </c:pt>
                <c:pt idx="226">
                  <c:v>34.926784151902645</c:v>
                </c:pt>
                <c:pt idx="227">
                  <c:v>35.613066070836389</c:v>
                </c:pt>
                <c:pt idx="228">
                  <c:v>36.3064774793312</c:v>
                </c:pt>
                <c:pt idx="229">
                  <c:v>37.006294510456215</c:v>
                </c:pt>
                <c:pt idx="230">
                  <c:v>37.711836991935265</c:v>
                </c:pt>
                <c:pt idx="231">
                  <c:v>38.422465742753815</c:v>
                </c:pt>
                <c:pt idx="232">
                  <c:v>39.137579970099722</c:v>
                </c:pt>
                <c:pt idx="233">
                  <c:v>39.856614782919195</c:v>
                </c:pt>
                <c:pt idx="234">
                  <c:v>40.579038832306637</c:v>
                </c:pt>
                <c:pt idx="235">
                  <c:v>41.304352084202222</c:v>
                </c:pt>
                <c:pt idx="236">
                  <c:v>42.03208372621657</c:v>
                </c:pt>
                <c:pt idx="237">
                  <c:v>42.761790207641056</c:v>
                </c:pt>
                <c:pt idx="238">
                  <c:v>43.493053409664519</c:v>
                </c:pt>
                <c:pt idx="239">
                  <c:v>44.225478941357153</c:v>
                </c:pt>
                <c:pt idx="240">
                  <c:v>44.958694555982014</c:v>
                </c:pt>
                <c:pt idx="241">
                  <c:v>45.692348681551913</c:v>
                </c:pt>
                <c:pt idx="242">
                  <c:v>46.426109059185087</c:v>
                </c:pt>
                <c:pt idx="243">
                  <c:v>47.159661482660042</c:v>
                </c:pt>
                <c:pt idx="244">
                  <c:v>47.892708632575697</c:v>
                </c:pt>
                <c:pt idx="245">
                  <c:v>48.624968998645308</c:v>
                </c:pt>
                <c:pt idx="246">
                  <c:v>49.356175883858192</c:v>
                </c:pt>
                <c:pt idx="247">
                  <c:v>50.086076484505966</c:v>
                </c:pt>
                <c:pt idx="248">
                  <c:v>50.814431040369939</c:v>
                </c:pt>
                <c:pt idx="249">
                  <c:v>51.541012049687176</c:v>
                </c:pt>
                <c:pt idx="250">
                  <c:v>52.265603543843952</c:v>
                </c:pt>
                <c:pt idx="251">
                  <c:v>52.988000417076947</c:v>
                </c:pt>
                <c:pt idx="252">
                  <c:v>53.708007806789112</c:v>
                </c:pt>
                <c:pt idx="253">
                  <c:v>54.425440520403612</c:v>
                </c:pt>
                <c:pt idx="254">
                  <c:v>55.140122504982479</c:v>
                </c:pt>
                <c:pt idx="255">
                  <c:v>55.851886356125</c:v>
                </c:pt>
                <c:pt idx="256">
                  <c:v>56.560572862932688</c:v>
                </c:pt>
                <c:pt idx="257">
                  <c:v>57.266030586082813</c:v>
                </c:pt>
                <c:pt idx="258">
                  <c:v>57.968115466290541</c:v>
                </c:pt>
                <c:pt idx="259">
                  <c:v>58.666690460661478</c:v>
                </c:pt>
                <c:pt idx="260">
                  <c:v>59.361625204641335</c:v>
                </c:pt>
                <c:pt idx="261">
                  <c:v>60.052795697459814</c:v>
                </c:pt>
                <c:pt idx="262">
                  <c:v>60.740084009140602</c:v>
                </c:pt>
                <c:pt idx="263">
                  <c:v>61.423378007310795</c:v>
                </c:pt>
                <c:pt idx="264">
                  <c:v>62.102571102191675</c:v>
                </c:pt>
                <c:pt idx="265">
                  <c:v>62.777562008288605</c:v>
                </c:pt>
                <c:pt idx="266">
                  <c:v>63.448254521423181</c:v>
                </c:pt>
                <c:pt idx="267">
                  <c:v>64.114557309865077</c:v>
                </c:pt>
                <c:pt idx="268">
                  <c:v>64.776383718426345</c:v>
                </c:pt>
                <c:pt idx="269">
                  <c:v>65.433651584476749</c:v>
                </c:pt>
                <c:pt idx="270">
                  <c:v>66.086283064926846</c:v>
                </c:pt>
                <c:pt idx="271">
                  <c:v>66.73420447330605</c:v>
                </c:pt>
                <c:pt idx="272">
                  <c:v>67.377346126136658</c:v>
                </c:pt>
                <c:pt idx="273">
                  <c:v>68.015642197871799</c:v>
                </c:pt>
                <c:pt idx="274">
                  <c:v>68.649030583727495</c:v>
                </c:pt>
                <c:pt idx="275">
                  <c:v>69.277452769794948</c:v>
                </c:pt>
                <c:pt idx="276">
                  <c:v>69.900853709870745</c:v>
                </c:pt>
                <c:pt idx="277">
                  <c:v>70.519181708490123</c:v>
                </c:pt>
                <c:pt idx="278">
                  <c:v>71.132388309691322</c:v>
                </c:pt>
                <c:pt idx="279">
                  <c:v>71.740428191078649</c:v>
                </c:pt>
                <c:pt idx="280">
                  <c:v>72.343259062787979</c:v>
                </c:pt>
                <c:pt idx="281">
                  <c:v>72.940841570991523</c:v>
                </c:pt>
                <c:pt idx="282">
                  <c:v>73.533139205608947</c:v>
                </c:pt>
                <c:pt idx="283">
                  <c:v>74.120118211919689</c:v>
                </c:pt>
                <c:pt idx="284">
                  <c:v>74.701747505796632</c:v>
                </c:pt>
                <c:pt idx="285">
                  <c:v>75.277998592304698</c:v>
                </c:pt>
                <c:pt idx="286">
                  <c:v>75.848845487429102</c:v>
                </c:pt>
                <c:pt idx="287">
                  <c:v>76.414264642717583</c:v>
                </c:pt>
                <c:pt idx="288">
                  <c:v>76.974234872638959</c:v>
                </c:pt>
                <c:pt idx="289">
                  <c:v>77.528737284476449</c:v>
                </c:pt>
                <c:pt idx="290">
                  <c:v>78.077755210589714</c:v>
                </c:pt>
                <c:pt idx="291">
                  <c:v>78.62127414289283</c:v>
                </c:pt>
                <c:pt idx="292">
                  <c:v>79.159281669408671</c:v>
                </c:pt>
                <c:pt idx="293">
                  <c:v>79.691767412771156</c:v>
                </c:pt>
                <c:pt idx="294">
                  <c:v>80.218722970557963</c:v>
                </c:pt>
                <c:pt idx="295">
                  <c:v>80.740141857345762</c:v>
                </c:pt>
                <c:pt idx="296">
                  <c:v>81.256019448389281</c:v>
                </c:pt>
                <c:pt idx="297">
                  <c:v>81.76635292483337</c:v>
                </c:pt>
                <c:pt idx="298">
                  <c:v>82.271141220375029</c:v>
                </c:pt>
                <c:pt idx="299">
                  <c:v>82.770384969299272</c:v>
                </c:pt>
                <c:pt idx="300">
                  <c:v>83.264086455818827</c:v>
                </c:pt>
                <c:pt idx="301">
                  <c:v>83.752249564653908</c:v>
                </c:pt>
                <c:pt idx="302">
                  <c:v>84.234879732792933</c:v>
                </c:pt>
                <c:pt idx="303">
                  <c:v>84.711983902380865</c:v>
                </c:pt>
                <c:pt idx="304">
                  <c:v>85.183570474685382</c:v>
                </c:pt>
                <c:pt idx="305">
                  <c:v>85.649649265096045</c:v>
                </c:pt>
                <c:pt idx="306">
                  <c:v>86.11023145911453</c:v>
                </c:pt>
                <c:pt idx="307">
                  <c:v>86.56532956929837</c:v>
                </c:pt>
                <c:pt idx="308">
                  <c:v>87.014957393122884</c:v>
                </c:pt>
                <c:pt idx="309">
                  <c:v>87.459129971729411</c:v>
                </c:pt>
                <c:pt idx="310">
                  <c:v>87.897863549530612</c:v>
                </c:pt>
                <c:pt idx="311">
                  <c:v>88.33117553464551</c:v>
                </c:pt>
                <c:pt idx="312">
                  <c:v>88.759084460139704</c:v>
                </c:pt>
                <c:pt idx="313">
                  <c:v>89.181609946047757</c:v>
                </c:pt>
                <c:pt idx="314">
                  <c:v>89.598772662156946</c:v>
                </c:pt>
                <c:pt idx="315">
                  <c:v>90.010594291532712</c:v>
                </c:pt>
                <c:pt idx="316">
                  <c:v>90.417097494768228</c:v>
                </c:pt>
                <c:pt idx="317">
                  <c:v>90.818305874941544</c:v>
                </c:pt>
                <c:pt idx="318">
                  <c:v>91.214243943264862</c:v>
                </c:pt>
                <c:pt idx="319">
                  <c:v>91.604937085411976</c:v>
                </c:pt>
                <c:pt idx="320">
                  <c:v>91.99041152851072</c:v>
                </c:pt>
                <c:pt idx="321">
                  <c:v>92.370694308788075</c:v>
                </c:pt>
                <c:pt idx="322">
                  <c:v>92.74581323985683</c:v>
                </c:pt>
                <c:pt idx="323">
                  <c:v>93.11579688163269</c:v>
                </c:pt>
                <c:pt idx="324">
                  <c:v>93.480674509872301</c:v>
                </c:pt>
                <c:pt idx="325">
                  <c:v>93.840476086322411</c:v>
                </c:pt>
                <c:pt idx="326">
                  <c:v>94.195232229471515</c:v>
                </c:pt>
                <c:pt idx="327">
                  <c:v>94.544974185895455</c:v>
                </c:pt>
                <c:pt idx="328">
                  <c:v>94.889733802189056</c:v>
                </c:pt>
                <c:pt idx="329">
                  <c:v>95.229543497476044</c:v>
                </c:pt>
                <c:pt idx="330">
                  <c:v>95.56443623649011</c:v>
                </c:pt>
                <c:pt idx="331">
                  <c:v>95.89444550321997</c:v>
                </c:pt>
                <c:pt idx="332">
                  <c:v>96.219605275111661</c:v>
                </c:pt>
                <c:pt idx="333">
                  <c:v>96.539949997821523</c:v>
                </c:pt>
                <c:pt idx="334">
                  <c:v>96.855514560513484</c:v>
                </c:pt>
                <c:pt idx="335">
                  <c:v>97.166334271694382</c:v>
                </c:pt>
                <c:pt idx="336">
                  <c:v>97.472444835581271</c:v>
                </c:pt>
                <c:pt idx="337">
                  <c:v>97.773882328994645</c:v>
                </c:pt>
                <c:pt idx="338">
                  <c:v>98.070683178771787</c:v>
                </c:pt>
                <c:pt idx="339">
                  <c:v>98.362884139694231</c:v>
                </c:pt>
                <c:pt idx="340">
                  <c:v>98.650522272923737</c:v>
                </c:pt>
                <c:pt idx="341">
                  <c:v>98.933634924940947</c:v>
                </c:pt>
                <c:pt idx="342">
                  <c:v>99.212259706980959</c:v>
                </c:pt>
                <c:pt idx="343">
                  <c:v>99.486434474960305</c:v>
                </c:pt>
                <c:pt idx="344">
                  <c:v>99.756197309889387</c:v>
                </c:pt>
                <c:pt idx="345">
                  <c:v>100.02158649876495</c:v>
                </c:pt>
                <c:pt idx="346">
                  <c:v>100.28264051593671</c:v>
                </c:pt>
                <c:pt idx="347">
                  <c:v>100.53939800494258</c:v>
                </c:pt>
                <c:pt idx="348">
                  <c:v>100.79189776080665</c:v>
                </c:pt>
                <c:pt idx="349">
                  <c:v>101.04017871279414</c:v>
                </c:pt>
                <c:pt idx="350">
                  <c:v>101.28427990761797</c:v>
                </c:pt>
                <c:pt idx="351">
                  <c:v>101.52424049309045</c:v>
                </c:pt>
                <c:pt idx="352">
                  <c:v>101.76009970221511</c:v>
                </c:pt>
                <c:pt idx="353">
                  <c:v>101.99189683771203</c:v>
                </c:pt>
                <c:pt idx="354">
                  <c:v>102.21967125697138</c:v>
                </c:pt>
                <c:pt idx="355">
                  <c:v>102.44346235742906</c:v>
                </c:pt>
                <c:pt idx="356">
                  <c:v>102.66330956235842</c:v>
                </c:pt>
                <c:pt idx="357">
                  <c:v>102.87925230707243</c:v>
                </c:pt>
                <c:pt idx="358">
                  <c:v>103.09133002552984</c:v>
                </c:pt>
                <c:pt idx="359">
                  <c:v>103.29958213733977</c:v>
                </c:pt>
                <c:pt idx="360">
                  <c:v>103.50404803515856</c:v>
                </c:pt>
                <c:pt idx="361">
                  <c:v>103.70476707247275</c:v>
                </c:pt>
                <c:pt idx="362">
                  <c:v>103.90177855176225</c:v>
                </c:pt>
                <c:pt idx="363">
                  <c:v>104.09512171303756</c:v>
                </c:pt>
                <c:pt idx="364">
                  <c:v>104.28483572274503</c:v>
                </c:pt>
                <c:pt idx="365">
                  <c:v>104.47095966303398</c:v>
                </c:pt>
                <c:pt idx="366">
                  <c:v>104.65353252137962</c:v>
                </c:pt>
                <c:pt idx="367">
                  <c:v>104.83259318055575</c:v>
                </c:pt>
                <c:pt idx="368">
                  <c:v>105.00818040895098</c:v>
                </c:pt>
                <c:pt idx="369">
                  <c:v>105.18033285122253</c:v>
                </c:pt>
                <c:pt idx="370">
                  <c:v>105.34908901928131</c:v>
                </c:pt>
                <c:pt idx="371">
                  <c:v>105.51448728360248</c:v>
                </c:pt>
                <c:pt idx="372">
                  <c:v>105.67656586485523</c:v>
                </c:pt>
                <c:pt idx="373">
                  <c:v>105.83536282584568</c:v>
                </c:pt>
                <c:pt idx="374">
                  <c:v>105.99091606376705</c:v>
                </c:pt>
                <c:pt idx="375">
                  <c:v>106.14326330275094</c:v>
                </c:pt>
                <c:pt idx="376">
                  <c:v>106.29244208671375</c:v>
                </c:pt>
                <c:pt idx="377">
                  <c:v>106.4384897724923</c:v>
                </c:pt>
                <c:pt idx="378">
                  <c:v>106.58144352326278</c:v>
                </c:pt>
                <c:pt idx="379">
                  <c:v>106.72134030223695</c:v>
                </c:pt>
                <c:pt idx="380">
                  <c:v>106.85821686662992</c:v>
                </c:pt>
                <c:pt idx="381">
                  <c:v>106.99210976189356</c:v>
                </c:pt>
                <c:pt idx="382">
                  <c:v>107.12305531620984</c:v>
                </c:pt>
                <c:pt idx="383">
                  <c:v>107.12318331718004</c:v>
                </c:pt>
                <c:pt idx="384">
                  <c:v>107.12331131528084</c:v>
                </c:pt>
                <c:pt idx="385">
                  <c:v>107.12343931051232</c:v>
                </c:pt>
                <c:pt idx="386">
                  <c:v>107.12356730287452</c:v>
                </c:pt>
                <c:pt idx="387">
                  <c:v>107.12369529236744</c:v>
                </c:pt>
                <c:pt idx="388">
                  <c:v>107.12382327899115</c:v>
                </c:pt>
                <c:pt idx="389">
                  <c:v>107.12395126274566</c:v>
                </c:pt>
                <c:pt idx="390">
                  <c:v>107.12407924363103</c:v>
                </c:pt>
                <c:pt idx="391">
                  <c:v>107.12420722164728</c:v>
                </c:pt>
                <c:pt idx="392">
                  <c:v>107.12433519679445</c:v>
                </c:pt>
                <c:pt idx="393">
                  <c:v>107.12446316907256</c:v>
                </c:pt>
                <c:pt idx="394">
                  <c:v>107.12459113848166</c:v>
                </c:pt>
                <c:pt idx="395">
                  <c:v>107.1247191050218</c:v>
                </c:pt>
                <c:pt idx="396">
                  <c:v>107.12484706869299</c:v>
                </c:pt>
                <c:pt idx="397">
                  <c:v>107.12497502949527</c:v>
                </c:pt>
                <c:pt idx="398">
                  <c:v>107.12510298742869</c:v>
                </c:pt>
                <c:pt idx="399">
                  <c:v>107.12523094249326</c:v>
                </c:pt>
                <c:pt idx="400">
                  <c:v>107.12535889468904</c:v>
                </c:pt>
                <c:pt idx="401">
                  <c:v>107.12548684401605</c:v>
                </c:pt>
                <c:pt idx="402">
                  <c:v>107.12561479047433</c:v>
                </c:pt>
                <c:pt idx="403">
                  <c:v>107.12574273406393</c:v>
                </c:pt>
                <c:pt idx="404">
                  <c:v>107.12587067478486</c:v>
                </c:pt>
                <c:pt idx="405">
                  <c:v>107.12599861263718</c:v>
                </c:pt>
                <c:pt idx="406">
                  <c:v>107.1261265476209</c:v>
                </c:pt>
                <c:pt idx="407">
                  <c:v>107.12625447973606</c:v>
                </c:pt>
                <c:pt idx="408">
                  <c:v>107.12638240898274</c:v>
                </c:pt>
                <c:pt idx="409">
                  <c:v>107.12651033536089</c:v>
                </c:pt>
                <c:pt idx="410">
                  <c:v>107.12663825887061</c:v>
                </c:pt>
                <c:pt idx="411">
                  <c:v>107.12676617951193</c:v>
                </c:pt>
                <c:pt idx="412">
                  <c:v>107.12689409728489</c:v>
                </c:pt>
                <c:pt idx="413">
                  <c:v>107.12702201218949</c:v>
                </c:pt>
                <c:pt idx="414">
                  <c:v>107.12714992422578</c:v>
                </c:pt>
                <c:pt idx="415">
                  <c:v>107.12727783339379</c:v>
                </c:pt>
                <c:pt idx="416">
                  <c:v>107.12740573969359</c:v>
                </c:pt>
                <c:pt idx="417">
                  <c:v>107.12753364312518</c:v>
                </c:pt>
                <c:pt idx="418">
                  <c:v>107.1276615436886</c:v>
                </c:pt>
                <c:pt idx="419">
                  <c:v>107.12778944138391</c:v>
                </c:pt>
                <c:pt idx="420">
                  <c:v>107.12791733621111</c:v>
                </c:pt>
                <c:pt idx="421">
                  <c:v>107.12804522817025</c:v>
                </c:pt>
                <c:pt idx="422">
                  <c:v>107.12817311726138</c:v>
                </c:pt>
                <c:pt idx="423">
                  <c:v>107.12830100348452</c:v>
                </c:pt>
                <c:pt idx="424">
                  <c:v>107.1284288868397</c:v>
                </c:pt>
                <c:pt idx="425">
                  <c:v>107.12855676732697</c:v>
                </c:pt>
                <c:pt idx="426">
                  <c:v>107.12868464494636</c:v>
                </c:pt>
                <c:pt idx="427">
                  <c:v>107.12881251969789</c:v>
                </c:pt>
                <c:pt idx="428">
                  <c:v>107.12894039158164</c:v>
                </c:pt>
                <c:pt idx="429">
                  <c:v>107.12906826059759</c:v>
                </c:pt>
                <c:pt idx="430">
                  <c:v>107.12919612674581</c:v>
                </c:pt>
                <c:pt idx="431">
                  <c:v>107.12932399002631</c:v>
                </c:pt>
                <c:pt idx="432">
                  <c:v>107.12945185043915</c:v>
                </c:pt>
                <c:pt idx="433">
                  <c:v>107.12957970798436</c:v>
                </c:pt>
                <c:pt idx="434">
                  <c:v>107.12970756266198</c:v>
                </c:pt>
                <c:pt idx="435">
                  <c:v>107.12983541447201</c:v>
                </c:pt>
                <c:pt idx="436">
                  <c:v>107.12996326341452</c:v>
                </c:pt>
                <c:pt idx="437">
                  <c:v>107.13009110948956</c:v>
                </c:pt>
                <c:pt idx="438">
                  <c:v>107.13021895269713</c:v>
                </c:pt>
                <c:pt idx="439">
                  <c:v>107.13034679303726</c:v>
                </c:pt>
                <c:pt idx="440">
                  <c:v>107.13047463051002</c:v>
                </c:pt>
                <c:pt idx="441">
                  <c:v>107.13060246511543</c:v>
                </c:pt>
                <c:pt idx="442">
                  <c:v>107.13073029685353</c:v>
                </c:pt>
                <c:pt idx="443">
                  <c:v>107.13085812572434</c:v>
                </c:pt>
                <c:pt idx="444">
                  <c:v>107.13098595172791</c:v>
                </c:pt>
                <c:pt idx="445">
                  <c:v>107.13111377486428</c:v>
                </c:pt>
                <c:pt idx="446">
                  <c:v>107.13124159513346</c:v>
                </c:pt>
                <c:pt idx="447">
                  <c:v>107.13136941253551</c:v>
                </c:pt>
                <c:pt idx="448">
                  <c:v>107.13149722707044</c:v>
                </c:pt>
                <c:pt idx="449">
                  <c:v>107.13162503873831</c:v>
                </c:pt>
                <c:pt idx="450">
                  <c:v>107.13175284753915</c:v>
                </c:pt>
                <c:pt idx="451">
                  <c:v>107.13188065347299</c:v>
                </c:pt>
                <c:pt idx="452">
                  <c:v>107.13200845653986</c:v>
                </c:pt>
                <c:pt idx="453">
                  <c:v>107.13213625673983</c:v>
                </c:pt>
                <c:pt idx="454">
                  <c:v>107.13226405407288</c:v>
                </c:pt>
                <c:pt idx="455">
                  <c:v>107.13239184853907</c:v>
                </c:pt>
                <c:pt idx="456">
                  <c:v>107.13251964013844</c:v>
                </c:pt>
                <c:pt idx="457">
                  <c:v>107.13264742887104</c:v>
                </c:pt>
                <c:pt idx="458">
                  <c:v>107.13277521473687</c:v>
                </c:pt>
                <c:pt idx="459">
                  <c:v>107.13290299773598</c:v>
                </c:pt>
                <c:pt idx="460">
                  <c:v>107.13303077786844</c:v>
                </c:pt>
                <c:pt idx="461">
                  <c:v>107.13315855513423</c:v>
                </c:pt>
                <c:pt idx="462">
                  <c:v>107.13328632953343</c:v>
                </c:pt>
                <c:pt idx="463">
                  <c:v>107.13341410106604</c:v>
                </c:pt>
                <c:pt idx="464">
                  <c:v>107.13354186973213</c:v>
                </c:pt>
                <c:pt idx="465">
                  <c:v>107.13366963553169</c:v>
                </c:pt>
                <c:pt idx="466">
                  <c:v>107.13379739846478</c:v>
                </c:pt>
                <c:pt idx="467">
                  <c:v>107.13392515853147</c:v>
                </c:pt>
                <c:pt idx="468">
                  <c:v>107.13405291573173</c:v>
                </c:pt>
                <c:pt idx="469">
                  <c:v>107.13418067006563</c:v>
                </c:pt>
                <c:pt idx="470">
                  <c:v>107.13430842153322</c:v>
                </c:pt>
                <c:pt idx="471">
                  <c:v>107.13443617013451</c:v>
                </c:pt>
                <c:pt idx="472">
                  <c:v>107.13456391586955</c:v>
                </c:pt>
                <c:pt idx="473">
                  <c:v>107.13469165873836</c:v>
                </c:pt>
                <c:pt idx="474">
                  <c:v>107.13481939874099</c:v>
                </c:pt>
                <c:pt idx="475">
                  <c:v>107.13494713587747</c:v>
                </c:pt>
                <c:pt idx="476">
                  <c:v>107.13507487014782</c:v>
                </c:pt>
                <c:pt idx="477">
                  <c:v>107.13520260155211</c:v>
                </c:pt>
                <c:pt idx="478">
                  <c:v>107.13533033009034</c:v>
                </c:pt>
                <c:pt idx="479">
                  <c:v>107.13545805576256</c:v>
                </c:pt>
                <c:pt idx="480">
                  <c:v>107.13558577856881</c:v>
                </c:pt>
                <c:pt idx="481">
                  <c:v>107.13571349850912</c:v>
                </c:pt>
                <c:pt idx="482">
                  <c:v>107.13584121558353</c:v>
                </c:pt>
                <c:pt idx="483">
                  <c:v>107.13596892979206</c:v>
                </c:pt>
                <c:pt idx="484">
                  <c:v>107.13609664113477</c:v>
                </c:pt>
                <c:pt idx="485">
                  <c:v>107.13622434961168</c:v>
                </c:pt>
                <c:pt idx="486">
                  <c:v>107.13635205522282</c:v>
                </c:pt>
                <c:pt idx="487">
                  <c:v>107.13647975796823</c:v>
                </c:pt>
                <c:pt idx="488">
                  <c:v>107.13660745784797</c:v>
                </c:pt>
                <c:pt idx="489">
                  <c:v>107.13673515486204</c:v>
                </c:pt>
                <c:pt idx="490">
                  <c:v>107.13686284901048</c:v>
                </c:pt>
                <c:pt idx="491">
                  <c:v>107.13699054029335</c:v>
                </c:pt>
                <c:pt idx="492">
                  <c:v>107.13711822871066</c:v>
                </c:pt>
                <c:pt idx="493">
                  <c:v>107.13724591426248</c:v>
                </c:pt>
                <c:pt idx="494">
                  <c:v>107.13737359694881</c:v>
                </c:pt>
                <c:pt idx="495">
                  <c:v>107.13750127676968</c:v>
                </c:pt>
                <c:pt idx="496">
                  <c:v>107.13762895372514</c:v>
                </c:pt>
                <c:pt idx="497">
                  <c:v>107.13775662781525</c:v>
                </c:pt>
                <c:pt idx="498">
                  <c:v>107.13788429904001</c:v>
                </c:pt>
                <c:pt idx="499">
                  <c:v>107.13801196739946</c:v>
                </c:pt>
                <c:pt idx="500">
                  <c:v>107.13813963289364</c:v>
                </c:pt>
                <c:pt idx="501">
                  <c:v>107.1382672955226</c:v>
                </c:pt>
                <c:pt idx="502">
                  <c:v>107.13839495528636</c:v>
                </c:pt>
                <c:pt idx="503">
                  <c:v>107.13852261218494</c:v>
                </c:pt>
                <c:pt idx="504">
                  <c:v>107.13865026621839</c:v>
                </c:pt>
                <c:pt idx="505">
                  <c:v>107.13877791738678</c:v>
                </c:pt>
                <c:pt idx="506">
                  <c:v>107.1389055656901</c:v>
                </c:pt>
                <c:pt idx="507">
                  <c:v>107.13903321112839</c:v>
                </c:pt>
                <c:pt idx="508">
                  <c:v>107.13916085370171</c:v>
                </c:pt>
                <c:pt idx="509">
                  <c:v>107.13928849341006</c:v>
                </c:pt>
                <c:pt idx="510">
                  <c:v>107.13941613025352</c:v>
                </c:pt>
                <c:pt idx="511">
                  <c:v>107.13954376423207</c:v>
                </c:pt>
                <c:pt idx="512">
                  <c:v>107.1396713953458</c:v>
                </c:pt>
                <c:pt idx="513">
                  <c:v>107.13979902359472</c:v>
                </c:pt>
                <c:pt idx="514">
                  <c:v>107.13992664897886</c:v>
                </c:pt>
                <c:pt idx="515">
                  <c:v>107.14005427149826</c:v>
                </c:pt>
                <c:pt idx="516">
                  <c:v>107.14018189115295</c:v>
                </c:pt>
                <c:pt idx="517">
                  <c:v>107.14030950794297</c:v>
                </c:pt>
                <c:pt idx="518">
                  <c:v>107.14043712186839</c:v>
                </c:pt>
                <c:pt idx="519">
                  <c:v>107.14056473292918</c:v>
                </c:pt>
                <c:pt idx="520">
                  <c:v>107.14069234112542</c:v>
                </c:pt>
                <c:pt idx="521">
                  <c:v>107.14081994645713</c:v>
                </c:pt>
                <c:pt idx="522">
                  <c:v>107.14094754892434</c:v>
                </c:pt>
                <c:pt idx="523">
                  <c:v>107.14107514852711</c:v>
                </c:pt>
                <c:pt idx="524">
                  <c:v>107.14120274526547</c:v>
                </c:pt>
                <c:pt idx="525">
                  <c:v>107.14133033913943</c:v>
                </c:pt>
                <c:pt idx="526">
                  <c:v>107.14145793014902</c:v>
                </c:pt>
                <c:pt idx="527">
                  <c:v>107.14158551829432</c:v>
                </c:pt>
                <c:pt idx="528">
                  <c:v>107.14171310357534</c:v>
                </c:pt>
                <c:pt idx="529">
                  <c:v>107.14184068599211</c:v>
                </c:pt>
                <c:pt idx="530">
                  <c:v>107.14196826554466</c:v>
                </c:pt>
                <c:pt idx="531">
                  <c:v>107.14209584223305</c:v>
                </c:pt>
                <c:pt idx="532">
                  <c:v>107.14222341605732</c:v>
                </c:pt>
                <c:pt idx="533">
                  <c:v>107.14235098701745</c:v>
                </c:pt>
                <c:pt idx="534">
                  <c:v>107.14247855511354</c:v>
                </c:pt>
                <c:pt idx="535">
                  <c:v>107.14260612034559</c:v>
                </c:pt>
                <c:pt idx="536">
                  <c:v>107.14273368271364</c:v>
                </c:pt>
                <c:pt idx="537">
                  <c:v>107.14286124221772</c:v>
                </c:pt>
                <c:pt idx="538">
                  <c:v>107.14298879885787</c:v>
                </c:pt>
                <c:pt idx="539">
                  <c:v>107.14311635263414</c:v>
                </c:pt>
                <c:pt idx="540">
                  <c:v>107.14324390354655</c:v>
                </c:pt>
                <c:pt idx="541">
                  <c:v>107.14337145159514</c:v>
                </c:pt>
                <c:pt idx="542">
                  <c:v>107.14349899677994</c:v>
                </c:pt>
                <c:pt idx="543">
                  <c:v>107.14362653910099</c:v>
                </c:pt>
                <c:pt idx="544">
                  <c:v>107.14375407855833</c:v>
                </c:pt>
                <c:pt idx="545">
                  <c:v>107.14388161515198</c:v>
                </c:pt>
                <c:pt idx="546">
                  <c:v>107.14400914888201</c:v>
                </c:pt>
                <c:pt idx="547">
                  <c:v>107.14413667974841</c:v>
                </c:pt>
                <c:pt idx="548">
                  <c:v>107.14426420775123</c:v>
                </c:pt>
                <c:pt idx="549">
                  <c:v>107.14439173289053</c:v>
                </c:pt>
                <c:pt idx="550">
                  <c:v>107.14451925516632</c:v>
                </c:pt>
                <c:pt idx="551">
                  <c:v>107.14464677457865</c:v>
                </c:pt>
                <c:pt idx="552">
                  <c:v>107.14477429112755</c:v>
                </c:pt>
                <c:pt idx="553">
                  <c:v>107.14490180481305</c:v>
                </c:pt>
                <c:pt idx="554">
                  <c:v>107.14502931563518</c:v>
                </c:pt>
                <c:pt idx="555">
                  <c:v>107.14515682359399</c:v>
                </c:pt>
                <c:pt idx="556">
                  <c:v>107.14528432868951</c:v>
                </c:pt>
                <c:pt idx="557">
                  <c:v>107.14541183092177</c:v>
                </c:pt>
                <c:pt idx="558">
                  <c:v>107.1455393302908</c:v>
                </c:pt>
                <c:pt idx="559">
                  <c:v>107.14566682679666</c:v>
                </c:pt>
                <c:pt idx="560">
                  <c:v>107.14579432043936</c:v>
                </c:pt>
                <c:pt idx="561">
                  <c:v>107.14592181121895</c:v>
                </c:pt>
                <c:pt idx="562">
                  <c:v>107.14604929913547</c:v>
                </c:pt>
                <c:pt idx="563">
                  <c:v>107.14617678418894</c:v>
                </c:pt>
                <c:pt idx="564">
                  <c:v>107.1463042663794</c:v>
                </c:pt>
                <c:pt idx="565">
                  <c:v>107.14643174570686</c:v>
                </c:pt>
                <c:pt idx="566">
                  <c:v>107.14655922217142</c:v>
                </c:pt>
                <c:pt idx="567">
                  <c:v>107.14668669577304</c:v>
                </c:pt>
                <c:pt idx="568">
                  <c:v>107.14681416651182</c:v>
                </c:pt>
                <c:pt idx="569">
                  <c:v>107.14694163438776</c:v>
                </c:pt>
                <c:pt idx="570">
                  <c:v>107.14706909940089</c:v>
                </c:pt>
                <c:pt idx="571">
                  <c:v>107.14719656155128</c:v>
                </c:pt>
                <c:pt idx="572">
                  <c:v>107.14732402083892</c:v>
                </c:pt>
                <c:pt idx="573">
                  <c:v>107.14745147726389</c:v>
                </c:pt>
                <c:pt idx="574">
                  <c:v>107.14757893082619</c:v>
                </c:pt>
                <c:pt idx="575">
                  <c:v>107.14770638152586</c:v>
                </c:pt>
                <c:pt idx="576">
                  <c:v>107.14783382936297</c:v>
                </c:pt>
                <c:pt idx="577">
                  <c:v>107.14796127433752</c:v>
                </c:pt>
                <c:pt idx="578">
                  <c:v>107.14808871644955</c:v>
                </c:pt>
                <c:pt idx="579">
                  <c:v>107.14821615569913</c:v>
                </c:pt>
                <c:pt idx="580">
                  <c:v>107.14834359208623</c:v>
                </c:pt>
                <c:pt idx="581">
                  <c:v>107.14847102561093</c:v>
                </c:pt>
                <c:pt idx="582">
                  <c:v>107.14859845627326</c:v>
                </c:pt>
                <c:pt idx="583">
                  <c:v>107.14872588407326</c:v>
                </c:pt>
                <c:pt idx="584">
                  <c:v>107.14885330901095</c:v>
                </c:pt>
                <c:pt idx="585">
                  <c:v>107.14898073108637</c:v>
                </c:pt>
                <c:pt idx="586">
                  <c:v>107.14910815029957</c:v>
                </c:pt>
                <c:pt idx="587">
                  <c:v>107.14923556665056</c:v>
                </c:pt>
                <c:pt idx="588">
                  <c:v>107.14936298013939</c:v>
                </c:pt>
                <c:pt idx="589">
                  <c:v>107.14949039076608</c:v>
                </c:pt>
                <c:pt idx="590">
                  <c:v>107.14961779853068</c:v>
                </c:pt>
                <c:pt idx="591">
                  <c:v>107.14974520343324</c:v>
                </c:pt>
                <c:pt idx="592">
                  <c:v>107.14987260547377</c:v>
                </c:pt>
                <c:pt idx="593">
                  <c:v>107.15000000465233</c:v>
                </c:pt>
                <c:pt idx="594">
                  <c:v>107.15012740096894</c:v>
                </c:pt>
                <c:pt idx="595">
                  <c:v>107.15025479442362</c:v>
                </c:pt>
                <c:pt idx="596">
                  <c:v>107.1503821850164</c:v>
                </c:pt>
                <c:pt idx="597">
                  <c:v>107.15050957274735</c:v>
                </c:pt>
                <c:pt idx="598">
                  <c:v>107.15063695761651</c:v>
                </c:pt>
                <c:pt idx="599">
                  <c:v>107.15076433962389</c:v>
                </c:pt>
                <c:pt idx="600">
                  <c:v>107.15089171876951</c:v>
                </c:pt>
                <c:pt idx="601">
                  <c:v>107.15101909505344</c:v>
                </c:pt>
                <c:pt idx="602">
                  <c:v>107.15114646847572</c:v>
                </c:pt>
                <c:pt idx="603">
                  <c:v>107.15127383903634</c:v>
                </c:pt>
                <c:pt idx="604">
                  <c:v>107.15140120673537</c:v>
                </c:pt>
                <c:pt idx="605">
                  <c:v>107.15152857157285</c:v>
                </c:pt>
                <c:pt idx="606">
                  <c:v>107.1516559335488</c:v>
                </c:pt>
                <c:pt idx="607">
                  <c:v>107.15178329266324</c:v>
                </c:pt>
                <c:pt idx="608">
                  <c:v>107.15191064891623</c:v>
                </c:pt>
                <c:pt idx="609">
                  <c:v>107.1520380023078</c:v>
                </c:pt>
                <c:pt idx="610">
                  <c:v>107.15216535283801</c:v>
                </c:pt>
                <c:pt idx="611">
                  <c:v>107.15229270050683</c:v>
                </c:pt>
                <c:pt idx="612">
                  <c:v>107.15242004531436</c:v>
                </c:pt>
                <c:pt idx="613">
                  <c:v>107.1525473872606</c:v>
                </c:pt>
                <c:pt idx="614">
                  <c:v>107.15267472634559</c:v>
                </c:pt>
                <c:pt idx="615">
                  <c:v>107.15280206256939</c:v>
                </c:pt>
                <c:pt idx="616">
                  <c:v>107.15292939593201</c:v>
                </c:pt>
                <c:pt idx="617">
                  <c:v>107.15305672643349</c:v>
                </c:pt>
                <c:pt idx="618">
                  <c:v>107.15318405407386</c:v>
                </c:pt>
                <c:pt idx="619">
                  <c:v>107.15331137885316</c:v>
                </c:pt>
                <c:pt idx="620">
                  <c:v>107.15343870077143</c:v>
                </c:pt>
                <c:pt idx="621">
                  <c:v>107.15356601982872</c:v>
                </c:pt>
                <c:pt idx="622">
                  <c:v>107.15369333602501</c:v>
                </c:pt>
                <c:pt idx="623">
                  <c:v>107.15382064936038</c:v>
                </c:pt>
                <c:pt idx="624">
                  <c:v>107.15394795983488</c:v>
                </c:pt>
                <c:pt idx="625">
                  <c:v>107.15407526744852</c:v>
                </c:pt>
                <c:pt idx="626">
                  <c:v>107.15420257220133</c:v>
                </c:pt>
                <c:pt idx="627">
                  <c:v>107.15432987409336</c:v>
                </c:pt>
                <c:pt idx="628">
                  <c:v>107.15445717312464</c:v>
                </c:pt>
                <c:pt idx="629">
                  <c:v>107.1545844692952</c:v>
                </c:pt>
                <c:pt idx="630">
                  <c:v>107.15471176260507</c:v>
                </c:pt>
                <c:pt idx="631">
                  <c:v>107.15483905305432</c:v>
                </c:pt>
                <c:pt idx="632">
                  <c:v>107.15496634064293</c:v>
                </c:pt>
                <c:pt idx="633">
                  <c:v>107.15509362537098</c:v>
                </c:pt>
                <c:pt idx="634">
                  <c:v>107.1552209072385</c:v>
                </c:pt>
                <c:pt idx="635">
                  <c:v>107.1553481862455</c:v>
                </c:pt>
                <c:pt idx="636">
                  <c:v>107.15547546239205</c:v>
                </c:pt>
                <c:pt idx="637">
                  <c:v>107.15560273567816</c:v>
                </c:pt>
                <c:pt idx="638">
                  <c:v>107.15573000610387</c:v>
                </c:pt>
                <c:pt idx="639">
                  <c:v>107.15585727366923</c:v>
                </c:pt>
                <c:pt idx="640">
                  <c:v>107.15598453837424</c:v>
                </c:pt>
                <c:pt idx="641">
                  <c:v>107.15611180021897</c:v>
                </c:pt>
                <c:pt idx="642">
                  <c:v>107.15623905920343</c:v>
                </c:pt>
                <c:pt idx="643">
                  <c:v>107.15636631532766</c:v>
                </c:pt>
                <c:pt idx="644">
                  <c:v>107.15649356859173</c:v>
                </c:pt>
                <c:pt idx="645">
                  <c:v>107.15662081899563</c:v>
                </c:pt>
                <c:pt idx="646">
                  <c:v>107.15674806653942</c:v>
                </c:pt>
                <c:pt idx="647">
                  <c:v>107.15687531122313</c:v>
                </c:pt>
                <c:pt idx="648">
                  <c:v>107.15700255304679</c:v>
                </c:pt>
                <c:pt idx="649">
                  <c:v>107.15712979201045</c:v>
                </c:pt>
                <c:pt idx="650">
                  <c:v>107.15725702811413</c:v>
                </c:pt>
                <c:pt idx="651">
                  <c:v>107.15738426135788</c:v>
                </c:pt>
                <c:pt idx="652">
                  <c:v>107.15751149174172</c:v>
                </c:pt>
                <c:pt idx="653">
                  <c:v>107.15763871926568</c:v>
                </c:pt>
                <c:pt idx="654">
                  <c:v>107.15776594392982</c:v>
                </c:pt>
                <c:pt idx="655">
                  <c:v>107.15789316573414</c:v>
                </c:pt>
                <c:pt idx="656">
                  <c:v>107.15802038467871</c:v>
                </c:pt>
                <c:pt idx="657">
                  <c:v>107.15814760076356</c:v>
                </c:pt>
                <c:pt idx="658">
                  <c:v>107.1582748139887</c:v>
                </c:pt>
                <c:pt idx="659">
                  <c:v>107.15840202435419</c:v>
                </c:pt>
                <c:pt idx="660">
                  <c:v>107.15852923186007</c:v>
                </c:pt>
                <c:pt idx="661">
                  <c:v>107.15865643650635</c:v>
                </c:pt>
                <c:pt idx="662">
                  <c:v>107.15878363829307</c:v>
                </c:pt>
                <c:pt idx="663">
                  <c:v>107.1589108372203</c:v>
                </c:pt>
                <c:pt idx="664">
                  <c:v>107.15903803328803</c:v>
                </c:pt>
                <c:pt idx="665">
                  <c:v>107.15916522649633</c:v>
                </c:pt>
                <c:pt idx="666">
                  <c:v>107.1592924168452</c:v>
                </c:pt>
                <c:pt idx="667">
                  <c:v>107.15941960433472</c:v>
                </c:pt>
                <c:pt idx="668">
                  <c:v>107.15954678896487</c:v>
                </c:pt>
                <c:pt idx="669">
                  <c:v>107.15967397073572</c:v>
                </c:pt>
                <c:pt idx="670">
                  <c:v>107.15980114964732</c:v>
                </c:pt>
                <c:pt idx="671">
                  <c:v>107.15992832569967</c:v>
                </c:pt>
                <c:pt idx="672">
                  <c:v>107.16005549889282</c:v>
                </c:pt>
                <c:pt idx="673">
                  <c:v>107.16018266922683</c:v>
                </c:pt>
                <c:pt idx="674">
                  <c:v>107.16030983670169</c:v>
                </c:pt>
                <c:pt idx="675">
                  <c:v>107.16043700131748</c:v>
                </c:pt>
                <c:pt idx="676">
                  <c:v>107.16056416307418</c:v>
                </c:pt>
                <c:pt idx="677">
                  <c:v>107.16069132197188</c:v>
                </c:pt>
                <c:pt idx="678">
                  <c:v>107.16081847801058</c:v>
                </c:pt>
                <c:pt idx="679">
                  <c:v>107.16094563119033</c:v>
                </c:pt>
                <c:pt idx="680">
                  <c:v>107.16107278151117</c:v>
                </c:pt>
                <c:pt idx="681">
                  <c:v>107.16119992897312</c:v>
                </c:pt>
                <c:pt idx="682">
                  <c:v>107.16132707357623</c:v>
                </c:pt>
                <c:pt idx="683">
                  <c:v>107.16145421532053</c:v>
                </c:pt>
                <c:pt idx="684">
                  <c:v>107.16158135420605</c:v>
                </c:pt>
                <c:pt idx="685">
                  <c:v>107.16170849023283</c:v>
                </c:pt>
                <c:pt idx="686">
                  <c:v>107.1618356234009</c:v>
                </c:pt>
                <c:pt idx="687">
                  <c:v>107.1619627537103</c:v>
                </c:pt>
                <c:pt idx="688">
                  <c:v>107.16208988116108</c:v>
                </c:pt>
                <c:pt idx="689">
                  <c:v>107.16221700575323</c:v>
                </c:pt>
                <c:pt idx="690">
                  <c:v>107.16234412748685</c:v>
                </c:pt>
                <c:pt idx="691">
                  <c:v>107.16247124636192</c:v>
                </c:pt>
                <c:pt idx="692">
                  <c:v>107.1625983623785</c:v>
                </c:pt>
                <c:pt idx="693">
                  <c:v>107.16272547553663</c:v>
                </c:pt>
                <c:pt idx="694">
                  <c:v>107.16285258583633</c:v>
                </c:pt>
                <c:pt idx="695">
                  <c:v>107.16297969327763</c:v>
                </c:pt>
                <c:pt idx="696">
                  <c:v>107.16310679786061</c:v>
                </c:pt>
                <c:pt idx="697">
                  <c:v>107.16323389958525</c:v>
                </c:pt>
                <c:pt idx="698">
                  <c:v>107.16336099845159</c:v>
                </c:pt>
                <c:pt idx="699">
                  <c:v>107.16348809445972</c:v>
                </c:pt>
                <c:pt idx="700">
                  <c:v>107.16361518760961</c:v>
                </c:pt>
                <c:pt idx="701">
                  <c:v>107.16374227790133</c:v>
                </c:pt>
                <c:pt idx="702">
                  <c:v>107.1638693653349</c:v>
                </c:pt>
                <c:pt idx="703">
                  <c:v>107.16399644991039</c:v>
                </c:pt>
                <c:pt idx="704">
                  <c:v>107.16412353162779</c:v>
                </c:pt>
                <c:pt idx="705">
                  <c:v>107.16425061048717</c:v>
                </c:pt>
                <c:pt idx="706">
                  <c:v>107.16437768648855</c:v>
                </c:pt>
                <c:pt idx="707">
                  <c:v>107.16450475963194</c:v>
                </c:pt>
                <c:pt idx="708">
                  <c:v>107.16463182991743</c:v>
                </c:pt>
                <c:pt idx="709">
                  <c:v>107.16475889734502</c:v>
                </c:pt>
                <c:pt idx="710">
                  <c:v>107.16488596191475</c:v>
                </c:pt>
                <c:pt idx="711">
                  <c:v>107.16501302362666</c:v>
                </c:pt>
                <c:pt idx="712">
                  <c:v>107.16514008248076</c:v>
                </c:pt>
                <c:pt idx="713">
                  <c:v>107.16526713847712</c:v>
                </c:pt>
                <c:pt idx="714">
                  <c:v>107.16539419161576</c:v>
                </c:pt>
                <c:pt idx="715">
                  <c:v>107.16552124189671</c:v>
                </c:pt>
                <c:pt idx="716">
                  <c:v>107.16564828932003</c:v>
                </c:pt>
                <c:pt idx="717">
                  <c:v>107.16577533388573</c:v>
                </c:pt>
                <c:pt idx="718">
                  <c:v>107.16590237559386</c:v>
                </c:pt>
                <c:pt idx="719">
                  <c:v>107.16602941444444</c:v>
                </c:pt>
                <c:pt idx="720">
                  <c:v>107.16615645043751</c:v>
                </c:pt>
                <c:pt idx="721">
                  <c:v>107.16628348357311</c:v>
                </c:pt>
                <c:pt idx="722">
                  <c:v>107.16641051385128</c:v>
                </c:pt>
                <c:pt idx="723">
                  <c:v>107.16653754127205</c:v>
                </c:pt>
                <c:pt idx="724">
                  <c:v>107.16666456583545</c:v>
                </c:pt>
                <c:pt idx="725">
                  <c:v>107.16679158754154</c:v>
                </c:pt>
                <c:pt idx="726">
                  <c:v>107.16691860639031</c:v>
                </c:pt>
                <c:pt idx="727">
                  <c:v>107.16704562238182</c:v>
                </c:pt>
                <c:pt idx="728">
                  <c:v>107.16717263551611</c:v>
                </c:pt>
                <c:pt idx="729">
                  <c:v>107.16729964579321</c:v>
                </c:pt>
                <c:pt idx="730">
                  <c:v>107.16742665321316</c:v>
                </c:pt>
                <c:pt idx="731">
                  <c:v>107.167553657776</c:v>
                </c:pt>
                <c:pt idx="732">
                  <c:v>107.16768065948175</c:v>
                </c:pt>
                <c:pt idx="733">
                  <c:v>107.16780765833045</c:v>
                </c:pt>
                <c:pt idx="734">
                  <c:v>107.16793465432212</c:v>
                </c:pt>
                <c:pt idx="735">
                  <c:v>107.16806164745682</c:v>
                </c:pt>
                <c:pt idx="736">
                  <c:v>107.1681886377346</c:v>
                </c:pt>
                <c:pt idx="737">
                  <c:v>107.16831562515546</c:v>
                </c:pt>
                <c:pt idx="738">
                  <c:v>107.16844260971943</c:v>
                </c:pt>
                <c:pt idx="739">
                  <c:v>107.1685695914266</c:v>
                </c:pt>
                <c:pt idx="740">
                  <c:v>107.16869657027694</c:v>
                </c:pt>
                <c:pt idx="741">
                  <c:v>107.16882354627053</c:v>
                </c:pt>
                <c:pt idx="742">
                  <c:v>107.16895051940739</c:v>
                </c:pt>
                <c:pt idx="743">
                  <c:v>107.16907748968754</c:v>
                </c:pt>
                <c:pt idx="744">
                  <c:v>107.16920445711104</c:v>
                </c:pt>
                <c:pt idx="745">
                  <c:v>107.1693314216779</c:v>
                </c:pt>
                <c:pt idx="746">
                  <c:v>107.16945838338819</c:v>
                </c:pt>
                <c:pt idx="747">
                  <c:v>107.16958534224192</c:v>
                </c:pt>
                <c:pt idx="748">
                  <c:v>107.16971229823912</c:v>
                </c:pt>
                <c:pt idx="749">
                  <c:v>107.16983925137984</c:v>
                </c:pt>
                <c:pt idx="750">
                  <c:v>107.16996620166411</c:v>
                </c:pt>
                <c:pt idx="751">
                  <c:v>107.17009314909197</c:v>
                </c:pt>
                <c:pt idx="752">
                  <c:v>107.17022009366345</c:v>
                </c:pt>
                <c:pt idx="753">
                  <c:v>107.17034703537858</c:v>
                </c:pt>
                <c:pt idx="754">
                  <c:v>107.17047397423742</c:v>
                </c:pt>
                <c:pt idx="755">
                  <c:v>107.17060091023997</c:v>
                </c:pt>
                <c:pt idx="756">
                  <c:v>107.17072784338629</c:v>
                </c:pt>
                <c:pt idx="757">
                  <c:v>107.17085477367641</c:v>
                </c:pt>
                <c:pt idx="758">
                  <c:v>107.17098170111035</c:v>
                </c:pt>
                <c:pt idx="759">
                  <c:v>107.17110862568819</c:v>
                </c:pt>
                <c:pt idx="760">
                  <c:v>107.17123554740991</c:v>
                </c:pt>
                <c:pt idx="761">
                  <c:v>107.17136246627557</c:v>
                </c:pt>
                <c:pt idx="762">
                  <c:v>107.1714893822852</c:v>
                </c:pt>
                <c:pt idx="763">
                  <c:v>107.17161629543884</c:v>
                </c:pt>
                <c:pt idx="764">
                  <c:v>107.17174320573652</c:v>
                </c:pt>
                <c:pt idx="765">
                  <c:v>107.17187011317829</c:v>
                </c:pt>
                <c:pt idx="766">
                  <c:v>107.17199701776417</c:v>
                </c:pt>
                <c:pt idx="767">
                  <c:v>107.17212391949421</c:v>
                </c:pt>
                <c:pt idx="768">
                  <c:v>107.17225081836844</c:v>
                </c:pt>
                <c:pt idx="769">
                  <c:v>107.17237771438687</c:v>
                </c:pt>
                <c:pt idx="770">
                  <c:v>107.17250460754957</c:v>
                </c:pt>
                <c:pt idx="771">
                  <c:v>107.17263149785656</c:v>
                </c:pt>
                <c:pt idx="772">
                  <c:v>107.17275838530787</c:v>
                </c:pt>
                <c:pt idx="773">
                  <c:v>107.17288526990355</c:v>
                </c:pt>
                <c:pt idx="774">
                  <c:v>107.17301215164362</c:v>
                </c:pt>
                <c:pt idx="775">
                  <c:v>107.17313903052812</c:v>
                </c:pt>
                <c:pt idx="776">
                  <c:v>107.17326590655709</c:v>
                </c:pt>
                <c:pt idx="777">
                  <c:v>107.17339277973058</c:v>
                </c:pt>
                <c:pt idx="778">
                  <c:v>107.1735196500486</c:v>
                </c:pt>
                <c:pt idx="779">
                  <c:v>107.17364651751117</c:v>
                </c:pt>
                <c:pt idx="780">
                  <c:v>107.17377338211837</c:v>
                </c:pt>
                <c:pt idx="781">
                  <c:v>107.17390024387021</c:v>
                </c:pt>
                <c:pt idx="782">
                  <c:v>107.17402710276673</c:v>
                </c:pt>
                <c:pt idx="783">
                  <c:v>107.17415395880795</c:v>
                </c:pt>
                <c:pt idx="784">
                  <c:v>107.17428081199394</c:v>
                </c:pt>
                <c:pt idx="785">
                  <c:v>107.1744076623247</c:v>
                </c:pt>
                <c:pt idx="786">
                  <c:v>107.1745345098003</c:v>
                </c:pt>
                <c:pt idx="787">
                  <c:v>107.17466135442073</c:v>
                </c:pt>
                <c:pt idx="788">
                  <c:v>107.17478819618607</c:v>
                </c:pt>
                <c:pt idx="789">
                  <c:v>107.17491503509632</c:v>
                </c:pt>
                <c:pt idx="790">
                  <c:v>107.17504187115154</c:v>
                </c:pt>
                <c:pt idx="791">
                  <c:v>107.17516870435175</c:v>
                </c:pt>
                <c:pt idx="792">
                  <c:v>107.17529553469699</c:v>
                </c:pt>
                <c:pt idx="793">
                  <c:v>107.17542236218731</c:v>
                </c:pt>
                <c:pt idx="794">
                  <c:v>107.17554918682272</c:v>
                </c:pt>
                <c:pt idx="795">
                  <c:v>107.17567600860328</c:v>
                </c:pt>
                <c:pt idx="796">
                  <c:v>107.175802827529</c:v>
                </c:pt>
                <c:pt idx="797">
                  <c:v>107.17592964359991</c:v>
                </c:pt>
                <c:pt idx="798">
                  <c:v>107.17605645681608</c:v>
                </c:pt>
                <c:pt idx="799">
                  <c:v>107.17618326717755</c:v>
                </c:pt>
                <c:pt idx="800">
                  <c:v>107.1763100746843</c:v>
                </c:pt>
                <c:pt idx="801">
                  <c:v>107.17643687933639</c:v>
                </c:pt>
                <c:pt idx="802">
                  <c:v>107.1765636811339</c:v>
                </c:pt>
                <c:pt idx="803">
                  <c:v>107.17669048007681</c:v>
                </c:pt>
                <c:pt idx="804">
                  <c:v>107.17681727616518</c:v>
                </c:pt>
                <c:pt idx="805">
                  <c:v>107.17694406939904</c:v>
                </c:pt>
                <c:pt idx="806">
                  <c:v>107.17707085977842</c:v>
                </c:pt>
                <c:pt idx="807">
                  <c:v>107.17719764730337</c:v>
                </c:pt>
                <c:pt idx="808">
                  <c:v>107.17732443197391</c:v>
                </c:pt>
                <c:pt idx="809">
                  <c:v>107.17745121379009</c:v>
                </c:pt>
                <c:pt idx="810">
                  <c:v>107.17757799275192</c:v>
                </c:pt>
                <c:pt idx="811">
                  <c:v>107.17770476885944</c:v>
                </c:pt>
                <c:pt idx="812">
                  <c:v>107.17783154211271</c:v>
                </c:pt>
                <c:pt idx="813">
                  <c:v>107.17795831251175</c:v>
                </c:pt>
                <c:pt idx="814">
                  <c:v>107.1780850800566</c:v>
                </c:pt>
                <c:pt idx="815">
                  <c:v>107.17821184474728</c:v>
                </c:pt>
                <c:pt idx="816">
                  <c:v>107.17833860658385</c:v>
                </c:pt>
                <c:pt idx="817">
                  <c:v>107.17846536556632</c:v>
                </c:pt>
                <c:pt idx="818">
                  <c:v>107.17859212169475</c:v>
                </c:pt>
                <c:pt idx="819">
                  <c:v>107.17871887496914</c:v>
                </c:pt>
                <c:pt idx="820">
                  <c:v>107.17884562538956</c:v>
                </c:pt>
                <c:pt idx="821">
                  <c:v>107.17897237295605</c:v>
                </c:pt>
                <c:pt idx="822">
                  <c:v>107.17909911766861</c:v>
                </c:pt>
                <c:pt idx="823">
                  <c:v>107.17922585952729</c:v>
                </c:pt>
                <c:pt idx="824">
                  <c:v>107.17935259853213</c:v>
                </c:pt>
                <c:pt idx="825">
                  <c:v>107.17947933468318</c:v>
                </c:pt>
                <c:pt idx="826">
                  <c:v>107.17960606798046</c:v>
                </c:pt>
                <c:pt idx="827">
                  <c:v>107.179732798424</c:v>
                </c:pt>
                <c:pt idx="828">
                  <c:v>107.17985952601383</c:v>
                </c:pt>
                <c:pt idx="829">
                  <c:v>107.17998625074999</c:v>
                </c:pt>
                <c:pt idx="830">
                  <c:v>107.18011297263254</c:v>
                </c:pt>
                <c:pt idx="831">
                  <c:v>107.18023969166147</c:v>
                </c:pt>
                <c:pt idx="832">
                  <c:v>107.18036640783687</c:v>
                </c:pt>
                <c:pt idx="833">
                  <c:v>107.18049312115875</c:v>
                </c:pt>
                <c:pt idx="834">
                  <c:v>107.18061983162713</c:v>
                </c:pt>
                <c:pt idx="835">
                  <c:v>107.18074653924204</c:v>
                </c:pt>
                <c:pt idx="836">
                  <c:v>107.18087324400354</c:v>
                </c:pt>
                <c:pt idx="837">
                  <c:v>107.18099994591167</c:v>
                </c:pt>
                <c:pt idx="838">
                  <c:v>107.18112664496643</c:v>
                </c:pt>
                <c:pt idx="839">
                  <c:v>107.18125334116787</c:v>
                </c:pt>
                <c:pt idx="840">
                  <c:v>107.18138003451607</c:v>
                </c:pt>
                <c:pt idx="841">
                  <c:v>107.18150672501099</c:v>
                </c:pt>
                <c:pt idx="842">
                  <c:v>107.18163341265272</c:v>
                </c:pt>
                <c:pt idx="843">
                  <c:v>107.18176009744128</c:v>
                </c:pt>
                <c:pt idx="844">
                  <c:v>107.1818867793767</c:v>
                </c:pt>
                <c:pt idx="845">
                  <c:v>107.18201345845902</c:v>
                </c:pt>
                <c:pt idx="846">
                  <c:v>107.18214013468828</c:v>
                </c:pt>
                <c:pt idx="847">
                  <c:v>107.18226680806448</c:v>
                </c:pt>
                <c:pt idx="848">
                  <c:v>107.18239347858771</c:v>
                </c:pt>
                <c:pt idx="849">
                  <c:v>107.18252014625799</c:v>
                </c:pt>
                <c:pt idx="850">
                  <c:v>107.18264681107532</c:v>
                </c:pt>
                <c:pt idx="851">
                  <c:v>107.18277347303977</c:v>
                </c:pt>
                <c:pt idx="852">
                  <c:v>107.18290013215137</c:v>
                </c:pt>
                <c:pt idx="853">
                  <c:v>107.18302678841015</c:v>
                </c:pt>
                <c:pt idx="854">
                  <c:v>107.18315344181615</c:v>
                </c:pt>
                <c:pt idx="855">
                  <c:v>107.18328009236939</c:v>
                </c:pt>
                <c:pt idx="856">
                  <c:v>107.18340674006991</c:v>
                </c:pt>
                <c:pt idx="857">
                  <c:v>107.18353338491777</c:v>
                </c:pt>
                <c:pt idx="858">
                  <c:v>107.18366002691297</c:v>
                </c:pt>
                <c:pt idx="859">
                  <c:v>107.18378666605557</c:v>
                </c:pt>
                <c:pt idx="860">
                  <c:v>107.18391330234559</c:v>
                </c:pt>
                <c:pt idx="861">
                  <c:v>107.18403993578308</c:v>
                </c:pt>
                <c:pt idx="862">
                  <c:v>107.18416656636806</c:v>
                </c:pt>
                <c:pt idx="863">
                  <c:v>107.18429319410058</c:v>
                </c:pt>
                <c:pt idx="864">
                  <c:v>107.18441981898066</c:v>
                </c:pt>
                <c:pt idx="865">
                  <c:v>107.18454644100834</c:v>
                </c:pt>
                <c:pt idx="866">
                  <c:v>107.18467306018367</c:v>
                </c:pt>
                <c:pt idx="867">
                  <c:v>107.18479967650667</c:v>
                </c:pt>
                <c:pt idx="868">
                  <c:v>107.18492628997737</c:v>
                </c:pt>
                <c:pt idx="869">
                  <c:v>107.18505290059584</c:v>
                </c:pt>
                <c:pt idx="870">
                  <c:v>107.18517950836208</c:v>
                </c:pt>
                <c:pt idx="871">
                  <c:v>107.18530611327613</c:v>
                </c:pt>
                <c:pt idx="872">
                  <c:v>107.18543271533802</c:v>
                </c:pt>
                <c:pt idx="873">
                  <c:v>107.18555931454782</c:v>
                </c:pt>
                <c:pt idx="874">
                  <c:v>107.18568591090552</c:v>
                </c:pt>
                <c:pt idx="875">
                  <c:v>107.18581250441116</c:v>
                </c:pt>
                <c:pt idx="876">
                  <c:v>107.18593909506481</c:v>
                </c:pt>
                <c:pt idx="877">
                  <c:v>107.18606568286648</c:v>
                </c:pt>
                <c:pt idx="878">
                  <c:v>107.18619226781622</c:v>
                </c:pt>
                <c:pt idx="879">
                  <c:v>107.18631884991406</c:v>
                </c:pt>
                <c:pt idx="880">
                  <c:v>107.18644542916002</c:v>
                </c:pt>
                <c:pt idx="881">
                  <c:v>107.18657200555415</c:v>
                </c:pt>
                <c:pt idx="882">
                  <c:v>107.18669857909649</c:v>
                </c:pt>
                <c:pt idx="883">
                  <c:v>107.18682514978704</c:v>
                </c:pt>
                <c:pt idx="884">
                  <c:v>107.18695171762589</c:v>
                </c:pt>
                <c:pt idx="885">
                  <c:v>107.18707828261304</c:v>
                </c:pt>
                <c:pt idx="886">
                  <c:v>107.18720484474854</c:v>
                </c:pt>
                <c:pt idx="887">
                  <c:v>107.18733140403239</c:v>
                </c:pt>
                <c:pt idx="888">
                  <c:v>107.18745796046467</c:v>
                </c:pt>
                <c:pt idx="889">
                  <c:v>107.1875845140454</c:v>
                </c:pt>
                <c:pt idx="890">
                  <c:v>107.18771106477462</c:v>
                </c:pt>
                <c:pt idx="891">
                  <c:v>107.18783761265234</c:v>
                </c:pt>
                <c:pt idx="892">
                  <c:v>107.18796415767864</c:v>
                </c:pt>
                <c:pt idx="893">
                  <c:v>107.18809069985352</c:v>
                </c:pt>
                <c:pt idx="894">
                  <c:v>107.18821723917701</c:v>
                </c:pt>
                <c:pt idx="895">
                  <c:v>107.18834377564917</c:v>
                </c:pt>
                <c:pt idx="896">
                  <c:v>107.18847030927003</c:v>
                </c:pt>
                <c:pt idx="897">
                  <c:v>107.18859684003961</c:v>
                </c:pt>
                <c:pt idx="898">
                  <c:v>107.18872336795795</c:v>
                </c:pt>
                <c:pt idx="899">
                  <c:v>107.18884989302511</c:v>
                </c:pt>
                <c:pt idx="900">
                  <c:v>107.18897641524109</c:v>
                </c:pt>
                <c:pt idx="901">
                  <c:v>107.18910293460594</c:v>
                </c:pt>
                <c:pt idx="902">
                  <c:v>107.18922945111969</c:v>
                </c:pt>
                <c:pt idx="903">
                  <c:v>107.18935596478239</c:v>
                </c:pt>
                <c:pt idx="904">
                  <c:v>107.18948247559409</c:v>
                </c:pt>
                <c:pt idx="905">
                  <c:v>107.18960898355478</c:v>
                </c:pt>
                <c:pt idx="906">
                  <c:v>107.1897354886645</c:v>
                </c:pt>
                <c:pt idx="907">
                  <c:v>107.18986199092332</c:v>
                </c:pt>
                <c:pt idx="908">
                  <c:v>107.18998849033125</c:v>
                </c:pt>
                <c:pt idx="909">
                  <c:v>107.19011498688833</c:v>
                </c:pt>
                <c:pt idx="910">
                  <c:v>107.19024148059462</c:v>
                </c:pt>
                <c:pt idx="911">
                  <c:v>107.19036797145013</c:v>
                </c:pt>
                <c:pt idx="912">
                  <c:v>107.19049445945488</c:v>
                </c:pt>
                <c:pt idx="913">
                  <c:v>107.19062094460895</c:v>
                </c:pt>
                <c:pt idx="914">
                  <c:v>107.19074742691234</c:v>
                </c:pt>
                <c:pt idx="915">
                  <c:v>107.19087390636507</c:v>
                </c:pt>
                <c:pt idx="916">
                  <c:v>107.19100038296722</c:v>
                </c:pt>
                <c:pt idx="917">
                  <c:v>107.1911268567188</c:v>
                </c:pt>
                <c:pt idx="918">
                  <c:v>107.19125332761985</c:v>
                </c:pt>
                <c:pt idx="919">
                  <c:v>107.19137979567039</c:v>
                </c:pt>
                <c:pt idx="920">
                  <c:v>107.19150626087048</c:v>
                </c:pt>
                <c:pt idx="921">
                  <c:v>107.19163272322017</c:v>
                </c:pt>
                <c:pt idx="922">
                  <c:v>107.19175918271944</c:v>
                </c:pt>
                <c:pt idx="923">
                  <c:v>107.19188563936837</c:v>
                </c:pt>
                <c:pt idx="924">
                  <c:v>107.19201209316697</c:v>
                </c:pt>
                <c:pt idx="925">
                  <c:v>107.19213854411529</c:v>
                </c:pt>
                <c:pt idx="926">
                  <c:v>107.19226499221337</c:v>
                </c:pt>
                <c:pt idx="927">
                  <c:v>107.19239143746123</c:v>
                </c:pt>
                <c:pt idx="928">
                  <c:v>107.19251787985891</c:v>
                </c:pt>
                <c:pt idx="929">
                  <c:v>107.19264431940644</c:v>
                </c:pt>
                <c:pt idx="930">
                  <c:v>107.19277075610387</c:v>
                </c:pt>
                <c:pt idx="931">
                  <c:v>107.19289718995122</c:v>
                </c:pt>
                <c:pt idx="932">
                  <c:v>107.19302362094855</c:v>
                </c:pt>
                <c:pt idx="933">
                  <c:v>107.19315004909586</c:v>
                </c:pt>
                <c:pt idx="934">
                  <c:v>107.19327647439322</c:v>
                </c:pt>
                <c:pt idx="935">
                  <c:v>107.19340289684062</c:v>
                </c:pt>
                <c:pt idx="936">
                  <c:v>107.19352931643816</c:v>
                </c:pt>
                <c:pt idx="937">
                  <c:v>107.19365573318581</c:v>
                </c:pt>
                <c:pt idx="938">
                  <c:v>107.19378214708364</c:v>
                </c:pt>
                <c:pt idx="939">
                  <c:v>107.19390855813167</c:v>
                </c:pt>
                <c:pt idx="940">
                  <c:v>107.19403496632997</c:v>
                </c:pt>
                <c:pt idx="941">
                  <c:v>107.19416137167853</c:v>
                </c:pt>
                <c:pt idx="942">
                  <c:v>107.19428777417741</c:v>
                </c:pt>
                <c:pt idx="943">
                  <c:v>107.19441417382664</c:v>
                </c:pt>
                <c:pt idx="944">
                  <c:v>107.19454057062626</c:v>
                </c:pt>
                <c:pt idx="945">
                  <c:v>107.19466696457629</c:v>
                </c:pt>
                <c:pt idx="946">
                  <c:v>107.19479335567678</c:v>
                </c:pt>
                <c:pt idx="947">
                  <c:v>107.19491974392777</c:v>
                </c:pt>
                <c:pt idx="948">
                  <c:v>107.19504612932927</c:v>
                </c:pt>
                <c:pt idx="949">
                  <c:v>107.19517251188134</c:v>
                </c:pt>
                <c:pt idx="950">
                  <c:v>107.195298891584</c:v>
                </c:pt>
                <c:pt idx="951">
                  <c:v>107.1954252684373</c:v>
                </c:pt>
                <c:pt idx="952">
                  <c:v>107.19555164244126</c:v>
                </c:pt>
                <c:pt idx="953">
                  <c:v>107.19567801359592</c:v>
                </c:pt>
                <c:pt idx="954">
                  <c:v>107.19580438190133</c:v>
                </c:pt>
                <c:pt idx="955">
                  <c:v>107.19593074735749</c:v>
                </c:pt>
                <c:pt idx="956">
                  <c:v>107.19605710996446</c:v>
                </c:pt>
                <c:pt idx="957">
                  <c:v>107.19618346972227</c:v>
                </c:pt>
                <c:pt idx="958">
                  <c:v>107.19630982663097</c:v>
                </c:pt>
                <c:pt idx="959">
                  <c:v>107.19643618069058</c:v>
                </c:pt>
                <c:pt idx="960">
                  <c:v>107.19656253190114</c:v>
                </c:pt>
                <c:pt idx="961">
                  <c:v>107.19668888026267</c:v>
                </c:pt>
                <c:pt idx="962">
                  <c:v>107.19681522577524</c:v>
                </c:pt>
                <c:pt idx="963">
                  <c:v>107.19694156843885</c:v>
                </c:pt>
                <c:pt idx="964">
                  <c:v>107.19706790825356</c:v>
                </c:pt>
                <c:pt idx="965">
                  <c:v>107.19719424521938</c:v>
                </c:pt>
                <c:pt idx="966">
                  <c:v>107.19732057933636</c:v>
                </c:pt>
                <c:pt idx="967">
                  <c:v>107.19744691060455</c:v>
                </c:pt>
                <c:pt idx="968">
                  <c:v>107.19757323902397</c:v>
                </c:pt>
                <c:pt idx="969">
                  <c:v>107.19769956459464</c:v>
                </c:pt>
                <c:pt idx="970">
                  <c:v>107.19782588731663</c:v>
                </c:pt>
                <c:pt idx="971">
                  <c:v>107.19795220718994</c:v>
                </c:pt>
                <c:pt idx="972">
                  <c:v>107.19807852421462</c:v>
                </c:pt>
                <c:pt idx="973">
                  <c:v>107.19820483839072</c:v>
                </c:pt>
                <c:pt idx="974">
                  <c:v>107.19833114971824</c:v>
                </c:pt>
                <c:pt idx="975">
                  <c:v>107.19845745819725</c:v>
                </c:pt>
                <c:pt idx="976">
                  <c:v>107.19858376382777</c:v>
                </c:pt>
                <c:pt idx="977">
                  <c:v>107.19871006660983</c:v>
                </c:pt>
                <c:pt idx="978">
                  <c:v>107.19883636654347</c:v>
                </c:pt>
                <c:pt idx="979">
                  <c:v>107.19896266362873</c:v>
                </c:pt>
                <c:pt idx="980">
                  <c:v>107.19908895786564</c:v>
                </c:pt>
                <c:pt idx="981">
                  <c:v>107.19921524925425</c:v>
                </c:pt>
                <c:pt idx="982">
                  <c:v>107.19934153779455</c:v>
                </c:pt>
                <c:pt idx="983">
                  <c:v>107.19946782348663</c:v>
                </c:pt>
                <c:pt idx="984">
                  <c:v>107.19959410633051</c:v>
                </c:pt>
                <c:pt idx="985">
                  <c:v>107.19972038632621</c:v>
                </c:pt>
                <c:pt idx="986">
                  <c:v>107.19984666347378</c:v>
                </c:pt>
                <c:pt idx="987">
                  <c:v>107.19997293777324</c:v>
                </c:pt>
                <c:pt idx="988">
                  <c:v>107.20009920922465</c:v>
                </c:pt>
                <c:pt idx="989">
                  <c:v>107.200225477828</c:v>
                </c:pt>
                <c:pt idx="990">
                  <c:v>107.20035174358338</c:v>
                </c:pt>
                <c:pt idx="991">
                  <c:v>107.20047800649077</c:v>
                </c:pt>
                <c:pt idx="992">
                  <c:v>107.20060426655027</c:v>
                </c:pt>
                <c:pt idx="993">
                  <c:v>107.20073052376186</c:v>
                </c:pt>
                <c:pt idx="994">
                  <c:v>107.2008567781256</c:v>
                </c:pt>
                <c:pt idx="995">
                  <c:v>107.20098302964151</c:v>
                </c:pt>
                <c:pt idx="996">
                  <c:v>107.20110927830963</c:v>
                </c:pt>
                <c:pt idx="997">
                  <c:v>107.20123552413001</c:v>
                </c:pt>
                <c:pt idx="998">
                  <c:v>107.20136176710268</c:v>
                </c:pt>
                <c:pt idx="999">
                  <c:v>107.20148800722767</c:v>
                </c:pt>
                <c:pt idx="1000">
                  <c:v>107.20161424450501</c:v>
                </c:pt>
              </c:numCache>
            </c:numRef>
          </c:yVal>
          <c:smooth val="0"/>
          <c:extLst>
            <c:ext xmlns:c16="http://schemas.microsoft.com/office/drawing/2014/chart" uri="{C3380CC4-5D6E-409C-BE32-E72D297353CC}">
              <c16:uniqueId val="{00000000-011B-490F-A283-4EB42FA064EB}"/>
            </c:ext>
          </c:extLst>
        </c:ser>
        <c:dLbls>
          <c:showLegendKey val="0"/>
          <c:showVal val="0"/>
          <c:showCatName val="0"/>
          <c:showSerName val="0"/>
          <c:showPercent val="0"/>
          <c:showBubbleSize val="0"/>
        </c:dLbls>
        <c:axId val="149125760"/>
        <c:axId val="149132032"/>
      </c:scatterChart>
      <c:valAx>
        <c:axId val="149125760"/>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0"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132032"/>
        <c:crosses val="autoZero"/>
        <c:crossBetween val="midCat"/>
      </c:valAx>
      <c:valAx>
        <c:axId val="149132032"/>
        <c:scaling>
          <c:orientation val="minMax"/>
        </c:scaling>
        <c:delete val="0"/>
        <c:axPos val="l"/>
        <c:majorGridlines>
          <c:spPr>
            <a:ln w="3175">
              <a:solidFill>
                <a:srgbClr val="000000"/>
              </a:solidFill>
              <a:prstDash val="sysDash"/>
            </a:ln>
          </c:spPr>
        </c:majorGridlines>
        <c:title>
          <c:tx>
            <c:strRef>
              <c:f>Courbes!$B$141</c:f>
              <c:strCache>
                <c:ptCount val="1"/>
                <c:pt idx="0">
                  <c:v>Vitesse [m/s]</c:v>
                </c:pt>
              </c:strCache>
            </c:strRef>
          </c:tx>
          <c:layout>
            <c:manualLayout>
              <c:xMode val="edge"/>
              <c:yMode val="edge"/>
              <c:x val="2.5943396226415099E-2"/>
              <c:y val="0.22875870516185479"/>
            </c:manualLayout>
          </c:layout>
          <c:overlay val="0"/>
          <c:spPr>
            <a:noFill/>
            <a:ln w="25400">
              <a:noFill/>
            </a:ln>
          </c:spPr>
          <c:txPr>
            <a:bodyPr/>
            <a:lstStyle/>
            <a:p>
              <a:pPr>
                <a:defRPr sz="1000" b="1"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125760"/>
        <c:crosses val="autoZero"/>
        <c:crossBetween val="midCat"/>
      </c:valAx>
      <c:spPr>
        <a:noFill/>
        <a:ln w="12700">
          <a:solidFill>
            <a:srgbClr val="808080"/>
          </a:solidFill>
          <a:prstDash val="solid"/>
        </a:ln>
      </c:spPr>
    </c:plotArea>
    <c:legend>
      <c:legendPos val="r"/>
      <c:layout>
        <c:manualLayout>
          <c:xMode val="edge"/>
          <c:yMode val="edge"/>
          <c:x val="0.81839684544148961"/>
          <c:y val="0.46444479440069991"/>
          <c:w val="0.13207559550339221"/>
          <c:h val="7.7777777777777779E-2"/>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fr-FR"/>
              <a:t>Accélérations</a:t>
            </a:r>
          </a:p>
        </c:rich>
      </c:tx>
      <c:overlay val="1"/>
    </c:title>
    <c:autoTitleDeleted val="0"/>
    <c:plotArea>
      <c:layout>
        <c:manualLayout>
          <c:layoutTarget val="inner"/>
          <c:xMode val="edge"/>
          <c:yMode val="edge"/>
          <c:x val="9.4339622641509524E-2"/>
          <c:y val="9.4771241830065356E-2"/>
          <c:w val="0.88679245283019104"/>
          <c:h val="0.81699346405228768"/>
        </c:manualLayout>
      </c:layout>
      <c:scatterChart>
        <c:scatterStyle val="lineMarker"/>
        <c:varyColors val="0"/>
        <c:ser>
          <c:idx val="0"/>
          <c:order val="0"/>
          <c:tx>
            <c:strRef>
              <c:f>Courbes!$B$137</c:f>
              <c:strCache>
                <c:ptCount val="1"/>
                <c:pt idx="0">
                  <c:v>Accélération longitudinale</c:v>
                </c:pt>
              </c:strCache>
            </c:strRef>
          </c:tx>
          <c:spPr>
            <a:ln w="25400">
              <a:solidFill>
                <a:srgbClr val="80000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1.1000000000000008</c:v>
                </c:pt>
                <c:pt idx="102">
                  <c:v>1.2000000000000008</c:v>
                </c:pt>
                <c:pt idx="103">
                  <c:v>1.3000000000000009</c:v>
                </c:pt>
                <c:pt idx="104">
                  <c:v>1.400000000000001</c:v>
                </c:pt>
                <c:pt idx="105">
                  <c:v>1.5000000000000011</c:v>
                </c:pt>
                <c:pt idx="106">
                  <c:v>1.6000000000000012</c:v>
                </c:pt>
                <c:pt idx="107">
                  <c:v>1.7000000000000013</c:v>
                </c:pt>
                <c:pt idx="108">
                  <c:v>1.8000000000000014</c:v>
                </c:pt>
                <c:pt idx="109">
                  <c:v>1.9000000000000015</c:v>
                </c:pt>
                <c:pt idx="110">
                  <c:v>2.0000000000000013</c:v>
                </c:pt>
                <c:pt idx="111">
                  <c:v>2.1000000000000014</c:v>
                </c:pt>
                <c:pt idx="112">
                  <c:v>2.2000000000000015</c:v>
                </c:pt>
                <c:pt idx="113">
                  <c:v>2.3000000000000016</c:v>
                </c:pt>
                <c:pt idx="114">
                  <c:v>2.4000000000000017</c:v>
                </c:pt>
                <c:pt idx="115">
                  <c:v>2.5000000000000018</c:v>
                </c:pt>
                <c:pt idx="116">
                  <c:v>2.6000000000000019</c:v>
                </c:pt>
                <c:pt idx="117">
                  <c:v>2.700000000000002</c:v>
                </c:pt>
                <c:pt idx="118">
                  <c:v>2.800000000000002</c:v>
                </c:pt>
                <c:pt idx="119">
                  <c:v>2.9000000000000021</c:v>
                </c:pt>
                <c:pt idx="120">
                  <c:v>3.0000000000000022</c:v>
                </c:pt>
                <c:pt idx="121">
                  <c:v>3.1000000000000023</c:v>
                </c:pt>
                <c:pt idx="122">
                  <c:v>3.2000000000000024</c:v>
                </c:pt>
                <c:pt idx="123">
                  <c:v>3.3000000000000025</c:v>
                </c:pt>
                <c:pt idx="124">
                  <c:v>3.4000000000000026</c:v>
                </c:pt>
                <c:pt idx="125">
                  <c:v>3.5000000000000027</c:v>
                </c:pt>
                <c:pt idx="126">
                  <c:v>3.6000000000000028</c:v>
                </c:pt>
                <c:pt idx="127">
                  <c:v>3.7000000000000028</c:v>
                </c:pt>
                <c:pt idx="128">
                  <c:v>3.8000000000000029</c:v>
                </c:pt>
                <c:pt idx="129">
                  <c:v>3.900000000000003</c:v>
                </c:pt>
                <c:pt idx="130">
                  <c:v>4.0000000000000027</c:v>
                </c:pt>
                <c:pt idx="131">
                  <c:v>4.1000000000000023</c:v>
                </c:pt>
                <c:pt idx="132">
                  <c:v>4.200000000000002</c:v>
                </c:pt>
                <c:pt idx="133">
                  <c:v>4.3000000000000016</c:v>
                </c:pt>
                <c:pt idx="134">
                  <c:v>4.4000000000000012</c:v>
                </c:pt>
                <c:pt idx="135">
                  <c:v>4.5000000000000009</c:v>
                </c:pt>
                <c:pt idx="136">
                  <c:v>4.6000000000000005</c:v>
                </c:pt>
                <c:pt idx="137">
                  <c:v>4.7</c:v>
                </c:pt>
                <c:pt idx="138">
                  <c:v>4.8</c:v>
                </c:pt>
                <c:pt idx="139">
                  <c:v>4.8999999999999995</c:v>
                </c:pt>
                <c:pt idx="140">
                  <c:v>4.9999999999999991</c:v>
                </c:pt>
                <c:pt idx="141">
                  <c:v>5.0999999999999988</c:v>
                </c:pt>
                <c:pt idx="142">
                  <c:v>5.1999999999999984</c:v>
                </c:pt>
                <c:pt idx="143">
                  <c:v>5.299999999999998</c:v>
                </c:pt>
                <c:pt idx="144">
                  <c:v>5.3999999999999977</c:v>
                </c:pt>
                <c:pt idx="145">
                  <c:v>5.4999999999999973</c:v>
                </c:pt>
                <c:pt idx="146">
                  <c:v>5.599999999999997</c:v>
                </c:pt>
                <c:pt idx="147">
                  <c:v>5.6999999999999966</c:v>
                </c:pt>
                <c:pt idx="148">
                  <c:v>5.7999999999999963</c:v>
                </c:pt>
                <c:pt idx="149">
                  <c:v>5.8999999999999959</c:v>
                </c:pt>
                <c:pt idx="150">
                  <c:v>5.9999999999999956</c:v>
                </c:pt>
                <c:pt idx="151">
                  <c:v>6.0999999999999952</c:v>
                </c:pt>
                <c:pt idx="152">
                  <c:v>6.1999999999999948</c:v>
                </c:pt>
                <c:pt idx="153">
                  <c:v>6.2999999999999945</c:v>
                </c:pt>
                <c:pt idx="154">
                  <c:v>6.3999999999999941</c:v>
                </c:pt>
                <c:pt idx="155">
                  <c:v>6.4999999999999938</c:v>
                </c:pt>
                <c:pt idx="156">
                  <c:v>6.5999999999999934</c:v>
                </c:pt>
                <c:pt idx="157">
                  <c:v>6.6999999999999931</c:v>
                </c:pt>
                <c:pt idx="158">
                  <c:v>6.7999999999999927</c:v>
                </c:pt>
                <c:pt idx="159">
                  <c:v>6.8999999999999924</c:v>
                </c:pt>
                <c:pt idx="160">
                  <c:v>6.999999999999992</c:v>
                </c:pt>
                <c:pt idx="161">
                  <c:v>7.0999999999999917</c:v>
                </c:pt>
                <c:pt idx="162">
                  <c:v>7.1999999999999913</c:v>
                </c:pt>
                <c:pt idx="163">
                  <c:v>7.2999999999999909</c:v>
                </c:pt>
                <c:pt idx="164">
                  <c:v>7.3999999999999906</c:v>
                </c:pt>
                <c:pt idx="165">
                  <c:v>7.4999999999999902</c:v>
                </c:pt>
                <c:pt idx="166">
                  <c:v>7.5999999999999899</c:v>
                </c:pt>
                <c:pt idx="167">
                  <c:v>7.6999999999999895</c:v>
                </c:pt>
                <c:pt idx="168">
                  <c:v>7.7999999999999892</c:v>
                </c:pt>
                <c:pt idx="169">
                  <c:v>7.8999999999999888</c:v>
                </c:pt>
                <c:pt idx="170">
                  <c:v>7.9999999999999885</c:v>
                </c:pt>
                <c:pt idx="171">
                  <c:v>8.099999999999989</c:v>
                </c:pt>
                <c:pt idx="172">
                  <c:v>8.1999999999999886</c:v>
                </c:pt>
                <c:pt idx="173">
                  <c:v>8.2999999999999883</c:v>
                </c:pt>
                <c:pt idx="174">
                  <c:v>8.3999999999999879</c:v>
                </c:pt>
                <c:pt idx="175">
                  <c:v>8.4999999999999876</c:v>
                </c:pt>
                <c:pt idx="176">
                  <c:v>8.5999999999999872</c:v>
                </c:pt>
                <c:pt idx="177">
                  <c:v>8.6999999999999869</c:v>
                </c:pt>
                <c:pt idx="178">
                  <c:v>8.7999999999999865</c:v>
                </c:pt>
                <c:pt idx="179">
                  <c:v>8.8999999999999861</c:v>
                </c:pt>
                <c:pt idx="180">
                  <c:v>8.9999999999999858</c:v>
                </c:pt>
                <c:pt idx="181">
                  <c:v>9.0999999999999854</c:v>
                </c:pt>
                <c:pt idx="182">
                  <c:v>9.1999999999999851</c:v>
                </c:pt>
                <c:pt idx="183">
                  <c:v>9.2999999999999847</c:v>
                </c:pt>
                <c:pt idx="184">
                  <c:v>9.3999999999999844</c:v>
                </c:pt>
                <c:pt idx="185">
                  <c:v>9.499999999999984</c:v>
                </c:pt>
                <c:pt idx="186">
                  <c:v>9.5999999999999837</c:v>
                </c:pt>
                <c:pt idx="187">
                  <c:v>9.6999999999999833</c:v>
                </c:pt>
                <c:pt idx="188">
                  <c:v>9.7999999999999829</c:v>
                </c:pt>
                <c:pt idx="189">
                  <c:v>9.8999999999999826</c:v>
                </c:pt>
                <c:pt idx="190">
                  <c:v>9.9999999999999822</c:v>
                </c:pt>
                <c:pt idx="191">
                  <c:v>10.099999999999982</c:v>
                </c:pt>
                <c:pt idx="192">
                  <c:v>10.199999999999982</c:v>
                </c:pt>
                <c:pt idx="193">
                  <c:v>10.299999999999981</c:v>
                </c:pt>
                <c:pt idx="194">
                  <c:v>10.399999999999981</c:v>
                </c:pt>
                <c:pt idx="195">
                  <c:v>10.49999999999998</c:v>
                </c:pt>
                <c:pt idx="196">
                  <c:v>10.59999999999998</c:v>
                </c:pt>
                <c:pt idx="197">
                  <c:v>10.69999999999998</c:v>
                </c:pt>
                <c:pt idx="198">
                  <c:v>10.799999999999979</c:v>
                </c:pt>
                <c:pt idx="199">
                  <c:v>10.899999999999979</c:v>
                </c:pt>
                <c:pt idx="200">
                  <c:v>10.999999999999979</c:v>
                </c:pt>
                <c:pt idx="201">
                  <c:v>11.099999999999978</c:v>
                </c:pt>
                <c:pt idx="202">
                  <c:v>11.199999999999978</c:v>
                </c:pt>
                <c:pt idx="203">
                  <c:v>11.299999999999978</c:v>
                </c:pt>
                <c:pt idx="204">
                  <c:v>11.399999999999977</c:v>
                </c:pt>
                <c:pt idx="205">
                  <c:v>11.499999999999977</c:v>
                </c:pt>
                <c:pt idx="206">
                  <c:v>11.599999999999977</c:v>
                </c:pt>
                <c:pt idx="207">
                  <c:v>11.699999999999976</c:v>
                </c:pt>
                <c:pt idx="208">
                  <c:v>11.799999999999976</c:v>
                </c:pt>
                <c:pt idx="209">
                  <c:v>11.899999999999975</c:v>
                </c:pt>
                <c:pt idx="210">
                  <c:v>11.999999999999975</c:v>
                </c:pt>
                <c:pt idx="211">
                  <c:v>12.099999999999975</c:v>
                </c:pt>
                <c:pt idx="212">
                  <c:v>12.199999999999974</c:v>
                </c:pt>
                <c:pt idx="213">
                  <c:v>12.299999999999974</c:v>
                </c:pt>
                <c:pt idx="214">
                  <c:v>12.399999999999974</c:v>
                </c:pt>
                <c:pt idx="215">
                  <c:v>12.499999999999973</c:v>
                </c:pt>
                <c:pt idx="216">
                  <c:v>12.599999999999973</c:v>
                </c:pt>
                <c:pt idx="217">
                  <c:v>12.699999999999973</c:v>
                </c:pt>
                <c:pt idx="218">
                  <c:v>12.799999999999972</c:v>
                </c:pt>
                <c:pt idx="219">
                  <c:v>12.899999999999972</c:v>
                </c:pt>
                <c:pt idx="220">
                  <c:v>12.999999999999972</c:v>
                </c:pt>
                <c:pt idx="221">
                  <c:v>13.099999999999971</c:v>
                </c:pt>
                <c:pt idx="222">
                  <c:v>13.199999999999971</c:v>
                </c:pt>
                <c:pt idx="223">
                  <c:v>13.299999999999971</c:v>
                </c:pt>
                <c:pt idx="224">
                  <c:v>13.39999999999997</c:v>
                </c:pt>
                <c:pt idx="225">
                  <c:v>13.49999999999997</c:v>
                </c:pt>
                <c:pt idx="226">
                  <c:v>13.599999999999969</c:v>
                </c:pt>
                <c:pt idx="227">
                  <c:v>13.699999999999969</c:v>
                </c:pt>
                <c:pt idx="228">
                  <c:v>13.799999999999969</c:v>
                </c:pt>
                <c:pt idx="229">
                  <c:v>13.899999999999968</c:v>
                </c:pt>
                <c:pt idx="230">
                  <c:v>13.999999999999968</c:v>
                </c:pt>
                <c:pt idx="231">
                  <c:v>14.099999999999968</c:v>
                </c:pt>
                <c:pt idx="232">
                  <c:v>14.199999999999967</c:v>
                </c:pt>
                <c:pt idx="233">
                  <c:v>14.299999999999967</c:v>
                </c:pt>
                <c:pt idx="234">
                  <c:v>14.399999999999967</c:v>
                </c:pt>
                <c:pt idx="235">
                  <c:v>14.499999999999966</c:v>
                </c:pt>
                <c:pt idx="236">
                  <c:v>14.599999999999966</c:v>
                </c:pt>
                <c:pt idx="237">
                  <c:v>14.699999999999966</c:v>
                </c:pt>
                <c:pt idx="238">
                  <c:v>14.799999999999965</c:v>
                </c:pt>
                <c:pt idx="239">
                  <c:v>14.899999999999965</c:v>
                </c:pt>
                <c:pt idx="240">
                  <c:v>14.999999999999964</c:v>
                </c:pt>
                <c:pt idx="241">
                  <c:v>15.099999999999964</c:v>
                </c:pt>
                <c:pt idx="242">
                  <c:v>15.199999999999964</c:v>
                </c:pt>
                <c:pt idx="243">
                  <c:v>15.299999999999963</c:v>
                </c:pt>
                <c:pt idx="244">
                  <c:v>15.399999999999963</c:v>
                </c:pt>
                <c:pt idx="245">
                  <c:v>15.499999999999963</c:v>
                </c:pt>
                <c:pt idx="246">
                  <c:v>15.599999999999962</c:v>
                </c:pt>
                <c:pt idx="247">
                  <c:v>15.699999999999962</c:v>
                </c:pt>
                <c:pt idx="248">
                  <c:v>15.799999999999962</c:v>
                </c:pt>
                <c:pt idx="249">
                  <c:v>15.899999999999961</c:v>
                </c:pt>
                <c:pt idx="250">
                  <c:v>15.999999999999961</c:v>
                </c:pt>
                <c:pt idx="251">
                  <c:v>16.099999999999962</c:v>
                </c:pt>
                <c:pt idx="252">
                  <c:v>16.199999999999964</c:v>
                </c:pt>
                <c:pt idx="253">
                  <c:v>16.299999999999965</c:v>
                </c:pt>
                <c:pt idx="254">
                  <c:v>16.399999999999967</c:v>
                </c:pt>
                <c:pt idx="255">
                  <c:v>16.499999999999968</c:v>
                </c:pt>
                <c:pt idx="256">
                  <c:v>16.599999999999969</c:v>
                </c:pt>
                <c:pt idx="257">
                  <c:v>16.699999999999971</c:v>
                </c:pt>
                <c:pt idx="258">
                  <c:v>16.799999999999972</c:v>
                </c:pt>
                <c:pt idx="259">
                  <c:v>16.899999999999974</c:v>
                </c:pt>
                <c:pt idx="260">
                  <c:v>16.999999999999975</c:v>
                </c:pt>
                <c:pt idx="261">
                  <c:v>17.099999999999977</c:v>
                </c:pt>
                <c:pt idx="262">
                  <c:v>17.199999999999978</c:v>
                </c:pt>
                <c:pt idx="263">
                  <c:v>17.299999999999979</c:v>
                </c:pt>
                <c:pt idx="264">
                  <c:v>17.399999999999981</c:v>
                </c:pt>
                <c:pt idx="265">
                  <c:v>17.499999999999982</c:v>
                </c:pt>
                <c:pt idx="266">
                  <c:v>17.599999999999984</c:v>
                </c:pt>
                <c:pt idx="267">
                  <c:v>17.699999999999985</c:v>
                </c:pt>
                <c:pt idx="268">
                  <c:v>17.799999999999986</c:v>
                </c:pt>
                <c:pt idx="269">
                  <c:v>17.899999999999988</c:v>
                </c:pt>
                <c:pt idx="270">
                  <c:v>17.999999999999989</c:v>
                </c:pt>
                <c:pt idx="271">
                  <c:v>18.099999999999991</c:v>
                </c:pt>
                <c:pt idx="272">
                  <c:v>18.199999999999992</c:v>
                </c:pt>
                <c:pt idx="273">
                  <c:v>18.299999999999994</c:v>
                </c:pt>
                <c:pt idx="274">
                  <c:v>18.399999999999995</c:v>
                </c:pt>
                <c:pt idx="275">
                  <c:v>18.499999999999996</c:v>
                </c:pt>
                <c:pt idx="276">
                  <c:v>18.599999999999998</c:v>
                </c:pt>
                <c:pt idx="277">
                  <c:v>18.7</c:v>
                </c:pt>
                <c:pt idx="278">
                  <c:v>18.8</c:v>
                </c:pt>
                <c:pt idx="279">
                  <c:v>18.900000000000002</c:v>
                </c:pt>
                <c:pt idx="280">
                  <c:v>19.000000000000004</c:v>
                </c:pt>
                <c:pt idx="281">
                  <c:v>19.100000000000005</c:v>
                </c:pt>
                <c:pt idx="282">
                  <c:v>19.200000000000006</c:v>
                </c:pt>
                <c:pt idx="283">
                  <c:v>19.300000000000008</c:v>
                </c:pt>
                <c:pt idx="284">
                  <c:v>19.400000000000009</c:v>
                </c:pt>
                <c:pt idx="285">
                  <c:v>19.500000000000011</c:v>
                </c:pt>
                <c:pt idx="286">
                  <c:v>19.600000000000012</c:v>
                </c:pt>
                <c:pt idx="287">
                  <c:v>19.700000000000014</c:v>
                </c:pt>
                <c:pt idx="288">
                  <c:v>19.800000000000015</c:v>
                </c:pt>
                <c:pt idx="289">
                  <c:v>19.900000000000016</c:v>
                </c:pt>
                <c:pt idx="290">
                  <c:v>20.000000000000018</c:v>
                </c:pt>
                <c:pt idx="291">
                  <c:v>20.100000000000019</c:v>
                </c:pt>
                <c:pt idx="292">
                  <c:v>20.200000000000021</c:v>
                </c:pt>
                <c:pt idx="293">
                  <c:v>20.300000000000022</c:v>
                </c:pt>
                <c:pt idx="294">
                  <c:v>20.400000000000023</c:v>
                </c:pt>
                <c:pt idx="295">
                  <c:v>20.500000000000025</c:v>
                </c:pt>
                <c:pt idx="296">
                  <c:v>20.600000000000026</c:v>
                </c:pt>
                <c:pt idx="297">
                  <c:v>20.700000000000028</c:v>
                </c:pt>
                <c:pt idx="298">
                  <c:v>20.800000000000029</c:v>
                </c:pt>
                <c:pt idx="299">
                  <c:v>20.900000000000031</c:v>
                </c:pt>
                <c:pt idx="300">
                  <c:v>21.000000000000032</c:v>
                </c:pt>
                <c:pt idx="301">
                  <c:v>21.100000000000033</c:v>
                </c:pt>
                <c:pt idx="302">
                  <c:v>21.200000000000035</c:v>
                </c:pt>
                <c:pt idx="303">
                  <c:v>21.300000000000036</c:v>
                </c:pt>
                <c:pt idx="304">
                  <c:v>21.400000000000038</c:v>
                </c:pt>
                <c:pt idx="305">
                  <c:v>21.500000000000039</c:v>
                </c:pt>
                <c:pt idx="306">
                  <c:v>21.600000000000041</c:v>
                </c:pt>
                <c:pt idx="307">
                  <c:v>21.700000000000042</c:v>
                </c:pt>
                <c:pt idx="308">
                  <c:v>21.800000000000043</c:v>
                </c:pt>
                <c:pt idx="309">
                  <c:v>21.900000000000045</c:v>
                </c:pt>
                <c:pt idx="310">
                  <c:v>22.000000000000046</c:v>
                </c:pt>
                <c:pt idx="311">
                  <c:v>22.100000000000048</c:v>
                </c:pt>
                <c:pt idx="312">
                  <c:v>22.200000000000049</c:v>
                </c:pt>
                <c:pt idx="313">
                  <c:v>22.30000000000005</c:v>
                </c:pt>
                <c:pt idx="314">
                  <c:v>22.400000000000052</c:v>
                </c:pt>
                <c:pt idx="315">
                  <c:v>22.500000000000053</c:v>
                </c:pt>
                <c:pt idx="316">
                  <c:v>22.600000000000055</c:v>
                </c:pt>
                <c:pt idx="317">
                  <c:v>22.700000000000056</c:v>
                </c:pt>
                <c:pt idx="318">
                  <c:v>22.800000000000058</c:v>
                </c:pt>
                <c:pt idx="319">
                  <c:v>22.900000000000059</c:v>
                </c:pt>
                <c:pt idx="320">
                  <c:v>23.00000000000006</c:v>
                </c:pt>
                <c:pt idx="321">
                  <c:v>23.100000000000062</c:v>
                </c:pt>
                <c:pt idx="322">
                  <c:v>23.200000000000063</c:v>
                </c:pt>
                <c:pt idx="323">
                  <c:v>23.300000000000065</c:v>
                </c:pt>
                <c:pt idx="324">
                  <c:v>23.400000000000066</c:v>
                </c:pt>
                <c:pt idx="325">
                  <c:v>23.500000000000068</c:v>
                </c:pt>
                <c:pt idx="326">
                  <c:v>23.600000000000069</c:v>
                </c:pt>
                <c:pt idx="327">
                  <c:v>23.70000000000007</c:v>
                </c:pt>
                <c:pt idx="328">
                  <c:v>23.800000000000072</c:v>
                </c:pt>
                <c:pt idx="329">
                  <c:v>23.900000000000073</c:v>
                </c:pt>
                <c:pt idx="330">
                  <c:v>24.000000000000075</c:v>
                </c:pt>
                <c:pt idx="331">
                  <c:v>24.100000000000076</c:v>
                </c:pt>
                <c:pt idx="332">
                  <c:v>24.200000000000077</c:v>
                </c:pt>
                <c:pt idx="333">
                  <c:v>24.300000000000079</c:v>
                </c:pt>
                <c:pt idx="334">
                  <c:v>24.40000000000008</c:v>
                </c:pt>
                <c:pt idx="335">
                  <c:v>24.500000000000082</c:v>
                </c:pt>
                <c:pt idx="336">
                  <c:v>24.600000000000083</c:v>
                </c:pt>
                <c:pt idx="337">
                  <c:v>24.700000000000085</c:v>
                </c:pt>
                <c:pt idx="338">
                  <c:v>24.800000000000086</c:v>
                </c:pt>
                <c:pt idx="339">
                  <c:v>24.900000000000087</c:v>
                </c:pt>
                <c:pt idx="340">
                  <c:v>25.000000000000089</c:v>
                </c:pt>
                <c:pt idx="341">
                  <c:v>25.10000000000009</c:v>
                </c:pt>
                <c:pt idx="342">
                  <c:v>25.200000000000092</c:v>
                </c:pt>
                <c:pt idx="343">
                  <c:v>25.300000000000093</c:v>
                </c:pt>
                <c:pt idx="344">
                  <c:v>25.400000000000095</c:v>
                </c:pt>
                <c:pt idx="345">
                  <c:v>25.500000000000096</c:v>
                </c:pt>
                <c:pt idx="346">
                  <c:v>25.600000000000097</c:v>
                </c:pt>
                <c:pt idx="347">
                  <c:v>25.700000000000099</c:v>
                </c:pt>
                <c:pt idx="348">
                  <c:v>25.8000000000001</c:v>
                </c:pt>
                <c:pt idx="349">
                  <c:v>25.900000000000102</c:v>
                </c:pt>
                <c:pt idx="350">
                  <c:v>26.000000000000103</c:v>
                </c:pt>
                <c:pt idx="351">
                  <c:v>26.100000000000104</c:v>
                </c:pt>
                <c:pt idx="352">
                  <c:v>26.200000000000106</c:v>
                </c:pt>
                <c:pt idx="353">
                  <c:v>26.300000000000107</c:v>
                </c:pt>
                <c:pt idx="354">
                  <c:v>26.400000000000109</c:v>
                </c:pt>
                <c:pt idx="355">
                  <c:v>26.50000000000011</c:v>
                </c:pt>
                <c:pt idx="356">
                  <c:v>26.600000000000112</c:v>
                </c:pt>
                <c:pt idx="357">
                  <c:v>26.700000000000113</c:v>
                </c:pt>
                <c:pt idx="358">
                  <c:v>26.800000000000114</c:v>
                </c:pt>
                <c:pt idx="359">
                  <c:v>26.900000000000116</c:v>
                </c:pt>
                <c:pt idx="360">
                  <c:v>27.000000000000117</c:v>
                </c:pt>
                <c:pt idx="361">
                  <c:v>27.100000000000119</c:v>
                </c:pt>
                <c:pt idx="362">
                  <c:v>27.20000000000012</c:v>
                </c:pt>
                <c:pt idx="363">
                  <c:v>27.300000000000122</c:v>
                </c:pt>
                <c:pt idx="364">
                  <c:v>27.400000000000123</c:v>
                </c:pt>
                <c:pt idx="365">
                  <c:v>27.500000000000124</c:v>
                </c:pt>
                <c:pt idx="366">
                  <c:v>27.600000000000126</c:v>
                </c:pt>
                <c:pt idx="367">
                  <c:v>27.700000000000127</c:v>
                </c:pt>
                <c:pt idx="368">
                  <c:v>27.800000000000129</c:v>
                </c:pt>
                <c:pt idx="369">
                  <c:v>27.90000000000013</c:v>
                </c:pt>
                <c:pt idx="370">
                  <c:v>28.000000000000131</c:v>
                </c:pt>
                <c:pt idx="371">
                  <c:v>28.100000000000133</c:v>
                </c:pt>
                <c:pt idx="372">
                  <c:v>28.200000000000134</c:v>
                </c:pt>
                <c:pt idx="373">
                  <c:v>28.300000000000136</c:v>
                </c:pt>
                <c:pt idx="374">
                  <c:v>28.400000000000137</c:v>
                </c:pt>
                <c:pt idx="375">
                  <c:v>28.500000000000139</c:v>
                </c:pt>
                <c:pt idx="376">
                  <c:v>28.60000000000014</c:v>
                </c:pt>
                <c:pt idx="377">
                  <c:v>28.700000000000141</c:v>
                </c:pt>
                <c:pt idx="378">
                  <c:v>28.800000000000143</c:v>
                </c:pt>
                <c:pt idx="379">
                  <c:v>28.900000000000144</c:v>
                </c:pt>
                <c:pt idx="380">
                  <c:v>29.000000000000146</c:v>
                </c:pt>
                <c:pt idx="381">
                  <c:v>29.100000000000147</c:v>
                </c:pt>
                <c:pt idx="382">
                  <c:v>29.200000000000149</c:v>
                </c:pt>
                <c:pt idx="383">
                  <c:v>29.200100000000148</c:v>
                </c:pt>
                <c:pt idx="384">
                  <c:v>29.200200000000148</c:v>
                </c:pt>
                <c:pt idx="385">
                  <c:v>29.200300000000148</c:v>
                </c:pt>
                <c:pt idx="386">
                  <c:v>29.200400000000148</c:v>
                </c:pt>
                <c:pt idx="387">
                  <c:v>29.200500000000147</c:v>
                </c:pt>
                <c:pt idx="388">
                  <c:v>29.200600000000147</c:v>
                </c:pt>
                <c:pt idx="389">
                  <c:v>29.200700000000147</c:v>
                </c:pt>
                <c:pt idx="390">
                  <c:v>29.200800000000147</c:v>
                </c:pt>
                <c:pt idx="391">
                  <c:v>29.200900000000146</c:v>
                </c:pt>
                <c:pt idx="392">
                  <c:v>29.201000000000146</c:v>
                </c:pt>
                <c:pt idx="393">
                  <c:v>29.201100000000146</c:v>
                </c:pt>
                <c:pt idx="394">
                  <c:v>29.201200000000146</c:v>
                </c:pt>
                <c:pt idx="395">
                  <c:v>29.201300000000145</c:v>
                </c:pt>
                <c:pt idx="396">
                  <c:v>29.201400000000145</c:v>
                </c:pt>
                <c:pt idx="397">
                  <c:v>29.201500000000145</c:v>
                </c:pt>
                <c:pt idx="398">
                  <c:v>29.201600000000145</c:v>
                </c:pt>
                <c:pt idx="399">
                  <c:v>29.201700000000145</c:v>
                </c:pt>
                <c:pt idx="400">
                  <c:v>29.201800000000144</c:v>
                </c:pt>
                <c:pt idx="401">
                  <c:v>29.201900000000144</c:v>
                </c:pt>
                <c:pt idx="402">
                  <c:v>29.202000000000144</c:v>
                </c:pt>
                <c:pt idx="403">
                  <c:v>29.202100000000144</c:v>
                </c:pt>
                <c:pt idx="404">
                  <c:v>29.202200000000143</c:v>
                </c:pt>
                <c:pt idx="405">
                  <c:v>29.202300000000143</c:v>
                </c:pt>
                <c:pt idx="406">
                  <c:v>29.202400000000143</c:v>
                </c:pt>
                <c:pt idx="407">
                  <c:v>29.202500000000143</c:v>
                </c:pt>
                <c:pt idx="408">
                  <c:v>29.202600000000142</c:v>
                </c:pt>
                <c:pt idx="409">
                  <c:v>29.202700000000142</c:v>
                </c:pt>
                <c:pt idx="410">
                  <c:v>29.202800000000142</c:v>
                </c:pt>
                <c:pt idx="411">
                  <c:v>29.202900000000142</c:v>
                </c:pt>
                <c:pt idx="412">
                  <c:v>29.203000000000142</c:v>
                </c:pt>
                <c:pt idx="413">
                  <c:v>29.203100000000141</c:v>
                </c:pt>
                <c:pt idx="414">
                  <c:v>29.203200000000141</c:v>
                </c:pt>
                <c:pt idx="415">
                  <c:v>29.203300000000141</c:v>
                </c:pt>
                <c:pt idx="416">
                  <c:v>29.203400000000141</c:v>
                </c:pt>
                <c:pt idx="417">
                  <c:v>29.20350000000014</c:v>
                </c:pt>
                <c:pt idx="418">
                  <c:v>29.20360000000014</c:v>
                </c:pt>
                <c:pt idx="419">
                  <c:v>29.20370000000014</c:v>
                </c:pt>
                <c:pt idx="420">
                  <c:v>29.20380000000014</c:v>
                </c:pt>
                <c:pt idx="421">
                  <c:v>29.203900000000139</c:v>
                </c:pt>
                <c:pt idx="422">
                  <c:v>29.204000000000139</c:v>
                </c:pt>
                <c:pt idx="423">
                  <c:v>29.204100000000139</c:v>
                </c:pt>
                <c:pt idx="424">
                  <c:v>29.204200000000139</c:v>
                </c:pt>
                <c:pt idx="425">
                  <c:v>29.204300000000138</c:v>
                </c:pt>
                <c:pt idx="426">
                  <c:v>29.204400000000138</c:v>
                </c:pt>
                <c:pt idx="427">
                  <c:v>29.204500000000138</c:v>
                </c:pt>
                <c:pt idx="428">
                  <c:v>29.204600000000138</c:v>
                </c:pt>
                <c:pt idx="429">
                  <c:v>29.204700000000138</c:v>
                </c:pt>
                <c:pt idx="430">
                  <c:v>29.204800000000137</c:v>
                </c:pt>
                <c:pt idx="431">
                  <c:v>29.204900000000137</c:v>
                </c:pt>
                <c:pt idx="432">
                  <c:v>29.205000000000137</c:v>
                </c:pt>
                <c:pt idx="433">
                  <c:v>29.205100000000137</c:v>
                </c:pt>
                <c:pt idx="434">
                  <c:v>29.205200000000136</c:v>
                </c:pt>
                <c:pt idx="435">
                  <c:v>29.205300000000136</c:v>
                </c:pt>
                <c:pt idx="436">
                  <c:v>29.205400000000136</c:v>
                </c:pt>
                <c:pt idx="437">
                  <c:v>29.205500000000136</c:v>
                </c:pt>
                <c:pt idx="438">
                  <c:v>29.205600000000135</c:v>
                </c:pt>
                <c:pt idx="439">
                  <c:v>29.205700000000135</c:v>
                </c:pt>
                <c:pt idx="440">
                  <c:v>29.205800000000135</c:v>
                </c:pt>
                <c:pt idx="441">
                  <c:v>29.205900000000135</c:v>
                </c:pt>
                <c:pt idx="442">
                  <c:v>29.206000000000135</c:v>
                </c:pt>
                <c:pt idx="443">
                  <c:v>29.206100000000134</c:v>
                </c:pt>
                <c:pt idx="444">
                  <c:v>29.206200000000134</c:v>
                </c:pt>
                <c:pt idx="445">
                  <c:v>29.206300000000134</c:v>
                </c:pt>
                <c:pt idx="446">
                  <c:v>29.206400000000134</c:v>
                </c:pt>
                <c:pt idx="447">
                  <c:v>29.206500000000133</c:v>
                </c:pt>
                <c:pt idx="448">
                  <c:v>29.206600000000133</c:v>
                </c:pt>
                <c:pt idx="449">
                  <c:v>29.206700000000133</c:v>
                </c:pt>
                <c:pt idx="450">
                  <c:v>29.206800000000133</c:v>
                </c:pt>
                <c:pt idx="451">
                  <c:v>29.206900000000132</c:v>
                </c:pt>
                <c:pt idx="452">
                  <c:v>29.207000000000132</c:v>
                </c:pt>
                <c:pt idx="453">
                  <c:v>29.207100000000132</c:v>
                </c:pt>
                <c:pt idx="454">
                  <c:v>29.207200000000132</c:v>
                </c:pt>
                <c:pt idx="455">
                  <c:v>29.207300000000131</c:v>
                </c:pt>
                <c:pt idx="456">
                  <c:v>29.207400000000131</c:v>
                </c:pt>
                <c:pt idx="457">
                  <c:v>29.207500000000131</c:v>
                </c:pt>
                <c:pt idx="458">
                  <c:v>29.207600000000131</c:v>
                </c:pt>
                <c:pt idx="459">
                  <c:v>29.207700000000131</c:v>
                </c:pt>
                <c:pt idx="460">
                  <c:v>29.20780000000013</c:v>
                </c:pt>
                <c:pt idx="461">
                  <c:v>29.20790000000013</c:v>
                </c:pt>
                <c:pt idx="462">
                  <c:v>29.20800000000013</c:v>
                </c:pt>
                <c:pt idx="463">
                  <c:v>29.20810000000013</c:v>
                </c:pt>
                <c:pt idx="464">
                  <c:v>29.208200000000129</c:v>
                </c:pt>
                <c:pt idx="465">
                  <c:v>29.208300000000129</c:v>
                </c:pt>
                <c:pt idx="466">
                  <c:v>29.208400000000129</c:v>
                </c:pt>
                <c:pt idx="467">
                  <c:v>29.208500000000129</c:v>
                </c:pt>
                <c:pt idx="468">
                  <c:v>29.208600000000128</c:v>
                </c:pt>
                <c:pt idx="469">
                  <c:v>29.208700000000128</c:v>
                </c:pt>
                <c:pt idx="470">
                  <c:v>29.208800000000128</c:v>
                </c:pt>
                <c:pt idx="471">
                  <c:v>29.208900000000128</c:v>
                </c:pt>
                <c:pt idx="472">
                  <c:v>29.209000000000128</c:v>
                </c:pt>
                <c:pt idx="473">
                  <c:v>29.209100000000127</c:v>
                </c:pt>
                <c:pt idx="474">
                  <c:v>29.209200000000127</c:v>
                </c:pt>
                <c:pt idx="475">
                  <c:v>29.209300000000127</c:v>
                </c:pt>
                <c:pt idx="476">
                  <c:v>29.209400000000127</c:v>
                </c:pt>
                <c:pt idx="477">
                  <c:v>29.209500000000126</c:v>
                </c:pt>
                <c:pt idx="478">
                  <c:v>29.209600000000126</c:v>
                </c:pt>
                <c:pt idx="479">
                  <c:v>29.209700000000126</c:v>
                </c:pt>
                <c:pt idx="480">
                  <c:v>29.209800000000126</c:v>
                </c:pt>
                <c:pt idx="481">
                  <c:v>29.209900000000125</c:v>
                </c:pt>
                <c:pt idx="482">
                  <c:v>29.210000000000125</c:v>
                </c:pt>
                <c:pt idx="483">
                  <c:v>29.210100000000125</c:v>
                </c:pt>
                <c:pt idx="484">
                  <c:v>29.210200000000125</c:v>
                </c:pt>
                <c:pt idx="485">
                  <c:v>29.210300000000124</c:v>
                </c:pt>
                <c:pt idx="486">
                  <c:v>29.210400000000124</c:v>
                </c:pt>
                <c:pt idx="487">
                  <c:v>29.210500000000124</c:v>
                </c:pt>
                <c:pt idx="488">
                  <c:v>29.210600000000124</c:v>
                </c:pt>
                <c:pt idx="489">
                  <c:v>29.210700000000124</c:v>
                </c:pt>
                <c:pt idx="490">
                  <c:v>29.210800000000123</c:v>
                </c:pt>
                <c:pt idx="491">
                  <c:v>29.210900000000123</c:v>
                </c:pt>
                <c:pt idx="492">
                  <c:v>29.211000000000123</c:v>
                </c:pt>
                <c:pt idx="493">
                  <c:v>29.211100000000123</c:v>
                </c:pt>
                <c:pt idx="494">
                  <c:v>29.211200000000122</c:v>
                </c:pt>
                <c:pt idx="495">
                  <c:v>29.211300000000122</c:v>
                </c:pt>
                <c:pt idx="496">
                  <c:v>29.211400000000122</c:v>
                </c:pt>
                <c:pt idx="497">
                  <c:v>29.211500000000122</c:v>
                </c:pt>
                <c:pt idx="498">
                  <c:v>29.211600000000121</c:v>
                </c:pt>
                <c:pt idx="499">
                  <c:v>29.211700000000121</c:v>
                </c:pt>
                <c:pt idx="500">
                  <c:v>29.211800000000121</c:v>
                </c:pt>
                <c:pt idx="501">
                  <c:v>29.211900000000121</c:v>
                </c:pt>
                <c:pt idx="502">
                  <c:v>29.212000000000121</c:v>
                </c:pt>
                <c:pt idx="503">
                  <c:v>29.21210000000012</c:v>
                </c:pt>
                <c:pt idx="504">
                  <c:v>29.21220000000012</c:v>
                </c:pt>
                <c:pt idx="505">
                  <c:v>29.21230000000012</c:v>
                </c:pt>
                <c:pt idx="506">
                  <c:v>29.21240000000012</c:v>
                </c:pt>
                <c:pt idx="507">
                  <c:v>29.212500000000119</c:v>
                </c:pt>
                <c:pt idx="508">
                  <c:v>29.212600000000119</c:v>
                </c:pt>
                <c:pt idx="509">
                  <c:v>29.212700000000119</c:v>
                </c:pt>
                <c:pt idx="510">
                  <c:v>29.212800000000119</c:v>
                </c:pt>
                <c:pt idx="511">
                  <c:v>29.212900000000118</c:v>
                </c:pt>
                <c:pt idx="512">
                  <c:v>29.213000000000118</c:v>
                </c:pt>
                <c:pt idx="513">
                  <c:v>29.213100000000118</c:v>
                </c:pt>
                <c:pt idx="514">
                  <c:v>29.213200000000118</c:v>
                </c:pt>
                <c:pt idx="515">
                  <c:v>29.213300000000118</c:v>
                </c:pt>
                <c:pt idx="516">
                  <c:v>29.213400000000117</c:v>
                </c:pt>
                <c:pt idx="517">
                  <c:v>29.213500000000117</c:v>
                </c:pt>
                <c:pt idx="518">
                  <c:v>29.213600000000117</c:v>
                </c:pt>
                <c:pt idx="519">
                  <c:v>29.213700000000117</c:v>
                </c:pt>
                <c:pt idx="520">
                  <c:v>29.213800000000116</c:v>
                </c:pt>
                <c:pt idx="521">
                  <c:v>29.213900000000116</c:v>
                </c:pt>
                <c:pt idx="522">
                  <c:v>29.214000000000116</c:v>
                </c:pt>
                <c:pt idx="523">
                  <c:v>29.214100000000116</c:v>
                </c:pt>
                <c:pt idx="524">
                  <c:v>29.214200000000115</c:v>
                </c:pt>
                <c:pt idx="525">
                  <c:v>29.214300000000115</c:v>
                </c:pt>
                <c:pt idx="526">
                  <c:v>29.214400000000115</c:v>
                </c:pt>
                <c:pt idx="527">
                  <c:v>29.214500000000115</c:v>
                </c:pt>
                <c:pt idx="528">
                  <c:v>29.214600000000114</c:v>
                </c:pt>
                <c:pt idx="529">
                  <c:v>29.214700000000114</c:v>
                </c:pt>
                <c:pt idx="530">
                  <c:v>29.214800000000114</c:v>
                </c:pt>
                <c:pt idx="531">
                  <c:v>29.214900000000114</c:v>
                </c:pt>
                <c:pt idx="532">
                  <c:v>29.215000000000114</c:v>
                </c:pt>
                <c:pt idx="533">
                  <c:v>29.215100000000113</c:v>
                </c:pt>
                <c:pt idx="534">
                  <c:v>29.215200000000113</c:v>
                </c:pt>
                <c:pt idx="535">
                  <c:v>29.215300000000113</c:v>
                </c:pt>
                <c:pt idx="536">
                  <c:v>29.215400000000113</c:v>
                </c:pt>
                <c:pt idx="537">
                  <c:v>29.215500000000112</c:v>
                </c:pt>
                <c:pt idx="538">
                  <c:v>29.215600000000112</c:v>
                </c:pt>
                <c:pt idx="539">
                  <c:v>29.215700000000112</c:v>
                </c:pt>
                <c:pt idx="540">
                  <c:v>29.215800000000112</c:v>
                </c:pt>
                <c:pt idx="541">
                  <c:v>29.215900000000111</c:v>
                </c:pt>
                <c:pt idx="542">
                  <c:v>29.216000000000111</c:v>
                </c:pt>
                <c:pt idx="543">
                  <c:v>29.216100000000111</c:v>
                </c:pt>
                <c:pt idx="544">
                  <c:v>29.216200000000111</c:v>
                </c:pt>
                <c:pt idx="545">
                  <c:v>29.216300000000111</c:v>
                </c:pt>
                <c:pt idx="546">
                  <c:v>29.21640000000011</c:v>
                </c:pt>
                <c:pt idx="547">
                  <c:v>29.21650000000011</c:v>
                </c:pt>
                <c:pt idx="548">
                  <c:v>29.21660000000011</c:v>
                </c:pt>
                <c:pt idx="549">
                  <c:v>29.21670000000011</c:v>
                </c:pt>
                <c:pt idx="550">
                  <c:v>29.216800000000109</c:v>
                </c:pt>
                <c:pt idx="551">
                  <c:v>29.216900000000109</c:v>
                </c:pt>
                <c:pt idx="552">
                  <c:v>29.217000000000109</c:v>
                </c:pt>
                <c:pt idx="553">
                  <c:v>29.217100000000109</c:v>
                </c:pt>
                <c:pt idx="554">
                  <c:v>29.217200000000108</c:v>
                </c:pt>
                <c:pt idx="555">
                  <c:v>29.217300000000108</c:v>
                </c:pt>
                <c:pt idx="556">
                  <c:v>29.217400000000108</c:v>
                </c:pt>
                <c:pt idx="557">
                  <c:v>29.217500000000108</c:v>
                </c:pt>
                <c:pt idx="558">
                  <c:v>29.217600000000107</c:v>
                </c:pt>
                <c:pt idx="559">
                  <c:v>29.217700000000107</c:v>
                </c:pt>
                <c:pt idx="560">
                  <c:v>29.217800000000107</c:v>
                </c:pt>
                <c:pt idx="561">
                  <c:v>29.217900000000107</c:v>
                </c:pt>
                <c:pt idx="562">
                  <c:v>29.218000000000107</c:v>
                </c:pt>
                <c:pt idx="563">
                  <c:v>29.218100000000106</c:v>
                </c:pt>
                <c:pt idx="564">
                  <c:v>29.218200000000106</c:v>
                </c:pt>
                <c:pt idx="565">
                  <c:v>29.218300000000106</c:v>
                </c:pt>
                <c:pt idx="566">
                  <c:v>29.218400000000106</c:v>
                </c:pt>
                <c:pt idx="567">
                  <c:v>29.218500000000105</c:v>
                </c:pt>
                <c:pt idx="568">
                  <c:v>29.218600000000105</c:v>
                </c:pt>
                <c:pt idx="569">
                  <c:v>29.218700000000105</c:v>
                </c:pt>
                <c:pt idx="570">
                  <c:v>29.218800000000105</c:v>
                </c:pt>
                <c:pt idx="571">
                  <c:v>29.218900000000104</c:v>
                </c:pt>
                <c:pt idx="572">
                  <c:v>29.219000000000104</c:v>
                </c:pt>
                <c:pt idx="573">
                  <c:v>29.219100000000104</c:v>
                </c:pt>
                <c:pt idx="574">
                  <c:v>29.219200000000104</c:v>
                </c:pt>
                <c:pt idx="575">
                  <c:v>29.219300000000104</c:v>
                </c:pt>
                <c:pt idx="576">
                  <c:v>29.219400000000103</c:v>
                </c:pt>
                <c:pt idx="577">
                  <c:v>29.219500000000103</c:v>
                </c:pt>
                <c:pt idx="578">
                  <c:v>29.219600000000103</c:v>
                </c:pt>
                <c:pt idx="579">
                  <c:v>29.219700000000103</c:v>
                </c:pt>
                <c:pt idx="580">
                  <c:v>29.219800000000102</c:v>
                </c:pt>
                <c:pt idx="581">
                  <c:v>29.219900000000102</c:v>
                </c:pt>
                <c:pt idx="582">
                  <c:v>29.220000000000102</c:v>
                </c:pt>
                <c:pt idx="583">
                  <c:v>29.220100000000102</c:v>
                </c:pt>
                <c:pt idx="584">
                  <c:v>29.220200000000101</c:v>
                </c:pt>
                <c:pt idx="585">
                  <c:v>29.220300000000101</c:v>
                </c:pt>
                <c:pt idx="586">
                  <c:v>29.220400000000101</c:v>
                </c:pt>
                <c:pt idx="587">
                  <c:v>29.220500000000101</c:v>
                </c:pt>
                <c:pt idx="588">
                  <c:v>29.2206000000001</c:v>
                </c:pt>
                <c:pt idx="589">
                  <c:v>29.2207000000001</c:v>
                </c:pt>
                <c:pt idx="590">
                  <c:v>29.2208000000001</c:v>
                </c:pt>
                <c:pt idx="591">
                  <c:v>29.2209000000001</c:v>
                </c:pt>
                <c:pt idx="592">
                  <c:v>29.2210000000001</c:v>
                </c:pt>
                <c:pt idx="593">
                  <c:v>29.221100000000099</c:v>
                </c:pt>
                <c:pt idx="594">
                  <c:v>29.221200000000099</c:v>
                </c:pt>
                <c:pt idx="595">
                  <c:v>29.221300000000099</c:v>
                </c:pt>
                <c:pt idx="596">
                  <c:v>29.221400000000099</c:v>
                </c:pt>
                <c:pt idx="597">
                  <c:v>29.221500000000098</c:v>
                </c:pt>
                <c:pt idx="598">
                  <c:v>29.221600000000098</c:v>
                </c:pt>
                <c:pt idx="599">
                  <c:v>29.221700000000098</c:v>
                </c:pt>
                <c:pt idx="600">
                  <c:v>29.221800000000098</c:v>
                </c:pt>
                <c:pt idx="601">
                  <c:v>29.221900000000097</c:v>
                </c:pt>
                <c:pt idx="602">
                  <c:v>29.222000000000097</c:v>
                </c:pt>
                <c:pt idx="603">
                  <c:v>29.222100000000097</c:v>
                </c:pt>
                <c:pt idx="604">
                  <c:v>29.222200000000097</c:v>
                </c:pt>
                <c:pt idx="605">
                  <c:v>29.222300000000097</c:v>
                </c:pt>
                <c:pt idx="606">
                  <c:v>29.222400000000096</c:v>
                </c:pt>
                <c:pt idx="607">
                  <c:v>29.222500000000096</c:v>
                </c:pt>
                <c:pt idx="608">
                  <c:v>29.222600000000096</c:v>
                </c:pt>
                <c:pt idx="609">
                  <c:v>29.222700000000096</c:v>
                </c:pt>
                <c:pt idx="610">
                  <c:v>29.222800000000095</c:v>
                </c:pt>
                <c:pt idx="611">
                  <c:v>29.222900000000095</c:v>
                </c:pt>
                <c:pt idx="612">
                  <c:v>29.223000000000095</c:v>
                </c:pt>
                <c:pt idx="613">
                  <c:v>29.223100000000095</c:v>
                </c:pt>
                <c:pt idx="614">
                  <c:v>29.223200000000094</c:v>
                </c:pt>
                <c:pt idx="615">
                  <c:v>29.223300000000094</c:v>
                </c:pt>
                <c:pt idx="616">
                  <c:v>29.223400000000094</c:v>
                </c:pt>
                <c:pt idx="617">
                  <c:v>29.223500000000094</c:v>
                </c:pt>
                <c:pt idx="618">
                  <c:v>29.223600000000094</c:v>
                </c:pt>
                <c:pt idx="619">
                  <c:v>29.223700000000093</c:v>
                </c:pt>
                <c:pt idx="620">
                  <c:v>29.223800000000093</c:v>
                </c:pt>
                <c:pt idx="621">
                  <c:v>29.223900000000093</c:v>
                </c:pt>
                <c:pt idx="622">
                  <c:v>29.224000000000093</c:v>
                </c:pt>
                <c:pt idx="623">
                  <c:v>29.224100000000092</c:v>
                </c:pt>
                <c:pt idx="624">
                  <c:v>29.224200000000092</c:v>
                </c:pt>
                <c:pt idx="625">
                  <c:v>29.224300000000092</c:v>
                </c:pt>
                <c:pt idx="626">
                  <c:v>29.224400000000092</c:v>
                </c:pt>
                <c:pt idx="627">
                  <c:v>29.224500000000091</c:v>
                </c:pt>
                <c:pt idx="628">
                  <c:v>29.224600000000091</c:v>
                </c:pt>
                <c:pt idx="629">
                  <c:v>29.224700000000091</c:v>
                </c:pt>
                <c:pt idx="630">
                  <c:v>29.224800000000091</c:v>
                </c:pt>
                <c:pt idx="631">
                  <c:v>29.22490000000009</c:v>
                </c:pt>
                <c:pt idx="632">
                  <c:v>29.22500000000009</c:v>
                </c:pt>
                <c:pt idx="633">
                  <c:v>29.22510000000009</c:v>
                </c:pt>
                <c:pt idx="634">
                  <c:v>29.22520000000009</c:v>
                </c:pt>
                <c:pt idx="635">
                  <c:v>29.22530000000009</c:v>
                </c:pt>
                <c:pt idx="636">
                  <c:v>29.225400000000089</c:v>
                </c:pt>
                <c:pt idx="637">
                  <c:v>29.225500000000089</c:v>
                </c:pt>
                <c:pt idx="638">
                  <c:v>29.225600000000089</c:v>
                </c:pt>
                <c:pt idx="639">
                  <c:v>29.225700000000089</c:v>
                </c:pt>
                <c:pt idx="640">
                  <c:v>29.225800000000088</c:v>
                </c:pt>
                <c:pt idx="641">
                  <c:v>29.225900000000088</c:v>
                </c:pt>
                <c:pt idx="642">
                  <c:v>29.226000000000088</c:v>
                </c:pt>
                <c:pt idx="643">
                  <c:v>29.226100000000088</c:v>
                </c:pt>
                <c:pt idx="644">
                  <c:v>29.226200000000087</c:v>
                </c:pt>
                <c:pt idx="645">
                  <c:v>29.226300000000087</c:v>
                </c:pt>
                <c:pt idx="646">
                  <c:v>29.226400000000087</c:v>
                </c:pt>
                <c:pt idx="647">
                  <c:v>29.226500000000087</c:v>
                </c:pt>
                <c:pt idx="648">
                  <c:v>29.226600000000087</c:v>
                </c:pt>
                <c:pt idx="649">
                  <c:v>29.226700000000086</c:v>
                </c:pt>
                <c:pt idx="650">
                  <c:v>29.226800000000086</c:v>
                </c:pt>
                <c:pt idx="651">
                  <c:v>29.226900000000086</c:v>
                </c:pt>
                <c:pt idx="652">
                  <c:v>29.227000000000086</c:v>
                </c:pt>
                <c:pt idx="653">
                  <c:v>29.227100000000085</c:v>
                </c:pt>
                <c:pt idx="654">
                  <c:v>29.227200000000085</c:v>
                </c:pt>
                <c:pt idx="655">
                  <c:v>29.227300000000085</c:v>
                </c:pt>
                <c:pt idx="656">
                  <c:v>29.227400000000085</c:v>
                </c:pt>
                <c:pt idx="657">
                  <c:v>29.227500000000084</c:v>
                </c:pt>
                <c:pt idx="658">
                  <c:v>29.227600000000084</c:v>
                </c:pt>
                <c:pt idx="659">
                  <c:v>29.227700000000084</c:v>
                </c:pt>
                <c:pt idx="660">
                  <c:v>29.227800000000084</c:v>
                </c:pt>
                <c:pt idx="661">
                  <c:v>29.227900000000083</c:v>
                </c:pt>
                <c:pt idx="662">
                  <c:v>29.228000000000083</c:v>
                </c:pt>
                <c:pt idx="663">
                  <c:v>29.228100000000083</c:v>
                </c:pt>
                <c:pt idx="664">
                  <c:v>29.228200000000083</c:v>
                </c:pt>
                <c:pt idx="665">
                  <c:v>29.228300000000083</c:v>
                </c:pt>
                <c:pt idx="666">
                  <c:v>29.228400000000082</c:v>
                </c:pt>
                <c:pt idx="667">
                  <c:v>29.228500000000082</c:v>
                </c:pt>
                <c:pt idx="668">
                  <c:v>29.228600000000082</c:v>
                </c:pt>
                <c:pt idx="669">
                  <c:v>29.228700000000082</c:v>
                </c:pt>
                <c:pt idx="670">
                  <c:v>29.228800000000081</c:v>
                </c:pt>
                <c:pt idx="671">
                  <c:v>29.228900000000081</c:v>
                </c:pt>
                <c:pt idx="672">
                  <c:v>29.229000000000081</c:v>
                </c:pt>
                <c:pt idx="673">
                  <c:v>29.229100000000081</c:v>
                </c:pt>
                <c:pt idx="674">
                  <c:v>29.22920000000008</c:v>
                </c:pt>
                <c:pt idx="675">
                  <c:v>29.22930000000008</c:v>
                </c:pt>
                <c:pt idx="676">
                  <c:v>29.22940000000008</c:v>
                </c:pt>
                <c:pt idx="677">
                  <c:v>29.22950000000008</c:v>
                </c:pt>
                <c:pt idx="678">
                  <c:v>29.22960000000008</c:v>
                </c:pt>
                <c:pt idx="679">
                  <c:v>29.229700000000079</c:v>
                </c:pt>
                <c:pt idx="680">
                  <c:v>29.229800000000079</c:v>
                </c:pt>
                <c:pt idx="681">
                  <c:v>29.229900000000079</c:v>
                </c:pt>
                <c:pt idx="682">
                  <c:v>29.230000000000079</c:v>
                </c:pt>
                <c:pt idx="683">
                  <c:v>29.230100000000078</c:v>
                </c:pt>
                <c:pt idx="684">
                  <c:v>29.230200000000078</c:v>
                </c:pt>
                <c:pt idx="685">
                  <c:v>29.230300000000078</c:v>
                </c:pt>
                <c:pt idx="686">
                  <c:v>29.230400000000078</c:v>
                </c:pt>
                <c:pt idx="687">
                  <c:v>29.230500000000077</c:v>
                </c:pt>
                <c:pt idx="688">
                  <c:v>29.230600000000077</c:v>
                </c:pt>
                <c:pt idx="689">
                  <c:v>29.230700000000077</c:v>
                </c:pt>
                <c:pt idx="690">
                  <c:v>29.230800000000077</c:v>
                </c:pt>
                <c:pt idx="691">
                  <c:v>29.230900000000076</c:v>
                </c:pt>
                <c:pt idx="692">
                  <c:v>29.231000000000076</c:v>
                </c:pt>
                <c:pt idx="693">
                  <c:v>29.231100000000076</c:v>
                </c:pt>
                <c:pt idx="694">
                  <c:v>29.231200000000076</c:v>
                </c:pt>
                <c:pt idx="695">
                  <c:v>29.231300000000076</c:v>
                </c:pt>
                <c:pt idx="696">
                  <c:v>29.231400000000075</c:v>
                </c:pt>
                <c:pt idx="697">
                  <c:v>29.231500000000075</c:v>
                </c:pt>
                <c:pt idx="698">
                  <c:v>29.231600000000075</c:v>
                </c:pt>
                <c:pt idx="699">
                  <c:v>29.231700000000075</c:v>
                </c:pt>
                <c:pt idx="700">
                  <c:v>29.231800000000074</c:v>
                </c:pt>
                <c:pt idx="701">
                  <c:v>29.231900000000074</c:v>
                </c:pt>
                <c:pt idx="702">
                  <c:v>29.232000000000074</c:v>
                </c:pt>
                <c:pt idx="703">
                  <c:v>29.232100000000074</c:v>
                </c:pt>
                <c:pt idx="704">
                  <c:v>29.232200000000073</c:v>
                </c:pt>
                <c:pt idx="705">
                  <c:v>29.232300000000073</c:v>
                </c:pt>
                <c:pt idx="706">
                  <c:v>29.232400000000073</c:v>
                </c:pt>
                <c:pt idx="707">
                  <c:v>29.232500000000073</c:v>
                </c:pt>
                <c:pt idx="708">
                  <c:v>29.232600000000073</c:v>
                </c:pt>
                <c:pt idx="709">
                  <c:v>29.232700000000072</c:v>
                </c:pt>
                <c:pt idx="710">
                  <c:v>29.232800000000072</c:v>
                </c:pt>
                <c:pt idx="711">
                  <c:v>29.232900000000072</c:v>
                </c:pt>
                <c:pt idx="712">
                  <c:v>29.233000000000072</c:v>
                </c:pt>
                <c:pt idx="713">
                  <c:v>29.233100000000071</c:v>
                </c:pt>
                <c:pt idx="714">
                  <c:v>29.233200000000071</c:v>
                </c:pt>
                <c:pt idx="715">
                  <c:v>29.233300000000071</c:v>
                </c:pt>
                <c:pt idx="716">
                  <c:v>29.233400000000071</c:v>
                </c:pt>
                <c:pt idx="717">
                  <c:v>29.23350000000007</c:v>
                </c:pt>
                <c:pt idx="718">
                  <c:v>29.23360000000007</c:v>
                </c:pt>
                <c:pt idx="719">
                  <c:v>29.23370000000007</c:v>
                </c:pt>
                <c:pt idx="720">
                  <c:v>29.23380000000007</c:v>
                </c:pt>
                <c:pt idx="721">
                  <c:v>29.233900000000069</c:v>
                </c:pt>
                <c:pt idx="722">
                  <c:v>29.234000000000069</c:v>
                </c:pt>
                <c:pt idx="723">
                  <c:v>29.234100000000069</c:v>
                </c:pt>
                <c:pt idx="724">
                  <c:v>29.234200000000069</c:v>
                </c:pt>
                <c:pt idx="725">
                  <c:v>29.234300000000069</c:v>
                </c:pt>
                <c:pt idx="726">
                  <c:v>29.234400000000068</c:v>
                </c:pt>
                <c:pt idx="727">
                  <c:v>29.234500000000068</c:v>
                </c:pt>
                <c:pt idx="728">
                  <c:v>29.234600000000068</c:v>
                </c:pt>
                <c:pt idx="729">
                  <c:v>29.234700000000068</c:v>
                </c:pt>
                <c:pt idx="730">
                  <c:v>29.234800000000067</c:v>
                </c:pt>
                <c:pt idx="731">
                  <c:v>29.234900000000067</c:v>
                </c:pt>
                <c:pt idx="732">
                  <c:v>29.235000000000067</c:v>
                </c:pt>
                <c:pt idx="733">
                  <c:v>29.235100000000067</c:v>
                </c:pt>
                <c:pt idx="734">
                  <c:v>29.235200000000066</c:v>
                </c:pt>
                <c:pt idx="735">
                  <c:v>29.235300000000066</c:v>
                </c:pt>
                <c:pt idx="736">
                  <c:v>29.235400000000066</c:v>
                </c:pt>
                <c:pt idx="737">
                  <c:v>29.235500000000066</c:v>
                </c:pt>
                <c:pt idx="738">
                  <c:v>29.235600000000066</c:v>
                </c:pt>
                <c:pt idx="739">
                  <c:v>29.235700000000065</c:v>
                </c:pt>
                <c:pt idx="740">
                  <c:v>29.235800000000065</c:v>
                </c:pt>
                <c:pt idx="741">
                  <c:v>29.235900000000065</c:v>
                </c:pt>
                <c:pt idx="742">
                  <c:v>29.236000000000065</c:v>
                </c:pt>
                <c:pt idx="743">
                  <c:v>29.236100000000064</c:v>
                </c:pt>
                <c:pt idx="744">
                  <c:v>29.236200000000064</c:v>
                </c:pt>
                <c:pt idx="745">
                  <c:v>29.236300000000064</c:v>
                </c:pt>
                <c:pt idx="746">
                  <c:v>29.236400000000064</c:v>
                </c:pt>
                <c:pt idx="747">
                  <c:v>29.236500000000063</c:v>
                </c:pt>
                <c:pt idx="748">
                  <c:v>29.236600000000063</c:v>
                </c:pt>
                <c:pt idx="749">
                  <c:v>29.236700000000063</c:v>
                </c:pt>
                <c:pt idx="750">
                  <c:v>29.236800000000063</c:v>
                </c:pt>
                <c:pt idx="751">
                  <c:v>29.236900000000063</c:v>
                </c:pt>
                <c:pt idx="752">
                  <c:v>29.237000000000062</c:v>
                </c:pt>
                <c:pt idx="753">
                  <c:v>29.237100000000062</c:v>
                </c:pt>
                <c:pt idx="754">
                  <c:v>29.237200000000062</c:v>
                </c:pt>
                <c:pt idx="755">
                  <c:v>29.237300000000062</c:v>
                </c:pt>
                <c:pt idx="756">
                  <c:v>29.237400000000061</c:v>
                </c:pt>
                <c:pt idx="757">
                  <c:v>29.237500000000061</c:v>
                </c:pt>
                <c:pt idx="758">
                  <c:v>29.237600000000061</c:v>
                </c:pt>
                <c:pt idx="759">
                  <c:v>29.237700000000061</c:v>
                </c:pt>
                <c:pt idx="760">
                  <c:v>29.23780000000006</c:v>
                </c:pt>
                <c:pt idx="761">
                  <c:v>29.23790000000006</c:v>
                </c:pt>
                <c:pt idx="762">
                  <c:v>29.23800000000006</c:v>
                </c:pt>
                <c:pt idx="763">
                  <c:v>29.23810000000006</c:v>
                </c:pt>
                <c:pt idx="764">
                  <c:v>29.238200000000059</c:v>
                </c:pt>
                <c:pt idx="765">
                  <c:v>29.238300000000059</c:v>
                </c:pt>
                <c:pt idx="766">
                  <c:v>29.238400000000059</c:v>
                </c:pt>
                <c:pt idx="767">
                  <c:v>29.238500000000059</c:v>
                </c:pt>
                <c:pt idx="768">
                  <c:v>29.238600000000059</c:v>
                </c:pt>
                <c:pt idx="769">
                  <c:v>29.238700000000058</c:v>
                </c:pt>
                <c:pt idx="770">
                  <c:v>29.238800000000058</c:v>
                </c:pt>
                <c:pt idx="771">
                  <c:v>29.238900000000058</c:v>
                </c:pt>
                <c:pt idx="772">
                  <c:v>29.239000000000058</c:v>
                </c:pt>
                <c:pt idx="773">
                  <c:v>29.239100000000057</c:v>
                </c:pt>
                <c:pt idx="774">
                  <c:v>29.239200000000057</c:v>
                </c:pt>
                <c:pt idx="775">
                  <c:v>29.239300000000057</c:v>
                </c:pt>
                <c:pt idx="776">
                  <c:v>29.239400000000057</c:v>
                </c:pt>
                <c:pt idx="777">
                  <c:v>29.239500000000056</c:v>
                </c:pt>
                <c:pt idx="778">
                  <c:v>29.239600000000056</c:v>
                </c:pt>
                <c:pt idx="779">
                  <c:v>29.239700000000056</c:v>
                </c:pt>
                <c:pt idx="780">
                  <c:v>29.239800000000056</c:v>
                </c:pt>
                <c:pt idx="781">
                  <c:v>29.239900000000056</c:v>
                </c:pt>
                <c:pt idx="782">
                  <c:v>29.240000000000055</c:v>
                </c:pt>
                <c:pt idx="783">
                  <c:v>29.240100000000055</c:v>
                </c:pt>
                <c:pt idx="784">
                  <c:v>29.240200000000055</c:v>
                </c:pt>
                <c:pt idx="785">
                  <c:v>29.240300000000055</c:v>
                </c:pt>
                <c:pt idx="786">
                  <c:v>29.240400000000054</c:v>
                </c:pt>
                <c:pt idx="787">
                  <c:v>29.240500000000054</c:v>
                </c:pt>
                <c:pt idx="788">
                  <c:v>29.240600000000054</c:v>
                </c:pt>
                <c:pt idx="789">
                  <c:v>29.240700000000054</c:v>
                </c:pt>
                <c:pt idx="790">
                  <c:v>29.240800000000053</c:v>
                </c:pt>
                <c:pt idx="791">
                  <c:v>29.240900000000053</c:v>
                </c:pt>
                <c:pt idx="792">
                  <c:v>29.241000000000053</c:v>
                </c:pt>
                <c:pt idx="793">
                  <c:v>29.241100000000053</c:v>
                </c:pt>
                <c:pt idx="794">
                  <c:v>29.241200000000052</c:v>
                </c:pt>
                <c:pt idx="795">
                  <c:v>29.241300000000052</c:v>
                </c:pt>
                <c:pt idx="796">
                  <c:v>29.241400000000052</c:v>
                </c:pt>
                <c:pt idx="797">
                  <c:v>29.241500000000052</c:v>
                </c:pt>
                <c:pt idx="798">
                  <c:v>29.241600000000052</c:v>
                </c:pt>
                <c:pt idx="799">
                  <c:v>29.241700000000051</c:v>
                </c:pt>
                <c:pt idx="800">
                  <c:v>29.241800000000051</c:v>
                </c:pt>
                <c:pt idx="801">
                  <c:v>29.241900000000051</c:v>
                </c:pt>
                <c:pt idx="802">
                  <c:v>29.242000000000051</c:v>
                </c:pt>
                <c:pt idx="803">
                  <c:v>29.24210000000005</c:v>
                </c:pt>
                <c:pt idx="804">
                  <c:v>29.24220000000005</c:v>
                </c:pt>
                <c:pt idx="805">
                  <c:v>29.24230000000005</c:v>
                </c:pt>
                <c:pt idx="806">
                  <c:v>29.24240000000005</c:v>
                </c:pt>
                <c:pt idx="807">
                  <c:v>29.242500000000049</c:v>
                </c:pt>
                <c:pt idx="808">
                  <c:v>29.242600000000049</c:v>
                </c:pt>
                <c:pt idx="809">
                  <c:v>29.242700000000049</c:v>
                </c:pt>
                <c:pt idx="810">
                  <c:v>29.242800000000049</c:v>
                </c:pt>
                <c:pt idx="811">
                  <c:v>29.242900000000049</c:v>
                </c:pt>
                <c:pt idx="812">
                  <c:v>29.243000000000048</c:v>
                </c:pt>
                <c:pt idx="813">
                  <c:v>29.243100000000048</c:v>
                </c:pt>
                <c:pt idx="814">
                  <c:v>29.243200000000048</c:v>
                </c:pt>
                <c:pt idx="815">
                  <c:v>29.243300000000048</c:v>
                </c:pt>
                <c:pt idx="816">
                  <c:v>29.243400000000047</c:v>
                </c:pt>
                <c:pt idx="817">
                  <c:v>29.243500000000047</c:v>
                </c:pt>
                <c:pt idx="818">
                  <c:v>29.243600000000047</c:v>
                </c:pt>
                <c:pt idx="819">
                  <c:v>29.243700000000047</c:v>
                </c:pt>
                <c:pt idx="820">
                  <c:v>29.243800000000046</c:v>
                </c:pt>
                <c:pt idx="821">
                  <c:v>29.243900000000046</c:v>
                </c:pt>
                <c:pt idx="822">
                  <c:v>29.244000000000046</c:v>
                </c:pt>
                <c:pt idx="823">
                  <c:v>29.244100000000046</c:v>
                </c:pt>
                <c:pt idx="824">
                  <c:v>29.244200000000045</c:v>
                </c:pt>
                <c:pt idx="825">
                  <c:v>29.244300000000045</c:v>
                </c:pt>
                <c:pt idx="826">
                  <c:v>29.244400000000045</c:v>
                </c:pt>
                <c:pt idx="827">
                  <c:v>29.244500000000045</c:v>
                </c:pt>
                <c:pt idx="828">
                  <c:v>29.244600000000045</c:v>
                </c:pt>
                <c:pt idx="829">
                  <c:v>29.244700000000044</c:v>
                </c:pt>
                <c:pt idx="830">
                  <c:v>29.244800000000044</c:v>
                </c:pt>
                <c:pt idx="831">
                  <c:v>29.244900000000044</c:v>
                </c:pt>
                <c:pt idx="832">
                  <c:v>29.245000000000044</c:v>
                </c:pt>
                <c:pt idx="833">
                  <c:v>29.245100000000043</c:v>
                </c:pt>
                <c:pt idx="834">
                  <c:v>29.245200000000043</c:v>
                </c:pt>
                <c:pt idx="835">
                  <c:v>29.245300000000043</c:v>
                </c:pt>
                <c:pt idx="836">
                  <c:v>29.245400000000043</c:v>
                </c:pt>
                <c:pt idx="837">
                  <c:v>29.245500000000042</c:v>
                </c:pt>
                <c:pt idx="838">
                  <c:v>29.245600000000042</c:v>
                </c:pt>
                <c:pt idx="839">
                  <c:v>29.245700000000042</c:v>
                </c:pt>
                <c:pt idx="840">
                  <c:v>29.245800000000042</c:v>
                </c:pt>
                <c:pt idx="841">
                  <c:v>29.245900000000042</c:v>
                </c:pt>
                <c:pt idx="842">
                  <c:v>29.246000000000041</c:v>
                </c:pt>
                <c:pt idx="843">
                  <c:v>29.246100000000041</c:v>
                </c:pt>
                <c:pt idx="844">
                  <c:v>29.246200000000041</c:v>
                </c:pt>
                <c:pt idx="845">
                  <c:v>29.246300000000041</c:v>
                </c:pt>
                <c:pt idx="846">
                  <c:v>29.24640000000004</c:v>
                </c:pt>
                <c:pt idx="847">
                  <c:v>29.24650000000004</c:v>
                </c:pt>
                <c:pt idx="848">
                  <c:v>29.24660000000004</c:v>
                </c:pt>
                <c:pt idx="849">
                  <c:v>29.24670000000004</c:v>
                </c:pt>
                <c:pt idx="850">
                  <c:v>29.246800000000039</c:v>
                </c:pt>
                <c:pt idx="851">
                  <c:v>29.246900000000039</c:v>
                </c:pt>
                <c:pt idx="852">
                  <c:v>29.247000000000039</c:v>
                </c:pt>
                <c:pt idx="853">
                  <c:v>29.247100000000039</c:v>
                </c:pt>
                <c:pt idx="854">
                  <c:v>29.247200000000039</c:v>
                </c:pt>
                <c:pt idx="855">
                  <c:v>29.247300000000038</c:v>
                </c:pt>
                <c:pt idx="856">
                  <c:v>29.247400000000038</c:v>
                </c:pt>
                <c:pt idx="857">
                  <c:v>29.247500000000038</c:v>
                </c:pt>
                <c:pt idx="858">
                  <c:v>29.247600000000038</c:v>
                </c:pt>
                <c:pt idx="859">
                  <c:v>29.247700000000037</c:v>
                </c:pt>
                <c:pt idx="860">
                  <c:v>29.247800000000037</c:v>
                </c:pt>
                <c:pt idx="861">
                  <c:v>29.247900000000037</c:v>
                </c:pt>
                <c:pt idx="862">
                  <c:v>29.248000000000037</c:v>
                </c:pt>
                <c:pt idx="863">
                  <c:v>29.248100000000036</c:v>
                </c:pt>
                <c:pt idx="864">
                  <c:v>29.248200000000036</c:v>
                </c:pt>
                <c:pt idx="865">
                  <c:v>29.248300000000036</c:v>
                </c:pt>
                <c:pt idx="866">
                  <c:v>29.248400000000036</c:v>
                </c:pt>
                <c:pt idx="867">
                  <c:v>29.248500000000035</c:v>
                </c:pt>
                <c:pt idx="868">
                  <c:v>29.248600000000035</c:v>
                </c:pt>
                <c:pt idx="869">
                  <c:v>29.248700000000035</c:v>
                </c:pt>
                <c:pt idx="870">
                  <c:v>29.248800000000035</c:v>
                </c:pt>
                <c:pt idx="871">
                  <c:v>29.248900000000035</c:v>
                </c:pt>
                <c:pt idx="872">
                  <c:v>29.249000000000034</c:v>
                </c:pt>
                <c:pt idx="873">
                  <c:v>29.249100000000034</c:v>
                </c:pt>
                <c:pt idx="874">
                  <c:v>29.249200000000034</c:v>
                </c:pt>
                <c:pt idx="875">
                  <c:v>29.249300000000034</c:v>
                </c:pt>
                <c:pt idx="876">
                  <c:v>29.249400000000033</c:v>
                </c:pt>
                <c:pt idx="877">
                  <c:v>29.249500000000033</c:v>
                </c:pt>
                <c:pt idx="878">
                  <c:v>29.249600000000033</c:v>
                </c:pt>
                <c:pt idx="879">
                  <c:v>29.249700000000033</c:v>
                </c:pt>
                <c:pt idx="880">
                  <c:v>29.249800000000032</c:v>
                </c:pt>
                <c:pt idx="881">
                  <c:v>29.249900000000032</c:v>
                </c:pt>
                <c:pt idx="882">
                  <c:v>29.250000000000032</c:v>
                </c:pt>
                <c:pt idx="883">
                  <c:v>29.250100000000032</c:v>
                </c:pt>
                <c:pt idx="884">
                  <c:v>29.250200000000032</c:v>
                </c:pt>
                <c:pt idx="885">
                  <c:v>29.250300000000031</c:v>
                </c:pt>
                <c:pt idx="886">
                  <c:v>29.250400000000031</c:v>
                </c:pt>
                <c:pt idx="887">
                  <c:v>29.250500000000031</c:v>
                </c:pt>
                <c:pt idx="888">
                  <c:v>29.250600000000031</c:v>
                </c:pt>
                <c:pt idx="889">
                  <c:v>29.25070000000003</c:v>
                </c:pt>
                <c:pt idx="890">
                  <c:v>29.25080000000003</c:v>
                </c:pt>
                <c:pt idx="891">
                  <c:v>29.25090000000003</c:v>
                </c:pt>
                <c:pt idx="892">
                  <c:v>29.25100000000003</c:v>
                </c:pt>
                <c:pt idx="893">
                  <c:v>29.251100000000029</c:v>
                </c:pt>
                <c:pt idx="894">
                  <c:v>29.251200000000029</c:v>
                </c:pt>
                <c:pt idx="895">
                  <c:v>29.251300000000029</c:v>
                </c:pt>
                <c:pt idx="896">
                  <c:v>29.251400000000029</c:v>
                </c:pt>
                <c:pt idx="897">
                  <c:v>29.251500000000028</c:v>
                </c:pt>
                <c:pt idx="898">
                  <c:v>29.251600000000028</c:v>
                </c:pt>
                <c:pt idx="899">
                  <c:v>29.251700000000028</c:v>
                </c:pt>
                <c:pt idx="900">
                  <c:v>29.251800000000028</c:v>
                </c:pt>
                <c:pt idx="901">
                  <c:v>29.251900000000028</c:v>
                </c:pt>
                <c:pt idx="902">
                  <c:v>29.252000000000027</c:v>
                </c:pt>
                <c:pt idx="903">
                  <c:v>29.252100000000027</c:v>
                </c:pt>
                <c:pt idx="904">
                  <c:v>29.252200000000027</c:v>
                </c:pt>
                <c:pt idx="905">
                  <c:v>29.252300000000027</c:v>
                </c:pt>
                <c:pt idx="906">
                  <c:v>29.252400000000026</c:v>
                </c:pt>
                <c:pt idx="907">
                  <c:v>29.252500000000026</c:v>
                </c:pt>
                <c:pt idx="908">
                  <c:v>29.252600000000026</c:v>
                </c:pt>
                <c:pt idx="909">
                  <c:v>29.252700000000026</c:v>
                </c:pt>
                <c:pt idx="910">
                  <c:v>29.252800000000025</c:v>
                </c:pt>
                <c:pt idx="911">
                  <c:v>29.252900000000025</c:v>
                </c:pt>
                <c:pt idx="912">
                  <c:v>29.253000000000025</c:v>
                </c:pt>
                <c:pt idx="913">
                  <c:v>29.253100000000025</c:v>
                </c:pt>
                <c:pt idx="914">
                  <c:v>29.253200000000025</c:v>
                </c:pt>
                <c:pt idx="915">
                  <c:v>29.253300000000024</c:v>
                </c:pt>
                <c:pt idx="916">
                  <c:v>29.253400000000024</c:v>
                </c:pt>
                <c:pt idx="917">
                  <c:v>29.253500000000024</c:v>
                </c:pt>
                <c:pt idx="918">
                  <c:v>29.253600000000024</c:v>
                </c:pt>
                <c:pt idx="919">
                  <c:v>29.253700000000023</c:v>
                </c:pt>
                <c:pt idx="920">
                  <c:v>29.253800000000023</c:v>
                </c:pt>
                <c:pt idx="921">
                  <c:v>29.253900000000023</c:v>
                </c:pt>
                <c:pt idx="922">
                  <c:v>29.254000000000023</c:v>
                </c:pt>
                <c:pt idx="923">
                  <c:v>29.254100000000022</c:v>
                </c:pt>
                <c:pt idx="924">
                  <c:v>29.254200000000022</c:v>
                </c:pt>
                <c:pt idx="925">
                  <c:v>29.254300000000022</c:v>
                </c:pt>
                <c:pt idx="926">
                  <c:v>29.254400000000022</c:v>
                </c:pt>
                <c:pt idx="927">
                  <c:v>29.254500000000021</c:v>
                </c:pt>
                <c:pt idx="928">
                  <c:v>29.254600000000021</c:v>
                </c:pt>
                <c:pt idx="929">
                  <c:v>29.254700000000021</c:v>
                </c:pt>
                <c:pt idx="930">
                  <c:v>29.254800000000021</c:v>
                </c:pt>
                <c:pt idx="931">
                  <c:v>29.254900000000021</c:v>
                </c:pt>
                <c:pt idx="932">
                  <c:v>29.25500000000002</c:v>
                </c:pt>
                <c:pt idx="933">
                  <c:v>29.25510000000002</c:v>
                </c:pt>
                <c:pt idx="934">
                  <c:v>29.25520000000002</c:v>
                </c:pt>
                <c:pt idx="935">
                  <c:v>29.25530000000002</c:v>
                </c:pt>
                <c:pt idx="936">
                  <c:v>29.255400000000019</c:v>
                </c:pt>
                <c:pt idx="937">
                  <c:v>29.255500000000019</c:v>
                </c:pt>
                <c:pt idx="938">
                  <c:v>29.255600000000019</c:v>
                </c:pt>
                <c:pt idx="939">
                  <c:v>29.255700000000019</c:v>
                </c:pt>
                <c:pt idx="940">
                  <c:v>29.255800000000018</c:v>
                </c:pt>
                <c:pt idx="941">
                  <c:v>29.255900000000018</c:v>
                </c:pt>
                <c:pt idx="942">
                  <c:v>29.256000000000018</c:v>
                </c:pt>
                <c:pt idx="943">
                  <c:v>29.256100000000018</c:v>
                </c:pt>
                <c:pt idx="944">
                  <c:v>29.256200000000018</c:v>
                </c:pt>
                <c:pt idx="945">
                  <c:v>29.256300000000017</c:v>
                </c:pt>
                <c:pt idx="946">
                  <c:v>29.256400000000017</c:v>
                </c:pt>
                <c:pt idx="947">
                  <c:v>29.256500000000017</c:v>
                </c:pt>
                <c:pt idx="948">
                  <c:v>29.256600000000017</c:v>
                </c:pt>
                <c:pt idx="949">
                  <c:v>29.256700000000016</c:v>
                </c:pt>
                <c:pt idx="950">
                  <c:v>29.256800000000016</c:v>
                </c:pt>
                <c:pt idx="951">
                  <c:v>29.256900000000016</c:v>
                </c:pt>
                <c:pt idx="952">
                  <c:v>29.257000000000016</c:v>
                </c:pt>
                <c:pt idx="953">
                  <c:v>29.257100000000015</c:v>
                </c:pt>
                <c:pt idx="954">
                  <c:v>29.257200000000015</c:v>
                </c:pt>
                <c:pt idx="955">
                  <c:v>29.257300000000015</c:v>
                </c:pt>
                <c:pt idx="956">
                  <c:v>29.257400000000015</c:v>
                </c:pt>
                <c:pt idx="957">
                  <c:v>29.257500000000014</c:v>
                </c:pt>
                <c:pt idx="958">
                  <c:v>29.257600000000014</c:v>
                </c:pt>
                <c:pt idx="959">
                  <c:v>29.257700000000014</c:v>
                </c:pt>
                <c:pt idx="960">
                  <c:v>29.257800000000014</c:v>
                </c:pt>
                <c:pt idx="961">
                  <c:v>29.257900000000014</c:v>
                </c:pt>
                <c:pt idx="962">
                  <c:v>29.258000000000013</c:v>
                </c:pt>
                <c:pt idx="963">
                  <c:v>29.258100000000013</c:v>
                </c:pt>
                <c:pt idx="964">
                  <c:v>29.258200000000013</c:v>
                </c:pt>
                <c:pt idx="965">
                  <c:v>29.258300000000013</c:v>
                </c:pt>
                <c:pt idx="966">
                  <c:v>29.258400000000012</c:v>
                </c:pt>
                <c:pt idx="967">
                  <c:v>29.258500000000012</c:v>
                </c:pt>
                <c:pt idx="968">
                  <c:v>29.258600000000012</c:v>
                </c:pt>
                <c:pt idx="969">
                  <c:v>29.258700000000012</c:v>
                </c:pt>
                <c:pt idx="970">
                  <c:v>29.258800000000011</c:v>
                </c:pt>
                <c:pt idx="971">
                  <c:v>29.258900000000011</c:v>
                </c:pt>
                <c:pt idx="972">
                  <c:v>29.259000000000011</c:v>
                </c:pt>
                <c:pt idx="973">
                  <c:v>29.259100000000011</c:v>
                </c:pt>
                <c:pt idx="974">
                  <c:v>29.259200000000011</c:v>
                </c:pt>
                <c:pt idx="975">
                  <c:v>29.25930000000001</c:v>
                </c:pt>
                <c:pt idx="976">
                  <c:v>29.25940000000001</c:v>
                </c:pt>
                <c:pt idx="977">
                  <c:v>29.25950000000001</c:v>
                </c:pt>
                <c:pt idx="978">
                  <c:v>29.25960000000001</c:v>
                </c:pt>
                <c:pt idx="979">
                  <c:v>29.259700000000009</c:v>
                </c:pt>
                <c:pt idx="980">
                  <c:v>29.259800000000009</c:v>
                </c:pt>
                <c:pt idx="981">
                  <c:v>29.259900000000009</c:v>
                </c:pt>
                <c:pt idx="982">
                  <c:v>29.260000000000009</c:v>
                </c:pt>
                <c:pt idx="983">
                  <c:v>29.260100000000008</c:v>
                </c:pt>
                <c:pt idx="984">
                  <c:v>29.260200000000008</c:v>
                </c:pt>
                <c:pt idx="985">
                  <c:v>29.260300000000008</c:v>
                </c:pt>
                <c:pt idx="986">
                  <c:v>29.260400000000008</c:v>
                </c:pt>
                <c:pt idx="987">
                  <c:v>29.260500000000008</c:v>
                </c:pt>
                <c:pt idx="988">
                  <c:v>29.260600000000007</c:v>
                </c:pt>
                <c:pt idx="989">
                  <c:v>29.260700000000007</c:v>
                </c:pt>
                <c:pt idx="990">
                  <c:v>29.260800000000007</c:v>
                </c:pt>
                <c:pt idx="991">
                  <c:v>29.260900000000007</c:v>
                </c:pt>
                <c:pt idx="992">
                  <c:v>29.261000000000006</c:v>
                </c:pt>
                <c:pt idx="993">
                  <c:v>29.261100000000006</c:v>
                </c:pt>
                <c:pt idx="994">
                  <c:v>29.261200000000006</c:v>
                </c:pt>
                <c:pt idx="995">
                  <c:v>29.261300000000006</c:v>
                </c:pt>
                <c:pt idx="996">
                  <c:v>29.261400000000005</c:v>
                </c:pt>
                <c:pt idx="997">
                  <c:v>29.261500000000005</c:v>
                </c:pt>
                <c:pt idx="998">
                  <c:v>29.261600000000005</c:v>
                </c:pt>
                <c:pt idx="999">
                  <c:v>29.261700000000005</c:v>
                </c:pt>
                <c:pt idx="1000">
                  <c:v>29.261800000000004</c:v>
                </c:pt>
              </c:numCache>
            </c:numRef>
          </c:xVal>
          <c:yVal>
            <c:numRef>
              <c:f>Calculs!$AG$4:$AG$1004</c:f>
              <c:numCache>
                <c:formatCode>0.00</c:formatCode>
                <c:ptCount val="1001"/>
                <c:pt idx="0">
                  <c:v>0</c:v>
                </c:pt>
                <c:pt idx="1">
                  <c:v>-26.35711043254485</c:v>
                </c:pt>
                <c:pt idx="2">
                  <c:v>-26.296838884087805</c:v>
                </c:pt>
                <c:pt idx="3">
                  <c:v>-26.236818763196304</c:v>
                </c:pt>
                <c:pt idx="4">
                  <c:v>-26.177048661980486</c:v>
                </c:pt>
                <c:pt idx="5">
                  <c:v>-26.11752718237701</c:v>
                </c:pt>
                <c:pt idx="6">
                  <c:v>-26.058252936066062</c:v>
                </c:pt>
                <c:pt idx="7">
                  <c:v>-25.999224544389328</c:v>
                </c:pt>
                <c:pt idx="8">
                  <c:v>-25.940440638268647</c:v>
                </c:pt>
                <c:pt idx="9">
                  <c:v>-25.881899858125557</c:v>
                </c:pt>
                <c:pt idx="10">
                  <c:v>-25.823600853801601</c:v>
                </c:pt>
                <c:pt idx="11">
                  <c:v>-25.765735815682667</c:v>
                </c:pt>
                <c:pt idx="12">
                  <c:v>-25.708299845269153</c:v>
                </c:pt>
                <c:pt idx="13">
                  <c:v>-25.651094553970403</c:v>
                </c:pt>
                <c:pt idx="14">
                  <c:v>-25.594118714634444</c:v>
                </c:pt>
                <c:pt idx="15">
                  <c:v>-25.537371108279725</c:v>
                </c:pt>
                <c:pt idx="16">
                  <c:v>-25.480850524029165</c:v>
                </c:pt>
                <c:pt idx="17">
                  <c:v>-25.4245557590449</c:v>
                </c:pt>
                <c:pt idx="18">
                  <c:v>-25.368485618463531</c:v>
                </c:pt>
                <c:pt idx="19">
                  <c:v>-25.312638915332066</c:v>
                </c:pt>
                <c:pt idx="20">
                  <c:v>-25.257014470544398</c:v>
                </c:pt>
                <c:pt idx="21">
                  <c:v>-25.201514291334263</c:v>
                </c:pt>
                <c:pt idx="22">
                  <c:v>-25.146138940425942</c:v>
                </c:pt>
                <c:pt idx="23">
                  <c:v>-25.090985793983279</c:v>
                </c:pt>
                <c:pt idx="24">
                  <c:v>-25.036053662434242</c:v>
                </c:pt>
                <c:pt idx="25">
                  <c:v>-24.981341364149802</c:v>
                </c:pt>
                <c:pt idx="26">
                  <c:v>-24.926847725379695</c:v>
                </c:pt>
                <c:pt idx="27">
                  <c:v>-24.872571580188716</c:v>
                </c:pt>
                <c:pt idx="28">
                  <c:v>-24.818511770393648</c:v>
                </c:pt>
                <c:pt idx="29">
                  <c:v>-24.764667145500844</c:v>
                </c:pt>
                <c:pt idx="30">
                  <c:v>-24.711036562644253</c:v>
                </c:pt>
                <c:pt idx="31">
                  <c:v>-24.657618886524176</c:v>
                </c:pt>
                <c:pt idx="32">
                  <c:v>-24.604412989346454</c:v>
                </c:pt>
                <c:pt idx="33">
                  <c:v>-24.551417750762369</c:v>
                </c:pt>
                <c:pt idx="34">
                  <c:v>-24.498632057808955</c:v>
                </c:pt>
                <c:pt idx="35">
                  <c:v>-24.446054804849975</c:v>
                </c:pt>
                <c:pt idx="36">
                  <c:v>-24.393684893517417</c:v>
                </c:pt>
                <c:pt idx="37">
                  <c:v>-24.341521232653474</c:v>
                </c:pt>
                <c:pt idx="38">
                  <c:v>-24.289562738253139</c:v>
                </c:pt>
                <c:pt idx="39">
                  <c:v>-24.237808333407337</c:v>
                </c:pt>
                <c:pt idx="40">
                  <c:v>-24.186256948246452</c:v>
                </c:pt>
                <c:pt idx="41">
                  <c:v>-24.134907519884557</c:v>
                </c:pt>
                <c:pt idx="42">
                  <c:v>-24.083758992364025</c:v>
                </c:pt>
                <c:pt idx="43">
                  <c:v>-24.032810316600695</c:v>
                </c:pt>
                <c:pt idx="44">
                  <c:v>-23.982060450329541</c:v>
                </c:pt>
                <c:pt idx="45">
                  <c:v>-23.931508358050841</c:v>
                </c:pt>
                <c:pt idx="46">
                  <c:v>-23.881153010976846</c:v>
                </c:pt>
                <c:pt idx="47">
                  <c:v>-23.830993386978854</c:v>
                </c:pt>
                <c:pt idx="48">
                  <c:v>-23.781028470534952</c:v>
                </c:pt>
                <c:pt idx="49">
                  <c:v>-23.731257252678009</c:v>
                </c:pt>
                <c:pt idx="50">
                  <c:v>-23.681678730944348</c:v>
                </c:pt>
                <c:pt idx="51">
                  <c:v>-23.632291909322696</c:v>
                </c:pt>
                <c:pt idx="52">
                  <c:v>-23.583095798203772</c:v>
                </c:pt>
                <c:pt idx="53">
                  <c:v>-23.534089414330197</c:v>
                </c:pt>
                <c:pt idx="54">
                  <c:v>-23.485271780746935</c:v>
                </c:pt>
                <c:pt idx="55">
                  <c:v>-23.436641926752174</c:v>
                </c:pt>
                <c:pt idx="56">
                  <c:v>-23.388198887848564</c:v>
                </c:pt>
                <c:pt idx="57">
                  <c:v>-23.339941705695086</c:v>
                </c:pt>
                <c:pt idx="58">
                  <c:v>-23.291869428059101</c:v>
                </c:pt>
                <c:pt idx="59">
                  <c:v>-23.243981108769034</c:v>
                </c:pt>
                <c:pt idx="60">
                  <c:v>-23.196275807667444</c:v>
                </c:pt>
                <c:pt idx="61">
                  <c:v>-23.148752590564392</c:v>
                </c:pt>
                <c:pt idx="62">
                  <c:v>-23.101410529191394</c:v>
                </c:pt>
                <c:pt idx="63">
                  <c:v>-23.054248701155664</c:v>
                </c:pt>
                <c:pt idx="64">
                  <c:v>-23.007266189894821</c:v>
                </c:pt>
                <c:pt idx="65">
                  <c:v>-22.960462084631999</c:v>
                </c:pt>
                <c:pt idx="66">
                  <c:v>-22.913835480331343</c:v>
                </c:pt>
                <c:pt idx="67">
                  <c:v>-22.867385477653905</c:v>
                </c:pt>
                <c:pt idx="68">
                  <c:v>-22.82111118291391</c:v>
                </c:pt>
                <c:pt idx="69">
                  <c:v>-22.775011708035457</c:v>
                </c:pt>
                <c:pt idx="70">
                  <c:v>-22.729086170509575</c:v>
                </c:pt>
                <c:pt idx="71">
                  <c:v>-22.683333693351635</c:v>
                </c:pt>
                <c:pt idx="72">
                  <c:v>-22.637753405059215</c:v>
                </c:pt>
                <c:pt idx="73">
                  <c:v>-22.592344439570201</c:v>
                </c:pt>
                <c:pt idx="74">
                  <c:v>-22.54710593622146</c:v>
                </c:pt>
                <c:pt idx="75">
                  <c:v>-22.502037039707631</c:v>
                </c:pt>
                <c:pt idx="76">
                  <c:v>-22.457136900040517</c:v>
                </c:pt>
                <c:pt idx="77">
                  <c:v>-22.412404672508629</c:v>
                </c:pt>
                <c:pt idx="78">
                  <c:v>-22.36783951763725</c:v>
                </c:pt>
                <c:pt idx="79">
                  <c:v>-22.323440601148747</c:v>
                </c:pt>
                <c:pt idx="80">
                  <c:v>-22.279207093923223</c:v>
                </c:pt>
                <c:pt idx="81">
                  <c:v>-22.235138171959601</c:v>
                </c:pt>
                <c:pt idx="82">
                  <c:v>-22.191233016336987</c:v>
                </c:pt>
                <c:pt idx="83">
                  <c:v>-22.147490813176333</c:v>
                </c:pt>
                <c:pt idx="84">
                  <c:v>-22.103910753602506</c:v>
                </c:pt>
                <c:pt idx="85">
                  <c:v>-22.060492033706691</c:v>
                </c:pt>
                <c:pt idx="86">
                  <c:v>-22.017233854508991</c:v>
                </c:pt>
                <c:pt idx="87">
                  <c:v>-21.974135421921545</c:v>
                </c:pt>
                <c:pt idx="88">
                  <c:v>-21.931195946711782</c:v>
                </c:pt>
                <c:pt idx="89">
                  <c:v>-21.888414644466152</c:v>
                </c:pt>
                <c:pt idx="90">
                  <c:v>-21.845790735554012</c:v>
                </c:pt>
                <c:pt idx="91">
                  <c:v>-21.803323445091969</c:v>
                </c:pt>
                <c:pt idx="92">
                  <c:v>-21.761012002908416</c:v>
                </c:pt>
                <c:pt idx="93">
                  <c:v>-21.718855643508441</c:v>
                </c:pt>
                <c:pt idx="94">
                  <c:v>-21.676853606039021</c:v>
                </c:pt>
                <c:pt idx="95">
                  <c:v>-21.635005134254502</c:v>
                </c:pt>
                <c:pt idx="96">
                  <c:v>-21.593309476482364</c:v>
                </c:pt>
                <c:pt idx="97">
                  <c:v>-21.551765885589305</c:v>
                </c:pt>
                <c:pt idx="98">
                  <c:v>-21.510373618947639</c:v>
                </c:pt>
                <c:pt idx="99">
                  <c:v>-21.469131938401876</c:v>
                </c:pt>
                <c:pt idx="100">
                  <c:v>-21.428040110235699</c:v>
                </c:pt>
                <c:pt idx="101">
                  <c:v>-21.38709740513918</c:v>
                </c:pt>
                <c:pt idx="102">
                  <c:v>-20.982495562911069</c:v>
                </c:pt>
                <c:pt idx="103">
                  <c:v>-20.592316866286886</c:v>
                </c:pt>
                <c:pt idx="104">
                  <c:v>-20.21587726391412</c:v>
                </c:pt>
                <c:pt idx="105">
                  <c:v>-19.852532163322735</c:v>
                </c:pt>
                <c:pt idx="106">
                  <c:v>-19.501673642802459</c:v>
                </c:pt>
                <c:pt idx="107">
                  <c:v>-19.162727885690465</c:v>
                </c:pt>
                <c:pt idx="108">
                  <c:v>-18.835152816535064</c:v>
                </c:pt>
                <c:pt idx="109">
                  <c:v>-18.518435920677373</c:v>
                </c:pt>
                <c:pt idx="110">
                  <c:v>-18.21209223063471</c:v>
                </c:pt>
                <c:pt idx="111">
                  <c:v>-17.915662464305434</c:v>
                </c:pt>
                <c:pt idx="112">
                  <c:v>-17.6287113014696</c:v>
                </c:pt>
                <c:pt idx="113">
                  <c:v>-17.350825786354516</c:v>
                </c:pt>
                <c:pt idx="114">
                  <c:v>-17.0816138451884</c:v>
                </c:pt>
                <c:pt idx="115">
                  <c:v>-16.820702908694191</c:v>
                </c:pt>
                <c:pt idx="116">
                  <c:v>-16.567738630394174</c:v>
                </c:pt>
                <c:pt idx="117">
                  <c:v>-16.322383692416416</c:v>
                </c:pt>
                <c:pt idx="118">
                  <c:v>-16.084316691227002</c:v>
                </c:pt>
                <c:pt idx="119">
                  <c:v>-15.853231096367377</c:v>
                </c:pt>
                <c:pt idx="120">
                  <c:v>-15.628834275861625</c:v>
                </c:pt>
                <c:pt idx="121">
                  <c:v>-15.410846582482169</c:v>
                </c:pt>
                <c:pt idx="122">
                  <c:v>-15.19900049552975</c:v>
                </c:pt>
                <c:pt idx="123">
                  <c:v>-14.993039813201102</c:v>
                </c:pt>
                <c:pt idx="124">
                  <c:v>-14.792718890989521</c:v>
                </c:pt>
                <c:pt idx="125">
                  <c:v>-14.597801921894481</c:v>
                </c:pt>
                <c:pt idx="126">
                  <c:v>-14.408062254509979</c:v>
                </c:pt>
                <c:pt idx="127">
                  <c:v>-14.223281745320843</c:v>
                </c:pt>
                <c:pt idx="128">
                  <c:v>-14.04325014176446</c:v>
                </c:pt>
                <c:pt idx="129">
                  <c:v>-13.867764492815063</c:v>
                </c:pt>
                <c:pt idx="130">
                  <c:v>-13.696628584020722</c:v>
                </c:pt>
                <c:pt idx="131">
                  <c:v>-13.529652394071585</c:v>
                </c:pt>
                <c:pt idx="132">
                  <c:v>-13.366651570103144</c:v>
                </c:pt>
                <c:pt idx="133">
                  <c:v>-13.207446919041825</c:v>
                </c:pt>
                <c:pt idx="134">
                  <c:v>-13.051863912383215</c:v>
                </c:pt>
                <c:pt idx="135">
                  <c:v>-12.899732201856658</c:v>
                </c:pt>
                <c:pt idx="136">
                  <c:v>-12.750885143474553</c:v>
                </c:pt>
                <c:pt idx="137">
                  <c:v>-12.605159327491403</c:v>
                </c:pt>
                <c:pt idx="138">
                  <c:v>-12.462394111806994</c:v>
                </c:pt>
                <c:pt idx="139">
                  <c:v>-12.322431156340528</c:v>
                </c:pt>
                <c:pt idx="140">
                  <c:v>-12.185113955878824</c:v>
                </c:pt>
                <c:pt idx="141">
                  <c:v>-12.050287368862364</c:v>
                </c:pt>
                <c:pt idx="142">
                  <c:v>-11.917797139518525</c:v>
                </c:pt>
                <c:pt idx="143">
                  <c:v>-11.787489410682991</c:v>
                </c:pt>
                <c:pt idx="144">
                  <c:v>-11.659210224568698</c:v>
                </c:pt>
                <c:pt idx="145">
                  <c:v>-11.532805008648442</c:v>
                </c:pt>
                <c:pt idx="146">
                  <c:v>-11.408118043714481</c:v>
                </c:pt>
                <c:pt idx="147">
                  <c:v>-11.284991911068063</c:v>
                </c:pt>
                <c:pt idx="148">
                  <c:v>-11.163266915677944</c:v>
                </c:pt>
                <c:pt idx="149">
                  <c:v>-11.042780482033484</c:v>
                </c:pt>
                <c:pt idx="150">
                  <c:v>-10.923366519311063</c:v>
                </c:pt>
                <c:pt idx="151">
                  <c:v>-10.804854752379999</c:v>
                </c:pt>
                <c:pt idx="152">
                  <c:v>-10.687070015105839</c:v>
                </c:pt>
                <c:pt idx="153">
                  <c:v>-10.569831502377786</c:v>
                </c:pt>
                <c:pt idx="154">
                  <c:v>-10.452951977309892</c:v>
                </c:pt>
                <c:pt idx="155">
                  <c:v>-10.336236930163199</c:v>
                </c:pt>
                <c:pt idx="156">
                  <c:v>-10.219483685735405</c:v>
                </c:pt>
                <c:pt idx="157">
                  <c:v>-10.102480456299318</c:v>
                </c:pt>
                <c:pt idx="158">
                  <c:v>-9.9850053376833721</c:v>
                </c:pt>
                <c:pt idx="159">
                  <c:v>-9.866825246829384</c:v>
                </c:pt>
                <c:pt idx="160">
                  <c:v>-9.7476948001991452</c:v>
                </c:pt>
                <c:pt idx="161">
                  <c:v>-9.6273551338116814</c:v>
                </c:pt>
                <c:pt idx="162">
                  <c:v>-9.5055326675739256</c:v>
                </c:pt>
                <c:pt idx="163">
                  <c:v>-9.3819378190357838</c:v>
                </c:pt>
                <c:pt idx="164">
                  <c:v>-9.2562636748955693</c:v>
                </c:pt>
                <c:pt idx="165">
                  <c:v>-9.1281846326680807</c:v>
                </c:pt>
                <c:pt idx="166">
                  <c:v>-8.9973550300970118</c:v>
                </c:pt>
                <c:pt idx="167">
                  <c:v>-8.863407786364407</c:v>
                </c:pt>
                <c:pt idx="168">
                  <c:v>-8.7259530871665483</c:v>
                </c:pt>
                <c:pt idx="169">
                  <c:v>-8.5845771555521235</c:v>
                </c:pt>
                <c:pt idx="170">
                  <c:v>-8.4388411623261259</c:v>
                </c:pt>
                <c:pt idx="171">
                  <c:v>-8.2882803440738968</c:v>
                </c:pt>
                <c:pt idx="172">
                  <c:v>-8.1324034136736572</c:v>
                </c:pt>
                <c:pt idx="173">
                  <c:v>-7.9706923676771071</c:v>
                </c:pt>
                <c:pt idx="174">
                  <c:v>-7.8026028171281174</c:v>
                </c:pt>
                <c:pt idx="175">
                  <c:v>-7.6275649930009228</c:v>
                </c:pt>
                <c:pt idx="176">
                  <c:v>-7.4449856038539517</c:v>
                </c:pt>
                <c:pt idx="177">
                  <c:v>-7.254250750388227</c:v>
                </c:pt>
                <c:pt idx="178">
                  <c:v>-7.0547301275574652</c:v>
                </c:pt>
                <c:pt idx="179">
                  <c:v>-6.8457827670015483</c:v>
                </c:pt>
                <c:pt idx="180">
                  <c:v>-6.6267645870789469</c:v>
                </c:pt>
                <c:pt idx="181">
                  <c:v>-6.3970380196176491</c:v>
                </c:pt>
                <c:pt idx="182">
                  <c:v>-6.1559839653291615</c:v>
                </c:pt>
                <c:pt idx="183">
                  <c:v>-5.9030162860704234</c:v>
                </c:pt>
                <c:pt idx="184">
                  <c:v>-5.6375989634332919</c:v>
                </c:pt>
                <c:pt idx="185">
                  <c:v>-5.3592659311697277</c:v>
                </c:pt>
                <c:pt idx="186">
                  <c:v>-5.0676434168267139</c:v>
                </c:pt>
                <c:pt idx="187">
                  <c:v>-4.7624744021975758</c:v>
                </c:pt>
                <c:pt idx="188">
                  <c:v>-4.4436445353167668</c:v>
                </c:pt>
                <c:pt idx="189">
                  <c:v>-4.1112085101191065</c:v>
                </c:pt>
                <c:pt idx="190">
                  <c:v>-3.7654155964383023</c:v>
                </c:pt>
                <c:pt idx="191">
                  <c:v>-3.4067326886597971</c:v>
                </c:pt>
                <c:pt idx="192">
                  <c:v>-3.0358629943761946</c:v>
                </c:pt>
                <c:pt idx="193">
                  <c:v>-2.6537583615361529</c:v>
                </c:pt>
                <c:pt idx="194">
                  <c:v>-2.2616233009828246</c:v>
                </c:pt>
                <c:pt idx="195">
                  <c:v>-1.860909046809736</c:v>
                </c:pt>
                <c:pt idx="196">
                  <c:v>-1.4532965303999659</c:v>
                </c:pt>
                <c:pt idx="197">
                  <c:v>-1.0406679083998018</c:v>
                </c:pt>
                <c:pt idx="198">
                  <c:v>-0.6250672182462822</c:v>
                </c:pt>
                <c:pt idx="199">
                  <c:v>-0.20865173238235826</c:v>
                </c:pt>
                <c:pt idx="200">
                  <c:v>0.20636349012011596</c:v>
                </c:pt>
                <c:pt idx="201">
                  <c:v>0.61776463762281464</c:v>
                </c:pt>
                <c:pt idx="202">
                  <c:v>1.0233981559169605</c:v>
                </c:pt>
                <c:pt idx="203">
                  <c:v>1.421226123057054</c:v>
                </c:pt>
                <c:pt idx="204">
                  <c:v>1.8093747687467134</c:v>
                </c:pt>
                <c:pt idx="205">
                  <c:v>2.1861736358745225</c:v>
                </c:pt>
                <c:pt idx="206">
                  <c:v>2.5501838112971944</c:v>
                </c:pt>
                <c:pt idx="207">
                  <c:v>2.9002146543617493</c:v>
                </c:pt>
                <c:pt idx="208">
                  <c:v>3.235329390015246</c:v>
                </c:pt>
                <c:pt idx="209">
                  <c:v>3.5548407026780033</c:v>
                </c:pt>
                <c:pt idx="210">
                  <c:v>3.8582980043024921</c:v>
                </c:pt>
                <c:pt idx="211">
                  <c:v>4.1454683375146253</c:v>
                </c:pt>
                <c:pt idx="212">
                  <c:v>4.4163129329691575</c:v>
                </c:pt>
                <c:pt idx="213">
                  <c:v>4.6709613151208558</c:v>
                </c:pt>
                <c:pt idx="214">
                  <c:v>4.909684600197318</c:v>
                </c:pt>
                <c:pt idx="215">
                  <c:v>5.1328693116368989</c:v>
                </c:pt>
                <c:pt idx="216">
                  <c:v>5.3409927005687097</c:v>
                </c:pt>
                <c:pt idx="217">
                  <c:v>5.5346002384876272</c:v>
                </c:pt>
                <c:pt idx="218">
                  <c:v>5.7142856693195352</c:v>
                </c:pt>
                <c:pt idx="219">
                  <c:v>5.8806737801031321</c:v>
                </c:pt>
                <c:pt idx="220">
                  <c:v>6.0344058760474049</c:v>
                </c:pt>
                <c:pt idx="221">
                  <c:v>6.1761278231814121</c:v>
                </c:pt>
                <c:pt idx="222">
                  <c:v>6.3064804431415427</c:v>
                </c:pt>
                <c:pt idx="223">
                  <c:v>6.4260920013489855</c:v>
                </c:pt>
                <c:pt idx="224">
                  <c:v>6.5355725133958424</c:v>
                </c:pt>
                <c:pt idx="225">
                  <c:v>6.6355095971827609</c:v>
                </c:pt>
                <c:pt idx="226">
                  <c:v>6.7264656137721817</c:v>
                </c:pt>
                <c:pt idx="227">
                  <c:v>6.8089758629277997</c:v>
                </c:pt>
                <c:pt idx="228">
                  <c:v>6.8835476260705732</c:v>
                </c:pt>
                <c:pt idx="229">
                  <c:v>6.9506598771708763</c:v>
                </c:pt>
                <c:pt idx="230">
                  <c:v>7.0107635090943283</c:v>
                </c:pt>
                <c:pt idx="231">
                  <c:v>7.0642819480022467</c:v>
                </c:pt>
                <c:pt idx="232">
                  <c:v>7.1116120509675422</c:v>
                </c:pt>
                <c:pt idx="233">
                  <c:v>7.1531252017573781</c:v>
                </c:pt>
                <c:pt idx="234">
                  <c:v>7.1891685367504907</c:v>
                </c:pt>
                <c:pt idx="235">
                  <c:v>7.2200662473471651</c:v>
                </c:pt>
                <c:pt idx="236">
                  <c:v>7.2461209172262064</c:v>
                </c:pt>
                <c:pt idx="237">
                  <c:v>7.2676148626782169</c:v>
                </c:pt>
                <c:pt idx="238">
                  <c:v>7.2848114522793139</c:v>
                </c:pt>
                <c:pt idx="239">
                  <c:v>7.2979563886359946</c:v>
                </c:pt>
                <c:pt idx="240">
                  <c:v>7.3072789400799163</c:v>
                </c:pt>
                <c:pt idx="241">
                  <c:v>7.3129931142449802</c:v>
                </c:pt>
                <c:pt idx="242">
                  <c:v>7.3152987686135473</c:v>
                </c:pt>
                <c:pt idx="243">
                  <c:v>7.3143826555409905</c:v>
                </c:pt>
                <c:pt idx="244">
                  <c:v>7.310419401100285</c:v>
                </c:pt>
                <c:pt idx="245">
                  <c:v>7.3035724184484421</c:v>
                </c:pt>
                <c:pt idx="246">
                  <c:v>7.2939947574024098</c:v>
                </c:pt>
                <c:pt idx="247">
                  <c:v>7.2818298926035716</c:v>
                </c:pt>
                <c:pt idx="248">
                  <c:v>7.2672124531118865</c:v>
                </c:pt>
                <c:pt idx="249">
                  <c:v>7.2502688965560953</c:v>
                </c:pt>
                <c:pt idx="250">
                  <c:v>7.2311181311166504</c:v>
                </c:pt>
                <c:pt idx="251">
                  <c:v>7.2098720886672591</c:v>
                </c:pt>
                <c:pt idx="252">
                  <c:v>7.1866362523751048</c:v>
                </c:pt>
                <c:pt idx="253">
                  <c:v>7.1615101419801732</c:v>
                </c:pt>
                <c:pt idx="254">
                  <c:v>7.1345877598565393</c:v>
                </c:pt>
                <c:pt idx="255">
                  <c:v>7.1059580008157877</c:v>
                </c:pt>
                <c:pt idx="256">
                  <c:v>7.0757050284543972</c:v>
                </c:pt>
                <c:pt idx="257">
                  <c:v>7.0439086206802521</c:v>
                </c:pt>
                <c:pt idx="258">
                  <c:v>7.0106444868839706</c:v>
                </c:pt>
                <c:pt idx="259">
                  <c:v>6.975984559052284</c:v>
                </c:pt>
                <c:pt idx="260">
                  <c:v>6.9399972589564349</c:v>
                </c:pt>
                <c:pt idx="261">
                  <c:v>6.9027477433902025</c:v>
                </c:pt>
                <c:pt idx="262">
                  <c:v>6.8642981292811447</c:v>
                </c:pt>
                <c:pt idx="263">
                  <c:v>6.8247077003559866</c:v>
                </c:pt>
                <c:pt idx="264">
                  <c:v>6.7840330969068035</c:v>
                </c:pt>
                <c:pt idx="265">
                  <c:v>6.7423284900793439</c:v>
                </c:pt>
                <c:pt idx="266">
                  <c:v>6.6996457419881095</c:v>
                </c:pt>
                <c:pt idx="267">
                  <c:v>6.6560345528545994</c:v>
                </c:pt>
                <c:pt idx="268">
                  <c:v>6.6115425962651351</c:v>
                </c:pt>
                <c:pt idx="269">
                  <c:v>6.5662156435523356</c:v>
                </c:pt>
                <c:pt idx="270">
                  <c:v>6.5200976782195124</c:v>
                </c:pt>
                <c:pt idx="271">
                  <c:v>6.4732310012491308</c:v>
                </c:pt>
                <c:pt idx="272">
                  <c:v>6.4256563280649708</c:v>
                </c:pt>
                <c:pt idx="273">
                  <c:v>6.3774128778519383</c:v>
                </c:pt>
                <c:pt idx="274">
                  <c:v>6.3285384558775135</c:v>
                </c:pt>
                <c:pt idx="275">
                  <c:v>6.27906952940371</c:v>
                </c:pt>
                <c:pt idx="276">
                  <c:v>6.2290412977282674</c:v>
                </c:pt>
                <c:pt idx="277">
                  <c:v>6.1784877568478436</c:v>
                </c:pt>
                <c:pt idx="278">
                  <c:v>6.1274417591939194</c:v>
                </c:pt>
                <c:pt idx="279">
                  <c:v>6.07593506885385</c:v>
                </c:pt>
                <c:pt idx="280">
                  <c:v>6.0239984126544819</c:v>
                </c:pt>
                <c:pt idx="281">
                  <c:v>5.97166152745364</c:v>
                </c:pt>
                <c:pt idx="282">
                  <c:v>5.9189532039557484</c:v>
                </c:pt>
                <c:pt idx="283">
                  <c:v>5.8659013273409482</c:v>
                </c:pt>
                <c:pt idx="284">
                  <c:v>5.8125329149729037</c:v>
                </c:pt>
                <c:pt idx="285">
                  <c:v>5.758874151427996</c:v>
                </c:pt>
                <c:pt idx="286">
                  <c:v>5.7049504210683946</c:v>
                </c:pt>
                <c:pt idx="287">
                  <c:v>5.6507863383627814</c:v>
                </c:pt>
                <c:pt idx="288">
                  <c:v>5.5964057761415535</c:v>
                </c:pt>
                <c:pt idx="289">
                  <c:v>5.5418318919576697</c:v>
                </c:pt>
                <c:pt idx="290">
                  <c:v>5.4870871527101386</c:v>
                </c:pt>
                <c:pt idx="291">
                  <c:v>5.432193357674068</c:v>
                </c:pt>
                <c:pt idx="292">
                  <c:v>5.3771716600692443</c:v>
                </c:pt>
                <c:pt idx="293">
                  <c:v>5.3220425872882764</c:v>
                </c:pt>
                <c:pt idx="294">
                  <c:v>5.2668260598953722</c:v>
                </c:pt>
                <c:pt idx="295">
                  <c:v>5.2115414094975288</c:v>
                </c:pt>
                <c:pt idx="296">
                  <c:v>5.156207395581605</c:v>
                </c:pt>
                <c:pt idx="297">
                  <c:v>5.1008422214028846</c:v>
                </c:pt>
                <c:pt idx="298">
                  <c:v>5.0454635490038591</c:v>
                </c:pt>
                <c:pt idx="299">
                  <c:v>4.9900885134351762</c:v>
                </c:pt>
                <c:pt idx="300">
                  <c:v>4.9347337362449935</c:v>
                </c:pt>
                <c:pt idx="301">
                  <c:v>4.8794153382973207</c:v>
                </c:pt>
                <c:pt idx="302">
                  <c:v>4.8241489519749159</c:v>
                </c:pt>
                <c:pt idx="303">
                  <c:v>4.7689497328177737</c:v>
                </c:pt>
                <c:pt idx="304">
                  <c:v>4.7138323706438143</c:v>
                </c:pt>
                <c:pt idx="305">
                  <c:v>4.6588111001946517</c:v>
                </c:pt>
                <c:pt idx="306">
                  <c:v>4.6038997113455302</c:v>
                </c:pt>
                <c:pt idx="307">
                  <c:v>4.5491115589153921</c:v>
                </c:pt>
                <c:pt idx="308">
                  <c:v>4.4944595721098315</c:v>
                </c:pt>
                <c:pt idx="309">
                  <c:v>4.4399562636270113</c:v>
                </c:pt>
                <c:pt idx="310">
                  <c:v>4.3856137384539355</c:v>
                </c:pt>
                <c:pt idx="311">
                  <c:v>4.3314437023781807</c:v>
                </c:pt>
                <c:pt idx="312">
                  <c:v>4.2774574702379464</c:v>
                </c:pt>
                <c:pt idx="313">
                  <c:v>4.2236659739313165</c:v>
                </c:pt>
                <c:pt idx="314">
                  <c:v>4.1700797702037447</c:v>
                </c:pt>
                <c:pt idx="315">
                  <c:v>4.1167090482310575</c:v>
                </c:pt>
                <c:pt idx="316">
                  <c:v>4.0635636370137957</c:v>
                </c:pt>
                <c:pt idx="317">
                  <c:v>4.010653012597122</c:v>
                </c:pt>
                <c:pt idx="318">
                  <c:v>3.9579863051293529</c:v>
                </c:pt>
                <c:pt idx="319">
                  <c:v>3.9055723057708311</c:v>
                </c:pt>
                <c:pt idx="320">
                  <c:v>3.8534194734638527</c:v>
                </c:pt>
                <c:pt idx="321">
                  <c:v>3.8015359415732073</c:v>
                </c:pt>
                <c:pt idx="322">
                  <c:v>3.749929524406042</c:v>
                </c:pt>
                <c:pt idx="323">
                  <c:v>3.6986077236188715</c:v>
                </c:pt>
                <c:pt idx="324">
                  <c:v>3.6475777345187339</c:v>
                </c:pt>
                <c:pt idx="325">
                  <c:v>3.5968464522647965</c:v>
                </c:pt>
                <c:pt idx="326">
                  <c:v>3.5464204779760271</c:v>
                </c:pt>
                <c:pt idx="327">
                  <c:v>3.4963061247499523</c:v>
                </c:pt>
                <c:pt idx="328">
                  <c:v>3.4465094235969591</c:v>
                </c:pt>
                <c:pt idx="329">
                  <c:v>3.3970361292940989</c:v>
                </c:pt>
                <c:pt idx="330">
                  <c:v>3.3478917261618486</c:v>
                </c:pt>
                <c:pt idx="331">
                  <c:v>3.2990814337669452</c:v>
                </c:pt>
                <c:pt idx="332">
                  <c:v>3.2506102125539096</c:v>
                </c:pt>
                <c:pt idx="333">
                  <c:v>3.2024827694076405</c:v>
                </c:pt>
                <c:pt idx="334">
                  <c:v>3.1547035631490727</c:v>
                </c:pt>
                <c:pt idx="335">
                  <c:v>3.1072768099656312</c:v>
                </c:pt>
                <c:pt idx="336">
                  <c:v>3.0602064887779559</c:v>
                </c:pt>
                <c:pt idx="337">
                  <c:v>3.013496346544124</c:v>
                </c:pt>
                <c:pt idx="338">
                  <c:v>2.9671499035024222</c:v>
                </c:pt>
                <c:pt idx="339">
                  <c:v>2.921170458353517</c:v>
                </c:pt>
                <c:pt idx="340">
                  <c:v>2.8755610933826654</c:v>
                </c:pt>
                <c:pt idx="341">
                  <c:v>2.8303246795225521</c:v>
                </c:pt>
                <c:pt idx="342">
                  <c:v>2.7854638813571242</c:v>
                </c:pt>
                <c:pt idx="343">
                  <c:v>2.740981162066717</c:v>
                </c:pt>
                <c:pt idx="344">
                  <c:v>2.6968787883146836</c:v>
                </c:pt>
                <c:pt idx="345">
                  <c:v>2.6531588350756055</c:v>
                </c:pt>
                <c:pt idx="346">
                  <c:v>2.6098231904051179</c:v>
                </c:pt>
                <c:pt idx="347">
                  <c:v>2.5668735601513522</c:v>
                </c:pt>
                <c:pt idx="348">
                  <c:v>2.5243114726078746</c:v>
                </c:pt>
                <c:pt idx="349">
                  <c:v>2.4821382831079921</c:v>
                </c:pt>
                <c:pt idx="350">
                  <c:v>2.4403551785603357</c:v>
                </c:pt>
                <c:pt idx="351">
                  <c:v>2.3989631819253994</c:v>
                </c:pt>
                <c:pt idx="352">
                  <c:v>2.3579631566329855</c:v>
                </c:pt>
                <c:pt idx="353">
                  <c:v>2.3173558109402022</c:v>
                </c:pt>
                <c:pt idx="354">
                  <c:v>2.2771417022298843</c:v>
                </c:pt>
                <c:pt idx="355">
                  <c:v>2.237321241249143</c:v>
                </c:pt>
                <c:pt idx="356">
                  <c:v>2.1978946962878583</c:v>
                </c:pt>
                <c:pt idx="357">
                  <c:v>2.1588621972968749</c:v>
                </c:pt>
                <c:pt idx="358">
                  <c:v>2.120223739945688</c:v>
                </c:pt>
                <c:pt idx="359">
                  <c:v>2.0819791896194522</c:v>
                </c:pt>
                <c:pt idx="360">
                  <c:v>2.0441282853551037</c:v>
                </c:pt>
                <c:pt idx="361">
                  <c:v>2.0066706437164541</c:v>
                </c:pt>
                <c:pt idx="362">
                  <c:v>1.9696057626081265</c:v>
                </c:pt>
                <c:pt idx="363">
                  <c:v>1.9329330250281664</c:v>
                </c:pt>
                <c:pt idx="364">
                  <c:v>1.8966517027593319</c:v>
                </c:pt>
                <c:pt idx="365">
                  <c:v>1.8607609599989194</c:v>
                </c:pt>
                <c:pt idx="366">
                  <c:v>1.8252598569271088</c:v>
                </c:pt>
                <c:pt idx="367">
                  <c:v>1.7901473532138699</c:v>
                </c:pt>
                <c:pt idx="368">
                  <c:v>1.7554223114643648</c:v>
                </c:pt>
                <c:pt idx="369">
                  <c:v>1.7210835006029725</c:v>
                </c:pt>
                <c:pt idx="370">
                  <c:v>1.6871295991959858</c:v>
                </c:pt>
                <c:pt idx="371">
                  <c:v>1.653559198713122</c:v>
                </c:pt>
                <c:pt idx="372">
                  <c:v>1.6203708067279017</c:v>
                </c:pt>
                <c:pt idx="373">
                  <c:v>1.5875628500571946</c:v>
                </c:pt>
                <c:pt idx="374">
                  <c:v>1.5551336778400273</c:v>
                </c:pt>
                <c:pt idx="375">
                  <c:v>1.523081564555941</c:v>
                </c:pt>
                <c:pt idx="376">
                  <c:v>1.4914047129831456</c:v>
                </c:pt>
                <c:pt idx="377">
                  <c:v>1.4601012570967207</c:v>
                </c:pt>
                <c:pt idx="378">
                  <c:v>1.42916926490728</c:v>
                </c:pt>
                <c:pt idx="379">
                  <c:v>1.3986067412402683</c:v>
                </c:pt>
                <c:pt idx="380">
                  <c:v>1.3684116304564871</c:v>
                </c:pt>
                <c:pt idx="381">
                  <c:v>1.338581819114026</c:v>
                </c:pt>
                <c:pt idx="382">
                  <c:v>1.3091151385721442</c:v>
                </c:pt>
                <c:pt idx="383">
                  <c:v>1.2800093675375432</c:v>
                </c:pt>
                <c:pt idx="384">
                  <c:v>1.2799806738955901</c:v>
                </c:pt>
                <c:pt idx="385">
                  <c:v>1.2799519806069419</c:v>
                </c:pt>
                <c:pt idx="386">
                  <c:v>1.2799232876716005</c:v>
                </c:pt>
                <c:pt idx="387">
                  <c:v>1.2798945950895604</c:v>
                </c:pt>
                <c:pt idx="388">
                  <c:v>1.2798659028608164</c:v>
                </c:pt>
                <c:pt idx="389">
                  <c:v>1.2798372109853737</c:v>
                </c:pt>
                <c:pt idx="390">
                  <c:v>1.2798085194632272</c:v>
                </c:pt>
                <c:pt idx="391">
                  <c:v>1.2797798282943678</c:v>
                </c:pt>
                <c:pt idx="392">
                  <c:v>1.2797511374788026</c:v>
                </c:pt>
                <c:pt idx="393">
                  <c:v>1.2797224470165318</c:v>
                </c:pt>
                <c:pt idx="394">
                  <c:v>1.2796937569075411</c:v>
                </c:pt>
                <c:pt idx="395">
                  <c:v>1.2796650671518339</c:v>
                </c:pt>
                <c:pt idx="396">
                  <c:v>1.2796363777494086</c:v>
                </c:pt>
                <c:pt idx="397">
                  <c:v>1.279607688700267</c:v>
                </c:pt>
                <c:pt idx="398">
                  <c:v>1.2795790000043947</c:v>
                </c:pt>
                <c:pt idx="399">
                  <c:v>1.2795503116618008</c:v>
                </c:pt>
                <c:pt idx="400">
                  <c:v>1.2795216236724816</c:v>
                </c:pt>
                <c:pt idx="401">
                  <c:v>1.2794929360364353</c:v>
                </c:pt>
                <c:pt idx="402">
                  <c:v>1.2794642487536496</c:v>
                </c:pt>
                <c:pt idx="403">
                  <c:v>1.2794355618241351</c:v>
                </c:pt>
                <c:pt idx="404">
                  <c:v>1.2794068752478829</c:v>
                </c:pt>
                <c:pt idx="405">
                  <c:v>1.2793781890248965</c:v>
                </c:pt>
                <c:pt idx="406">
                  <c:v>1.2793495031551618</c:v>
                </c:pt>
                <c:pt idx="407">
                  <c:v>1.2793208176386841</c:v>
                </c:pt>
                <c:pt idx="408">
                  <c:v>1.2792921324754687</c:v>
                </c:pt>
                <c:pt idx="409">
                  <c:v>1.279263447665496</c:v>
                </c:pt>
                <c:pt idx="410">
                  <c:v>1.2792347632087804</c:v>
                </c:pt>
                <c:pt idx="411">
                  <c:v>1.279206079105311</c:v>
                </c:pt>
                <c:pt idx="412">
                  <c:v>1.279177395355088</c:v>
                </c:pt>
                <c:pt idx="413">
                  <c:v>1.2791487119581024</c:v>
                </c:pt>
                <c:pt idx="414">
                  <c:v>1.2791200289143667</c:v>
                </c:pt>
                <c:pt idx="415">
                  <c:v>1.2790913462238649</c:v>
                </c:pt>
                <c:pt idx="416">
                  <c:v>1.2790626638866023</c:v>
                </c:pt>
                <c:pt idx="417">
                  <c:v>1.27903398190257</c:v>
                </c:pt>
                <c:pt idx="418">
                  <c:v>1.2790053002717734</c:v>
                </c:pt>
                <c:pt idx="419">
                  <c:v>1.2789766189942018</c:v>
                </c:pt>
                <c:pt idx="420">
                  <c:v>1.2789479380698641</c:v>
                </c:pt>
                <c:pt idx="421">
                  <c:v>1.2789192574987478</c:v>
                </c:pt>
                <c:pt idx="422">
                  <c:v>1.2788905772808548</c:v>
                </c:pt>
                <c:pt idx="423">
                  <c:v>1.2788618974161814</c:v>
                </c:pt>
                <c:pt idx="424">
                  <c:v>1.2788332179047277</c:v>
                </c:pt>
                <c:pt idx="425">
                  <c:v>1.2788045387464972</c:v>
                </c:pt>
                <c:pt idx="426">
                  <c:v>1.2787758599414705</c:v>
                </c:pt>
                <c:pt idx="427">
                  <c:v>1.2787471814896563</c:v>
                </c:pt>
                <c:pt idx="428">
                  <c:v>1.2787185033910617</c:v>
                </c:pt>
                <c:pt idx="429">
                  <c:v>1.2786898256456602</c:v>
                </c:pt>
                <c:pt idx="430">
                  <c:v>1.2786611482534678</c:v>
                </c:pt>
                <c:pt idx="431">
                  <c:v>1.2786324712144861</c:v>
                </c:pt>
                <c:pt idx="432">
                  <c:v>1.278603794528701</c:v>
                </c:pt>
                <c:pt idx="433">
                  <c:v>1.2785751181961089</c:v>
                </c:pt>
                <c:pt idx="434">
                  <c:v>1.2785464422167188</c:v>
                </c:pt>
                <c:pt idx="435">
                  <c:v>1.2785177665905163</c:v>
                </c:pt>
                <c:pt idx="436">
                  <c:v>1.2784890913175087</c:v>
                </c:pt>
                <c:pt idx="437">
                  <c:v>1.2784604163976905</c:v>
                </c:pt>
                <c:pt idx="438">
                  <c:v>1.2784317418310618</c:v>
                </c:pt>
                <c:pt idx="439">
                  <c:v>1.2784030676176119</c:v>
                </c:pt>
                <c:pt idx="440">
                  <c:v>1.2783743937573462</c:v>
                </c:pt>
                <c:pt idx="441">
                  <c:v>1.2783457202502664</c:v>
                </c:pt>
                <c:pt idx="442">
                  <c:v>1.2783170470963583</c:v>
                </c:pt>
                <c:pt idx="443">
                  <c:v>1.2782883742956237</c:v>
                </c:pt>
                <c:pt idx="444">
                  <c:v>1.2782597018480661</c:v>
                </c:pt>
                <c:pt idx="445">
                  <c:v>1.2782310297536803</c:v>
                </c:pt>
                <c:pt idx="446">
                  <c:v>1.2782023580124608</c:v>
                </c:pt>
                <c:pt idx="447">
                  <c:v>1.2781736866244078</c:v>
                </c:pt>
                <c:pt idx="448">
                  <c:v>1.2781450155895175</c:v>
                </c:pt>
                <c:pt idx="449">
                  <c:v>1.2781163449077901</c:v>
                </c:pt>
                <c:pt idx="450">
                  <c:v>1.2780876745792291</c:v>
                </c:pt>
                <c:pt idx="451">
                  <c:v>1.2780590046038185</c:v>
                </c:pt>
                <c:pt idx="452">
                  <c:v>1.2780303349815636</c:v>
                </c:pt>
                <c:pt idx="453">
                  <c:v>1.2780016657124627</c:v>
                </c:pt>
                <c:pt idx="454">
                  <c:v>1.2779729967965103</c:v>
                </c:pt>
                <c:pt idx="455">
                  <c:v>1.2779443282337102</c:v>
                </c:pt>
                <c:pt idx="456">
                  <c:v>1.2779156600240569</c:v>
                </c:pt>
                <c:pt idx="457">
                  <c:v>1.2778869921675433</c:v>
                </c:pt>
                <c:pt idx="458">
                  <c:v>1.277858324664173</c:v>
                </c:pt>
                <c:pt idx="459">
                  <c:v>1.2778296575139461</c:v>
                </c:pt>
                <c:pt idx="460">
                  <c:v>1.2778009907168553</c:v>
                </c:pt>
                <c:pt idx="461">
                  <c:v>1.2777723242728918</c:v>
                </c:pt>
                <c:pt idx="462">
                  <c:v>1.277743658182068</c:v>
                </c:pt>
                <c:pt idx="463">
                  <c:v>1.2777149924443698</c:v>
                </c:pt>
                <c:pt idx="464">
                  <c:v>1.2776863270598042</c:v>
                </c:pt>
                <c:pt idx="465">
                  <c:v>1.2776576620283588</c:v>
                </c:pt>
                <c:pt idx="466">
                  <c:v>1.2776289973500408</c:v>
                </c:pt>
                <c:pt idx="467">
                  <c:v>1.2776003330248482</c:v>
                </c:pt>
                <c:pt idx="468">
                  <c:v>1.277571669052767</c:v>
                </c:pt>
                <c:pt idx="469">
                  <c:v>1.2775430054338042</c:v>
                </c:pt>
                <c:pt idx="470">
                  <c:v>1.277514342167958</c:v>
                </c:pt>
                <c:pt idx="471">
                  <c:v>1.2774856792552267</c:v>
                </c:pt>
                <c:pt idx="472">
                  <c:v>1.2774570166956032</c:v>
                </c:pt>
                <c:pt idx="473">
                  <c:v>1.2774283544890856</c:v>
                </c:pt>
                <c:pt idx="474">
                  <c:v>1.2773996926356723</c:v>
                </c:pt>
                <c:pt idx="475">
                  <c:v>1.2773710311353632</c:v>
                </c:pt>
                <c:pt idx="476">
                  <c:v>1.2773423699881565</c:v>
                </c:pt>
                <c:pt idx="477">
                  <c:v>1.2773137091940505</c:v>
                </c:pt>
                <c:pt idx="478">
                  <c:v>1.2772850487530381</c:v>
                </c:pt>
                <c:pt idx="479">
                  <c:v>1.2772563886651174</c:v>
                </c:pt>
                <c:pt idx="480">
                  <c:v>1.277227728930292</c:v>
                </c:pt>
                <c:pt idx="481">
                  <c:v>1.2771990695485567</c:v>
                </c:pt>
                <c:pt idx="482">
                  <c:v>1.277170410519906</c:v>
                </c:pt>
                <c:pt idx="483">
                  <c:v>1.2771417518443471</c:v>
                </c:pt>
                <c:pt idx="484">
                  <c:v>1.2771130935218657</c:v>
                </c:pt>
                <c:pt idx="485">
                  <c:v>1.277084435552462</c:v>
                </c:pt>
                <c:pt idx="486">
                  <c:v>1.2770557779361411</c:v>
                </c:pt>
                <c:pt idx="487">
                  <c:v>1.2770271206728996</c:v>
                </c:pt>
                <c:pt idx="488">
                  <c:v>1.2769984637627232</c:v>
                </c:pt>
                <c:pt idx="489">
                  <c:v>1.2769698072056244</c:v>
                </c:pt>
                <c:pt idx="490">
                  <c:v>1.276941151001596</c:v>
                </c:pt>
                <c:pt idx="491">
                  <c:v>1.276912495150631</c:v>
                </c:pt>
                <c:pt idx="492">
                  <c:v>1.2768838396527311</c:v>
                </c:pt>
                <c:pt idx="493">
                  <c:v>1.2768551845078946</c:v>
                </c:pt>
                <c:pt idx="494">
                  <c:v>1.2768265297161143</c:v>
                </c:pt>
                <c:pt idx="495">
                  <c:v>1.2767978752773939</c:v>
                </c:pt>
                <c:pt idx="496">
                  <c:v>1.2767692211917296</c:v>
                </c:pt>
                <c:pt idx="497">
                  <c:v>1.2767405674591199</c:v>
                </c:pt>
                <c:pt idx="498">
                  <c:v>1.2767119140795629</c:v>
                </c:pt>
                <c:pt idx="499">
                  <c:v>1.2766832610530496</c:v>
                </c:pt>
                <c:pt idx="500">
                  <c:v>1.2766546083795856</c:v>
                </c:pt>
                <c:pt idx="501">
                  <c:v>1.2766259560591688</c:v>
                </c:pt>
                <c:pt idx="502">
                  <c:v>1.2765973040917906</c:v>
                </c:pt>
                <c:pt idx="503">
                  <c:v>1.2765686524774527</c:v>
                </c:pt>
                <c:pt idx="504">
                  <c:v>1.2765400012161532</c:v>
                </c:pt>
                <c:pt idx="505">
                  <c:v>1.276511350307894</c:v>
                </c:pt>
                <c:pt idx="506">
                  <c:v>1.2764826997526626</c:v>
                </c:pt>
                <c:pt idx="507">
                  <c:v>1.2764540495504608</c:v>
                </c:pt>
                <c:pt idx="508">
                  <c:v>1.2764253997012869</c:v>
                </c:pt>
                <c:pt idx="509">
                  <c:v>1.2763967502051408</c:v>
                </c:pt>
                <c:pt idx="510">
                  <c:v>1.2763681010620243</c:v>
                </c:pt>
                <c:pt idx="511">
                  <c:v>1.2763394522719178</c:v>
                </c:pt>
                <c:pt idx="512">
                  <c:v>1.2763108038348392</c:v>
                </c:pt>
                <c:pt idx="513">
                  <c:v>1.276282155750776</c:v>
                </c:pt>
                <c:pt idx="514">
                  <c:v>1.2762535080197317</c:v>
                </c:pt>
                <c:pt idx="515">
                  <c:v>1.2762248606416957</c:v>
                </c:pt>
                <c:pt idx="516">
                  <c:v>1.276196213616668</c:v>
                </c:pt>
                <c:pt idx="517">
                  <c:v>1.2761675669446504</c:v>
                </c:pt>
                <c:pt idx="518">
                  <c:v>1.2761389206256446</c:v>
                </c:pt>
                <c:pt idx="519">
                  <c:v>1.2761102746596347</c:v>
                </c:pt>
                <c:pt idx="520">
                  <c:v>1.2760816290466295</c:v>
                </c:pt>
                <c:pt idx="521">
                  <c:v>1.2760529837866219</c:v>
                </c:pt>
                <c:pt idx="522">
                  <c:v>1.2760243388796155</c:v>
                </c:pt>
                <c:pt idx="523">
                  <c:v>1.2759956943255979</c:v>
                </c:pt>
                <c:pt idx="524">
                  <c:v>1.2759670501245726</c:v>
                </c:pt>
                <c:pt idx="525">
                  <c:v>1.2759384062765395</c:v>
                </c:pt>
                <c:pt idx="526">
                  <c:v>1.2759097627814935</c:v>
                </c:pt>
                <c:pt idx="527">
                  <c:v>1.275881119639438</c:v>
                </c:pt>
                <c:pt idx="528">
                  <c:v>1.2758524768503641</c:v>
                </c:pt>
                <c:pt idx="529">
                  <c:v>1.2758238344142629</c:v>
                </c:pt>
                <c:pt idx="530">
                  <c:v>1.2757951923311452</c:v>
                </c:pt>
                <c:pt idx="531">
                  <c:v>1.2757665506010092</c:v>
                </c:pt>
                <c:pt idx="532">
                  <c:v>1.2757379092238423</c:v>
                </c:pt>
                <c:pt idx="533">
                  <c:v>1.2757092681996447</c:v>
                </c:pt>
                <c:pt idx="534">
                  <c:v>1.2756806275284216</c:v>
                </c:pt>
                <c:pt idx="535">
                  <c:v>1.2756519872101642</c:v>
                </c:pt>
                <c:pt idx="536">
                  <c:v>1.2756233472448724</c:v>
                </c:pt>
                <c:pt idx="537">
                  <c:v>1.2755947076325409</c:v>
                </c:pt>
                <c:pt idx="538">
                  <c:v>1.2755660683731769</c:v>
                </c:pt>
                <c:pt idx="539">
                  <c:v>1.2755374294667678</c:v>
                </c:pt>
                <c:pt idx="540">
                  <c:v>1.275508790913312</c:v>
                </c:pt>
                <c:pt idx="541">
                  <c:v>1.2754801527128148</c:v>
                </c:pt>
                <c:pt idx="542">
                  <c:v>1.2754515148652654</c:v>
                </c:pt>
                <c:pt idx="543">
                  <c:v>1.2754228773706711</c:v>
                </c:pt>
                <c:pt idx="544">
                  <c:v>1.2753942402290175</c:v>
                </c:pt>
                <c:pt idx="545">
                  <c:v>1.2753656034403118</c:v>
                </c:pt>
                <c:pt idx="546">
                  <c:v>1.2753369670045505</c:v>
                </c:pt>
                <c:pt idx="547">
                  <c:v>1.2753083309217264</c:v>
                </c:pt>
                <c:pt idx="548">
                  <c:v>1.2752796951918395</c:v>
                </c:pt>
                <c:pt idx="549">
                  <c:v>1.2752510598148898</c:v>
                </c:pt>
                <c:pt idx="550">
                  <c:v>1.2752224247908757</c:v>
                </c:pt>
                <c:pt idx="551">
                  <c:v>1.2751937901197845</c:v>
                </c:pt>
                <c:pt idx="552">
                  <c:v>1.2751651558016306</c:v>
                </c:pt>
                <c:pt idx="553">
                  <c:v>1.2751365218364015</c:v>
                </c:pt>
                <c:pt idx="554">
                  <c:v>1.2751078882240918</c:v>
                </c:pt>
                <c:pt idx="555">
                  <c:v>1.2750792549647088</c:v>
                </c:pt>
                <c:pt idx="556">
                  <c:v>1.2750506220582452</c:v>
                </c:pt>
                <c:pt idx="557">
                  <c:v>1.2750219895046975</c:v>
                </c:pt>
                <c:pt idx="558">
                  <c:v>1.2749933573040675</c:v>
                </c:pt>
                <c:pt idx="559">
                  <c:v>1.2749647254563481</c:v>
                </c:pt>
                <c:pt idx="560">
                  <c:v>1.2749360939615411</c:v>
                </c:pt>
                <c:pt idx="561">
                  <c:v>1.2749074628196428</c:v>
                </c:pt>
                <c:pt idx="562">
                  <c:v>1.2748788320306517</c:v>
                </c:pt>
                <c:pt idx="563">
                  <c:v>1.2748502015945622</c:v>
                </c:pt>
                <c:pt idx="564">
                  <c:v>1.2748215715113727</c:v>
                </c:pt>
                <c:pt idx="565">
                  <c:v>1.2747929417810866</c:v>
                </c:pt>
                <c:pt idx="566">
                  <c:v>1.2747643124036969</c:v>
                </c:pt>
                <c:pt idx="567">
                  <c:v>1.2747356833792036</c:v>
                </c:pt>
                <c:pt idx="568">
                  <c:v>1.2747070547076031</c:v>
                </c:pt>
                <c:pt idx="569">
                  <c:v>1.2746784263888937</c:v>
                </c:pt>
                <c:pt idx="570">
                  <c:v>1.2746497984230665</c:v>
                </c:pt>
                <c:pt idx="571">
                  <c:v>1.274621170810132</c:v>
                </c:pt>
                <c:pt idx="572">
                  <c:v>1.2745925435500745</c:v>
                </c:pt>
                <c:pt idx="573">
                  <c:v>1.2745639166429044</c:v>
                </c:pt>
                <c:pt idx="574">
                  <c:v>1.2745352900886129</c:v>
                </c:pt>
                <c:pt idx="575">
                  <c:v>1.2745066638871947</c:v>
                </c:pt>
                <c:pt idx="576">
                  <c:v>1.2744780380386569</c:v>
                </c:pt>
                <c:pt idx="577">
                  <c:v>1.274449412542987</c:v>
                </c:pt>
                <c:pt idx="578">
                  <c:v>1.2744207874001852</c:v>
                </c:pt>
                <c:pt idx="579">
                  <c:v>1.274392162610253</c:v>
                </c:pt>
                <c:pt idx="580">
                  <c:v>1.2743635381731835</c:v>
                </c:pt>
                <c:pt idx="581">
                  <c:v>1.2743349140889784</c:v>
                </c:pt>
                <c:pt idx="582">
                  <c:v>1.274306290357643</c:v>
                </c:pt>
                <c:pt idx="583">
                  <c:v>1.274277666979156</c:v>
                </c:pt>
                <c:pt idx="584">
                  <c:v>1.2742490439535263</c:v>
                </c:pt>
                <c:pt idx="585">
                  <c:v>1.2742204212807504</c:v>
                </c:pt>
                <c:pt idx="586">
                  <c:v>1.27419179896083</c:v>
                </c:pt>
                <c:pt idx="587">
                  <c:v>1.2741631769937563</c:v>
                </c:pt>
                <c:pt idx="588">
                  <c:v>1.2741345553795327</c:v>
                </c:pt>
                <c:pt idx="589">
                  <c:v>1.274105934118154</c:v>
                </c:pt>
                <c:pt idx="590">
                  <c:v>1.2740773132096184</c:v>
                </c:pt>
                <c:pt idx="591">
                  <c:v>1.2740486926539205</c:v>
                </c:pt>
                <c:pt idx="592">
                  <c:v>1.274020072451064</c:v>
                </c:pt>
                <c:pt idx="593">
                  <c:v>1.2739914526010416</c:v>
                </c:pt>
                <c:pt idx="594">
                  <c:v>1.2739628331038535</c:v>
                </c:pt>
                <c:pt idx="595">
                  <c:v>1.2739342139594942</c:v>
                </c:pt>
                <c:pt idx="596">
                  <c:v>1.2739055951679727</c:v>
                </c:pt>
                <c:pt idx="597">
                  <c:v>1.273876976729273</c:v>
                </c:pt>
                <c:pt idx="598">
                  <c:v>1.2738483586433968</c:v>
                </c:pt>
                <c:pt idx="599">
                  <c:v>1.2738197409103424</c:v>
                </c:pt>
                <c:pt idx="600">
                  <c:v>1.2737911235301098</c:v>
                </c:pt>
                <c:pt idx="601">
                  <c:v>1.2737625065026918</c:v>
                </c:pt>
                <c:pt idx="602">
                  <c:v>1.2737338898280974</c:v>
                </c:pt>
                <c:pt idx="603">
                  <c:v>1.273705273506307</c:v>
                </c:pt>
                <c:pt idx="604">
                  <c:v>1.2736766575373348</c:v>
                </c:pt>
                <c:pt idx="605">
                  <c:v>1.2736480419211667</c:v>
                </c:pt>
                <c:pt idx="606">
                  <c:v>1.2736194266578078</c:v>
                </c:pt>
                <c:pt idx="607">
                  <c:v>1.2735908117472547</c:v>
                </c:pt>
                <c:pt idx="608">
                  <c:v>1.2735621971894986</c:v>
                </c:pt>
                <c:pt idx="609">
                  <c:v>1.2735335829845447</c:v>
                </c:pt>
                <c:pt idx="610">
                  <c:v>1.2735049691323894</c:v>
                </c:pt>
                <c:pt idx="611">
                  <c:v>1.2734763556330275</c:v>
                </c:pt>
                <c:pt idx="612">
                  <c:v>1.2734477424864608</c:v>
                </c:pt>
                <c:pt idx="613">
                  <c:v>1.273419129692682</c:v>
                </c:pt>
                <c:pt idx="614">
                  <c:v>1.2733905172516966</c:v>
                </c:pt>
                <c:pt idx="615">
                  <c:v>1.2733619051634921</c:v>
                </c:pt>
                <c:pt idx="616">
                  <c:v>1.2733332934280721</c:v>
                </c:pt>
                <c:pt idx="617">
                  <c:v>1.2733046820454348</c:v>
                </c:pt>
                <c:pt idx="618">
                  <c:v>1.2732760710155748</c:v>
                </c:pt>
                <c:pt idx="619">
                  <c:v>1.2732474603384958</c:v>
                </c:pt>
                <c:pt idx="620">
                  <c:v>1.2732188500141923</c:v>
                </c:pt>
                <c:pt idx="621">
                  <c:v>1.2731902400426556</c:v>
                </c:pt>
                <c:pt idx="622">
                  <c:v>1.2731616304238926</c:v>
                </c:pt>
                <c:pt idx="623">
                  <c:v>1.2731330211578982</c:v>
                </c:pt>
                <c:pt idx="624">
                  <c:v>1.2731044122446704</c:v>
                </c:pt>
                <c:pt idx="625">
                  <c:v>1.273075803684204</c:v>
                </c:pt>
                <c:pt idx="626">
                  <c:v>1.273047195476499</c:v>
                </c:pt>
                <c:pt idx="627">
                  <c:v>1.2730185876215536</c:v>
                </c:pt>
                <c:pt idx="628">
                  <c:v>1.2729899801193625</c:v>
                </c:pt>
                <c:pt idx="629">
                  <c:v>1.2729613729699256</c:v>
                </c:pt>
                <c:pt idx="630">
                  <c:v>1.2729327661732448</c:v>
                </c:pt>
                <c:pt idx="631">
                  <c:v>1.2729041597293165</c:v>
                </c:pt>
                <c:pt idx="632">
                  <c:v>1.2728755536381282</c:v>
                </c:pt>
                <c:pt idx="633">
                  <c:v>1.2728469478996889</c:v>
                </c:pt>
                <c:pt idx="634">
                  <c:v>1.2728183425139914</c:v>
                </c:pt>
                <c:pt idx="635">
                  <c:v>1.2727897374810322</c:v>
                </c:pt>
                <c:pt idx="636">
                  <c:v>1.2727611328008148</c:v>
                </c:pt>
                <c:pt idx="637">
                  <c:v>1.2727325284733357</c:v>
                </c:pt>
                <c:pt idx="638">
                  <c:v>1.272703924498586</c:v>
                </c:pt>
                <c:pt idx="639">
                  <c:v>1.2726753208765729</c:v>
                </c:pt>
                <c:pt idx="640">
                  <c:v>1.2726467176072802</c:v>
                </c:pt>
                <c:pt idx="641">
                  <c:v>1.2726181146907223</c:v>
                </c:pt>
                <c:pt idx="642">
                  <c:v>1.2725895121268884</c:v>
                </c:pt>
                <c:pt idx="643">
                  <c:v>1.2725609099157804</c:v>
                </c:pt>
                <c:pt idx="644">
                  <c:v>1.2725323080573894</c:v>
                </c:pt>
                <c:pt idx="645">
                  <c:v>1.2725037065517153</c:v>
                </c:pt>
                <c:pt idx="646">
                  <c:v>1.2724751053987582</c:v>
                </c:pt>
                <c:pt idx="647">
                  <c:v>1.2724465045985163</c:v>
                </c:pt>
                <c:pt idx="648">
                  <c:v>1.2724179041509824</c:v>
                </c:pt>
                <c:pt idx="649">
                  <c:v>1.2723893040561585</c:v>
                </c:pt>
                <c:pt idx="650">
                  <c:v>1.2723607043140444</c:v>
                </c:pt>
                <c:pt idx="651">
                  <c:v>1.2723321049246312</c:v>
                </c:pt>
                <c:pt idx="652">
                  <c:v>1.2723035058879191</c:v>
                </c:pt>
                <c:pt idx="653">
                  <c:v>1.2722749072039097</c:v>
                </c:pt>
                <c:pt idx="654">
                  <c:v>1.2722463088726013</c:v>
                </c:pt>
                <c:pt idx="655">
                  <c:v>1.2722177108939814</c:v>
                </c:pt>
                <c:pt idx="656">
                  <c:v>1.2721891132680589</c:v>
                </c:pt>
                <c:pt idx="657">
                  <c:v>1.2721605159948268</c:v>
                </c:pt>
                <c:pt idx="658">
                  <c:v>1.2721319190742815</c:v>
                </c:pt>
                <c:pt idx="659">
                  <c:v>1.2721033225064229</c:v>
                </c:pt>
                <c:pt idx="660">
                  <c:v>1.2720747262912511</c:v>
                </c:pt>
                <c:pt idx="661">
                  <c:v>1.2720461304287589</c:v>
                </c:pt>
                <c:pt idx="662">
                  <c:v>1.2720175349189411</c:v>
                </c:pt>
                <c:pt idx="663">
                  <c:v>1.2719889397618118</c:v>
                </c:pt>
                <c:pt idx="664">
                  <c:v>1.2719603449573498</c:v>
                </c:pt>
                <c:pt idx="665">
                  <c:v>1.2719317505055656</c:v>
                </c:pt>
                <c:pt idx="666">
                  <c:v>1.2719031564064451</c:v>
                </c:pt>
                <c:pt idx="667">
                  <c:v>1.2718745626599954</c:v>
                </c:pt>
                <c:pt idx="668">
                  <c:v>1.271845969266213</c:v>
                </c:pt>
                <c:pt idx="669">
                  <c:v>1.2718173762250942</c:v>
                </c:pt>
                <c:pt idx="670">
                  <c:v>1.2717887835366337</c:v>
                </c:pt>
                <c:pt idx="671">
                  <c:v>1.2717601912008316</c:v>
                </c:pt>
                <c:pt idx="672">
                  <c:v>1.2717315992176932</c:v>
                </c:pt>
                <c:pt idx="673">
                  <c:v>1.271703007587206</c:v>
                </c:pt>
                <c:pt idx="674">
                  <c:v>1.2716744163093665</c:v>
                </c:pt>
                <c:pt idx="675">
                  <c:v>1.2716458253841818</c:v>
                </c:pt>
                <c:pt idx="676">
                  <c:v>1.2716172348116395</c:v>
                </c:pt>
                <c:pt idx="677">
                  <c:v>1.2715886445917519</c:v>
                </c:pt>
                <c:pt idx="678">
                  <c:v>1.2715600547245032</c:v>
                </c:pt>
                <c:pt idx="679">
                  <c:v>1.2715314652098932</c:v>
                </c:pt>
                <c:pt idx="680">
                  <c:v>1.2715028760479186</c:v>
                </c:pt>
                <c:pt idx="681">
                  <c:v>1.271474287238588</c:v>
                </c:pt>
                <c:pt idx="682">
                  <c:v>1.2714456987818874</c:v>
                </c:pt>
                <c:pt idx="683">
                  <c:v>1.271417110677822</c:v>
                </c:pt>
                <c:pt idx="684">
                  <c:v>1.271388522926383</c:v>
                </c:pt>
                <c:pt idx="685">
                  <c:v>1.2713599355275758</c:v>
                </c:pt>
                <c:pt idx="686">
                  <c:v>1.2713313484813877</c:v>
                </c:pt>
                <c:pt idx="687">
                  <c:v>1.2713027617878243</c:v>
                </c:pt>
                <c:pt idx="688">
                  <c:v>1.2712741754468802</c:v>
                </c:pt>
                <c:pt idx="689">
                  <c:v>1.2712455894585553</c:v>
                </c:pt>
                <c:pt idx="690">
                  <c:v>1.2712170038228496</c:v>
                </c:pt>
                <c:pt idx="691">
                  <c:v>1.2711884185397544</c:v>
                </c:pt>
                <c:pt idx="692">
                  <c:v>1.2711598336092695</c:v>
                </c:pt>
                <c:pt idx="693">
                  <c:v>1.2711312490313986</c:v>
                </c:pt>
                <c:pt idx="694">
                  <c:v>1.271102664806131</c:v>
                </c:pt>
                <c:pt idx="695">
                  <c:v>1.2710740809334666</c:v>
                </c:pt>
                <c:pt idx="696">
                  <c:v>1.2710454974134109</c:v>
                </c:pt>
                <c:pt idx="697">
                  <c:v>1.2710169142459478</c:v>
                </c:pt>
                <c:pt idx="698">
                  <c:v>1.2709883314310826</c:v>
                </c:pt>
                <c:pt idx="699">
                  <c:v>1.2709597489688189</c:v>
                </c:pt>
                <c:pt idx="700">
                  <c:v>1.2709311668591408</c:v>
                </c:pt>
                <c:pt idx="701">
                  <c:v>1.2709025851020623</c:v>
                </c:pt>
                <c:pt idx="702">
                  <c:v>1.2708740036975676</c:v>
                </c:pt>
                <c:pt idx="703">
                  <c:v>1.2708454226456638</c:v>
                </c:pt>
                <c:pt idx="704">
                  <c:v>1.2708168419463366</c:v>
                </c:pt>
                <c:pt idx="705">
                  <c:v>1.2707882615995985</c:v>
                </c:pt>
                <c:pt idx="706">
                  <c:v>1.2707596816054334</c:v>
                </c:pt>
                <c:pt idx="707">
                  <c:v>1.2707311019638485</c:v>
                </c:pt>
                <c:pt idx="708">
                  <c:v>1.2707025226748421</c:v>
                </c:pt>
                <c:pt idx="709">
                  <c:v>1.2706739437383998</c:v>
                </c:pt>
                <c:pt idx="710">
                  <c:v>1.270645365154536</c:v>
                </c:pt>
                <c:pt idx="711">
                  <c:v>1.2706167869232363</c:v>
                </c:pt>
                <c:pt idx="712">
                  <c:v>1.2705882090445044</c:v>
                </c:pt>
                <c:pt idx="713">
                  <c:v>1.270559631518335</c:v>
                </c:pt>
                <c:pt idx="714">
                  <c:v>1.2705310543447261</c:v>
                </c:pt>
                <c:pt idx="715">
                  <c:v>1.270502477523678</c:v>
                </c:pt>
                <c:pt idx="716">
                  <c:v>1.2704739010551886</c:v>
                </c:pt>
                <c:pt idx="717">
                  <c:v>1.2704453249392493</c:v>
                </c:pt>
                <c:pt idx="718">
                  <c:v>1.2704167491758653</c:v>
                </c:pt>
                <c:pt idx="719">
                  <c:v>1.2703881737650313</c:v>
                </c:pt>
                <c:pt idx="720">
                  <c:v>1.270359598706742</c:v>
                </c:pt>
                <c:pt idx="721">
                  <c:v>1.2703310240010008</c:v>
                </c:pt>
                <c:pt idx="722">
                  <c:v>1.2703024496478061</c:v>
                </c:pt>
                <c:pt idx="723">
                  <c:v>1.2702738756471526</c:v>
                </c:pt>
                <c:pt idx="724">
                  <c:v>1.2702453019990294</c:v>
                </c:pt>
                <c:pt idx="725">
                  <c:v>1.2702167287034474</c:v>
                </c:pt>
                <c:pt idx="726">
                  <c:v>1.2701881557603976</c:v>
                </c:pt>
                <c:pt idx="727">
                  <c:v>1.2701595831698835</c:v>
                </c:pt>
                <c:pt idx="728">
                  <c:v>1.2701310109318964</c:v>
                </c:pt>
                <c:pt idx="729">
                  <c:v>1.2701024390464397</c:v>
                </c:pt>
                <c:pt idx="730">
                  <c:v>1.2700738675135046</c:v>
                </c:pt>
                <c:pt idx="731">
                  <c:v>1.2700452963330946</c:v>
                </c:pt>
                <c:pt idx="732">
                  <c:v>1.2700167255051973</c:v>
                </c:pt>
                <c:pt idx="733">
                  <c:v>1.2699881550298269</c:v>
                </c:pt>
                <c:pt idx="734">
                  <c:v>1.2699595849069691</c:v>
                </c:pt>
                <c:pt idx="735">
                  <c:v>1.2699310151366294</c:v>
                </c:pt>
                <c:pt idx="736">
                  <c:v>1.2699024457188006</c:v>
                </c:pt>
                <c:pt idx="737">
                  <c:v>1.2698738766534738</c:v>
                </c:pt>
                <c:pt idx="738">
                  <c:v>1.2698453079406615</c:v>
                </c:pt>
                <c:pt idx="739">
                  <c:v>1.2698167395803512</c:v>
                </c:pt>
                <c:pt idx="740">
                  <c:v>1.2697881715725376</c:v>
                </c:pt>
                <c:pt idx="741">
                  <c:v>1.269759603917235</c:v>
                </c:pt>
                <c:pt idx="742">
                  <c:v>1.2697310366144201</c:v>
                </c:pt>
                <c:pt idx="743">
                  <c:v>1.2697024696641002</c:v>
                </c:pt>
                <c:pt idx="744">
                  <c:v>1.2696739030662823</c:v>
                </c:pt>
                <c:pt idx="745">
                  <c:v>1.2696453368209504</c:v>
                </c:pt>
                <c:pt idx="746">
                  <c:v>1.2696167709281116</c:v>
                </c:pt>
                <c:pt idx="747">
                  <c:v>1.2695882053877536</c:v>
                </c:pt>
                <c:pt idx="748">
                  <c:v>1.2695596401998781</c:v>
                </c:pt>
                <c:pt idx="749">
                  <c:v>1.2695310753644904</c:v>
                </c:pt>
                <c:pt idx="750">
                  <c:v>1.2695025108815781</c:v>
                </c:pt>
                <c:pt idx="751">
                  <c:v>1.2694739467511464</c:v>
                </c:pt>
                <c:pt idx="752">
                  <c:v>1.2694453829731867</c:v>
                </c:pt>
                <c:pt idx="753">
                  <c:v>1.2694168195477022</c:v>
                </c:pt>
                <c:pt idx="754">
                  <c:v>1.2693882564746897</c:v>
                </c:pt>
                <c:pt idx="755">
                  <c:v>1.2693596937541418</c:v>
                </c:pt>
                <c:pt idx="756">
                  <c:v>1.2693311313860622</c:v>
                </c:pt>
                <c:pt idx="757">
                  <c:v>1.2693025693704456</c:v>
                </c:pt>
                <c:pt idx="758">
                  <c:v>1.2692740077072884</c:v>
                </c:pt>
                <c:pt idx="759">
                  <c:v>1.2692454463965959</c:v>
                </c:pt>
                <c:pt idx="760">
                  <c:v>1.2692168854383521</c:v>
                </c:pt>
                <c:pt idx="761">
                  <c:v>1.2691883248325624</c:v>
                </c:pt>
                <c:pt idx="762">
                  <c:v>1.2691597645792321</c:v>
                </c:pt>
                <c:pt idx="763">
                  <c:v>1.2691312046783487</c:v>
                </c:pt>
                <c:pt idx="764">
                  <c:v>1.2691026451299141</c:v>
                </c:pt>
                <c:pt idx="765">
                  <c:v>1.2690740859339282</c:v>
                </c:pt>
                <c:pt idx="766">
                  <c:v>1.2690455270903822</c:v>
                </c:pt>
                <c:pt idx="767">
                  <c:v>1.2690169685992725</c:v>
                </c:pt>
                <c:pt idx="768">
                  <c:v>1.268988410460608</c:v>
                </c:pt>
                <c:pt idx="769">
                  <c:v>1.2689598526743744</c:v>
                </c:pt>
                <c:pt idx="770">
                  <c:v>1.2689312952405789</c:v>
                </c:pt>
                <c:pt idx="771">
                  <c:v>1.2689027381592162</c:v>
                </c:pt>
                <c:pt idx="772">
                  <c:v>1.2688741814302809</c:v>
                </c:pt>
                <c:pt idx="773">
                  <c:v>1.2688456250537712</c:v>
                </c:pt>
                <c:pt idx="774">
                  <c:v>1.2688170690296872</c:v>
                </c:pt>
                <c:pt idx="775">
                  <c:v>1.268788513358027</c:v>
                </c:pt>
                <c:pt idx="776">
                  <c:v>1.2687599580387907</c:v>
                </c:pt>
                <c:pt idx="777">
                  <c:v>1.2687314030719659</c:v>
                </c:pt>
                <c:pt idx="778">
                  <c:v>1.268702848457556</c:v>
                </c:pt>
                <c:pt idx="779">
                  <c:v>1.2686742941955664</c:v>
                </c:pt>
                <c:pt idx="780">
                  <c:v>1.2686457402859865</c:v>
                </c:pt>
                <c:pt idx="781">
                  <c:v>1.2686171867288127</c:v>
                </c:pt>
                <c:pt idx="782">
                  <c:v>1.2685886335240504</c:v>
                </c:pt>
                <c:pt idx="783">
                  <c:v>1.2685600806716852</c:v>
                </c:pt>
                <c:pt idx="784">
                  <c:v>1.2685315281717315</c:v>
                </c:pt>
                <c:pt idx="785">
                  <c:v>1.2685029760241751</c:v>
                </c:pt>
                <c:pt idx="786">
                  <c:v>1.2684744242290105</c:v>
                </c:pt>
                <c:pt idx="787">
                  <c:v>1.2684458727862413</c:v>
                </c:pt>
                <c:pt idx="788">
                  <c:v>1.2684173216958712</c:v>
                </c:pt>
                <c:pt idx="789">
                  <c:v>1.2683887709578876</c:v>
                </c:pt>
                <c:pt idx="790">
                  <c:v>1.2683602205722995</c:v>
                </c:pt>
                <c:pt idx="791">
                  <c:v>1.2683316705390926</c:v>
                </c:pt>
                <c:pt idx="792">
                  <c:v>1.2683031208582669</c:v>
                </c:pt>
                <c:pt idx="793">
                  <c:v>1.2682745715298314</c:v>
                </c:pt>
                <c:pt idx="794">
                  <c:v>1.2682460225537682</c:v>
                </c:pt>
                <c:pt idx="795">
                  <c:v>1.2682174739300809</c:v>
                </c:pt>
                <c:pt idx="796">
                  <c:v>1.2681889256587748</c:v>
                </c:pt>
                <c:pt idx="797">
                  <c:v>1.2681603777398376</c:v>
                </c:pt>
                <c:pt idx="798">
                  <c:v>1.2681318301732727</c:v>
                </c:pt>
                <c:pt idx="799">
                  <c:v>1.2681032829590748</c:v>
                </c:pt>
                <c:pt idx="800">
                  <c:v>1.2680747360972404</c:v>
                </c:pt>
                <c:pt idx="801">
                  <c:v>1.268046189587773</c:v>
                </c:pt>
                <c:pt idx="802">
                  <c:v>1.2680176434306674</c:v>
                </c:pt>
                <c:pt idx="803">
                  <c:v>1.2679890976259216</c:v>
                </c:pt>
                <c:pt idx="804">
                  <c:v>1.2679605521735304</c:v>
                </c:pt>
                <c:pt idx="805">
                  <c:v>1.2679320070734938</c:v>
                </c:pt>
                <c:pt idx="806">
                  <c:v>1.2679034623258065</c:v>
                </c:pt>
                <c:pt idx="807">
                  <c:v>1.2678749179304685</c:v>
                </c:pt>
                <c:pt idx="808">
                  <c:v>1.267846373887485</c:v>
                </c:pt>
                <c:pt idx="809">
                  <c:v>1.2678178301968401</c:v>
                </c:pt>
                <c:pt idx="810">
                  <c:v>1.2677892868585374</c:v>
                </c:pt>
                <c:pt idx="811">
                  <c:v>1.2677607438725804</c:v>
                </c:pt>
                <c:pt idx="812">
                  <c:v>1.2677322012389638</c:v>
                </c:pt>
                <c:pt idx="813">
                  <c:v>1.2677036589576822</c:v>
                </c:pt>
                <c:pt idx="814">
                  <c:v>1.2676751170287304</c:v>
                </c:pt>
                <c:pt idx="815">
                  <c:v>1.2676465754521118</c:v>
                </c:pt>
                <c:pt idx="816">
                  <c:v>1.2676180342278247</c:v>
                </c:pt>
                <c:pt idx="817">
                  <c:v>1.2675894933558638</c:v>
                </c:pt>
                <c:pt idx="818">
                  <c:v>1.267560952836229</c:v>
                </c:pt>
                <c:pt idx="819">
                  <c:v>1.2675324126689116</c:v>
                </c:pt>
                <c:pt idx="820">
                  <c:v>1.2675038728539203</c:v>
                </c:pt>
                <c:pt idx="821">
                  <c:v>1.2674753333912463</c:v>
                </c:pt>
                <c:pt idx="822">
                  <c:v>1.2674467942808878</c:v>
                </c:pt>
                <c:pt idx="823">
                  <c:v>1.2674182555228395</c:v>
                </c:pt>
                <c:pt idx="824">
                  <c:v>1.2673897171171067</c:v>
                </c:pt>
                <c:pt idx="825">
                  <c:v>1.2673611790636805</c:v>
                </c:pt>
                <c:pt idx="826">
                  <c:v>1.267332641362561</c:v>
                </c:pt>
                <c:pt idx="827">
                  <c:v>1.2673041040137445</c:v>
                </c:pt>
                <c:pt idx="828">
                  <c:v>1.2672755670172311</c:v>
                </c:pt>
                <c:pt idx="829">
                  <c:v>1.267247030373019</c:v>
                </c:pt>
                <c:pt idx="830">
                  <c:v>1.2672184940811047</c:v>
                </c:pt>
                <c:pt idx="831">
                  <c:v>1.2671899581414827</c:v>
                </c:pt>
                <c:pt idx="832">
                  <c:v>1.2671614225541585</c:v>
                </c:pt>
                <c:pt idx="833">
                  <c:v>1.2671328873191179</c:v>
                </c:pt>
                <c:pt idx="834">
                  <c:v>1.2671043524363714</c:v>
                </c:pt>
                <c:pt idx="835">
                  <c:v>1.267075817905905</c:v>
                </c:pt>
                <c:pt idx="836">
                  <c:v>1.2670472837277291</c:v>
                </c:pt>
                <c:pt idx="837">
                  <c:v>1.2670187499018333</c:v>
                </c:pt>
                <c:pt idx="838">
                  <c:v>1.2669902164282121</c:v>
                </c:pt>
                <c:pt idx="839">
                  <c:v>1.2669616833068762</c:v>
                </c:pt>
                <c:pt idx="840">
                  <c:v>1.2669331505378079</c:v>
                </c:pt>
                <c:pt idx="841">
                  <c:v>1.2669046181210106</c:v>
                </c:pt>
                <c:pt idx="842">
                  <c:v>1.2668760860564898</c:v>
                </c:pt>
                <c:pt idx="843">
                  <c:v>1.2668475543442366</c:v>
                </c:pt>
                <c:pt idx="844">
                  <c:v>1.2668190229842455</c:v>
                </c:pt>
                <c:pt idx="845">
                  <c:v>1.2667904919765238</c:v>
                </c:pt>
                <c:pt idx="846">
                  <c:v>1.2667619613210555</c:v>
                </c:pt>
                <c:pt idx="847">
                  <c:v>1.2667334310178511</c:v>
                </c:pt>
                <c:pt idx="848">
                  <c:v>1.2667049010669018</c:v>
                </c:pt>
                <c:pt idx="849">
                  <c:v>1.2666763714682077</c:v>
                </c:pt>
                <c:pt idx="850">
                  <c:v>1.2666478422217615</c:v>
                </c:pt>
                <c:pt idx="851">
                  <c:v>1.2666193133275687</c:v>
                </c:pt>
                <c:pt idx="852">
                  <c:v>1.2665907847856204</c:v>
                </c:pt>
                <c:pt idx="853">
                  <c:v>1.26656225659592</c:v>
                </c:pt>
                <c:pt idx="854">
                  <c:v>1.2665337287584624</c:v>
                </c:pt>
                <c:pt idx="855">
                  <c:v>1.2665052012732438</c:v>
                </c:pt>
                <c:pt idx="856">
                  <c:v>1.2664766741402627</c:v>
                </c:pt>
                <c:pt idx="857">
                  <c:v>1.2664481473595188</c:v>
                </c:pt>
                <c:pt idx="858">
                  <c:v>1.2664196209310106</c:v>
                </c:pt>
                <c:pt idx="859">
                  <c:v>1.2663910948547308</c:v>
                </c:pt>
                <c:pt idx="860">
                  <c:v>1.266362569130683</c:v>
                </c:pt>
                <c:pt idx="861">
                  <c:v>1.2663340437588619</c:v>
                </c:pt>
                <c:pt idx="862">
                  <c:v>1.266305518739264</c:v>
                </c:pt>
                <c:pt idx="863">
                  <c:v>1.2662769940718892</c:v>
                </c:pt>
                <c:pt idx="864">
                  <c:v>1.2662484697567322</c:v>
                </c:pt>
                <c:pt idx="865">
                  <c:v>1.2662199457937948</c:v>
                </c:pt>
                <c:pt idx="866">
                  <c:v>1.2661914221830752</c:v>
                </c:pt>
                <c:pt idx="867">
                  <c:v>1.2661628989245681</c:v>
                </c:pt>
                <c:pt idx="868">
                  <c:v>1.2661343760182699</c:v>
                </c:pt>
                <c:pt idx="869">
                  <c:v>1.2661058534641789</c:v>
                </c:pt>
                <c:pt idx="870">
                  <c:v>1.2660773312622915</c:v>
                </c:pt>
                <c:pt idx="871">
                  <c:v>1.266048809412613</c:v>
                </c:pt>
                <c:pt idx="872">
                  <c:v>1.2660202879151345</c:v>
                </c:pt>
                <c:pt idx="873">
                  <c:v>1.2659917667698579</c:v>
                </c:pt>
                <c:pt idx="874">
                  <c:v>1.265963245976776</c:v>
                </c:pt>
                <c:pt idx="875">
                  <c:v>1.2659347255358924</c:v>
                </c:pt>
                <c:pt idx="876">
                  <c:v>1.2659062054472017</c:v>
                </c:pt>
                <c:pt idx="877">
                  <c:v>1.2658776857106968</c:v>
                </c:pt>
                <c:pt idx="878">
                  <c:v>1.2658491663263867</c:v>
                </c:pt>
                <c:pt idx="879">
                  <c:v>1.2658206472942535</c:v>
                </c:pt>
                <c:pt idx="880">
                  <c:v>1.2657921286143079</c:v>
                </c:pt>
                <c:pt idx="881">
                  <c:v>1.2657636102865464</c:v>
                </c:pt>
                <c:pt idx="882">
                  <c:v>1.2657350923109618</c:v>
                </c:pt>
                <c:pt idx="883">
                  <c:v>1.265706574687556</c:v>
                </c:pt>
                <c:pt idx="884">
                  <c:v>1.2656780574163253</c:v>
                </c:pt>
                <c:pt idx="885">
                  <c:v>1.2656495404972627</c:v>
                </c:pt>
                <c:pt idx="886">
                  <c:v>1.26562102393037</c:v>
                </c:pt>
                <c:pt idx="887">
                  <c:v>1.2655925077156454</c:v>
                </c:pt>
                <c:pt idx="888">
                  <c:v>1.2655639918530905</c:v>
                </c:pt>
                <c:pt idx="889">
                  <c:v>1.2655354763426949</c:v>
                </c:pt>
                <c:pt idx="890">
                  <c:v>1.2655069611844567</c:v>
                </c:pt>
                <c:pt idx="891">
                  <c:v>1.2654784463783848</c:v>
                </c:pt>
                <c:pt idx="892">
                  <c:v>1.2654499319244632</c:v>
                </c:pt>
                <c:pt idx="893">
                  <c:v>1.2654214178226955</c:v>
                </c:pt>
                <c:pt idx="894">
                  <c:v>1.2653929040730851</c:v>
                </c:pt>
                <c:pt idx="895">
                  <c:v>1.2653643906756216</c:v>
                </c:pt>
                <c:pt idx="896">
                  <c:v>1.2653358776303012</c:v>
                </c:pt>
                <c:pt idx="897">
                  <c:v>1.2653073649371276</c:v>
                </c:pt>
                <c:pt idx="898">
                  <c:v>1.2652788525961007</c:v>
                </c:pt>
                <c:pt idx="899">
                  <c:v>1.2652503406072118</c:v>
                </c:pt>
                <c:pt idx="900">
                  <c:v>1.2652218289704571</c:v>
                </c:pt>
                <c:pt idx="901">
                  <c:v>1.2651933176858439</c:v>
                </c:pt>
                <c:pt idx="902">
                  <c:v>1.2651648067533596</c:v>
                </c:pt>
                <c:pt idx="903">
                  <c:v>1.2651362961730133</c:v>
                </c:pt>
                <c:pt idx="904">
                  <c:v>1.2651077859447888</c:v>
                </c:pt>
                <c:pt idx="905">
                  <c:v>1.2650792760686915</c:v>
                </c:pt>
                <c:pt idx="906">
                  <c:v>1.2650507665447197</c:v>
                </c:pt>
                <c:pt idx="907">
                  <c:v>1.2650222573728716</c:v>
                </c:pt>
                <c:pt idx="908">
                  <c:v>1.26499374855314</c:v>
                </c:pt>
                <c:pt idx="909">
                  <c:v>1.2649652400855338</c:v>
                </c:pt>
                <c:pt idx="910">
                  <c:v>1.2649367319700353</c:v>
                </c:pt>
                <c:pt idx="911">
                  <c:v>1.2649082242066481</c:v>
                </c:pt>
                <c:pt idx="912">
                  <c:v>1.264879716795372</c:v>
                </c:pt>
                <c:pt idx="913">
                  <c:v>1.2648512097362108</c:v>
                </c:pt>
                <c:pt idx="914">
                  <c:v>1.2648227030291448</c:v>
                </c:pt>
                <c:pt idx="915">
                  <c:v>1.26479419667419</c:v>
                </c:pt>
                <c:pt idx="916">
                  <c:v>1.2647656906713394</c:v>
                </c:pt>
                <c:pt idx="917">
                  <c:v>1.2647371850205822</c:v>
                </c:pt>
                <c:pt idx="918">
                  <c:v>1.2647086797219256</c:v>
                </c:pt>
                <c:pt idx="919">
                  <c:v>1.2646801747753624</c:v>
                </c:pt>
                <c:pt idx="920">
                  <c:v>1.264651670180891</c:v>
                </c:pt>
                <c:pt idx="921">
                  <c:v>1.2646231659385112</c:v>
                </c:pt>
                <c:pt idx="922">
                  <c:v>1.264594662048216</c:v>
                </c:pt>
                <c:pt idx="923">
                  <c:v>1.2645661585100108</c:v>
                </c:pt>
                <c:pt idx="924">
                  <c:v>1.2645376553238847</c:v>
                </c:pt>
                <c:pt idx="925">
                  <c:v>1.2645091524898415</c:v>
                </c:pt>
                <c:pt idx="926">
                  <c:v>1.2644806500078705</c:v>
                </c:pt>
                <c:pt idx="927">
                  <c:v>1.2644521478779858</c:v>
                </c:pt>
                <c:pt idx="928">
                  <c:v>1.264423646100175</c:v>
                </c:pt>
                <c:pt idx="929">
                  <c:v>1.2643951446744293</c:v>
                </c:pt>
                <c:pt idx="930">
                  <c:v>1.2643666436007592</c:v>
                </c:pt>
                <c:pt idx="931">
                  <c:v>1.2643381428791525</c:v>
                </c:pt>
                <c:pt idx="932">
                  <c:v>1.2643096425096108</c:v>
                </c:pt>
                <c:pt idx="933">
                  <c:v>1.2642811424921323</c:v>
                </c:pt>
                <c:pt idx="934">
                  <c:v>1.2642526428267136</c:v>
                </c:pt>
                <c:pt idx="935">
                  <c:v>1.2642241435133545</c:v>
                </c:pt>
                <c:pt idx="936">
                  <c:v>1.2641956445520499</c:v>
                </c:pt>
                <c:pt idx="937">
                  <c:v>1.2641671459427979</c:v>
                </c:pt>
                <c:pt idx="938">
                  <c:v>1.2641386476856002</c:v>
                </c:pt>
                <c:pt idx="939">
                  <c:v>1.2641101497804517</c:v>
                </c:pt>
                <c:pt idx="940">
                  <c:v>1.2640816522273539</c:v>
                </c:pt>
                <c:pt idx="941">
                  <c:v>1.2640531550262892</c:v>
                </c:pt>
                <c:pt idx="942">
                  <c:v>1.2640246581772754</c:v>
                </c:pt>
                <c:pt idx="943">
                  <c:v>1.2639961616802964</c:v>
                </c:pt>
                <c:pt idx="944">
                  <c:v>1.2639676655353558</c:v>
                </c:pt>
                <c:pt idx="945">
                  <c:v>1.2639391697424536</c:v>
                </c:pt>
                <c:pt idx="946">
                  <c:v>1.2639106743015827</c:v>
                </c:pt>
                <c:pt idx="947">
                  <c:v>1.263882179212743</c:v>
                </c:pt>
                <c:pt idx="948">
                  <c:v>1.2638536844759294</c:v>
                </c:pt>
                <c:pt idx="949">
                  <c:v>1.2638251900911435</c:v>
                </c:pt>
                <c:pt idx="950">
                  <c:v>1.2637966960583835</c:v>
                </c:pt>
                <c:pt idx="951">
                  <c:v>1.2637682023776424</c:v>
                </c:pt>
                <c:pt idx="952">
                  <c:v>1.2637397090489202</c:v>
                </c:pt>
                <c:pt idx="953">
                  <c:v>1.2637112160722186</c:v>
                </c:pt>
                <c:pt idx="954">
                  <c:v>1.2636827234475305</c:v>
                </c:pt>
                <c:pt idx="955">
                  <c:v>1.2636542311748542</c:v>
                </c:pt>
                <c:pt idx="956">
                  <c:v>1.2636257392541879</c:v>
                </c:pt>
                <c:pt idx="957">
                  <c:v>1.2635972476855297</c:v>
                </c:pt>
                <c:pt idx="958">
                  <c:v>1.263568756468878</c:v>
                </c:pt>
                <c:pt idx="959">
                  <c:v>1.2635402656042327</c:v>
                </c:pt>
                <c:pt idx="960">
                  <c:v>1.2635117750915814</c:v>
                </c:pt>
                <c:pt idx="961">
                  <c:v>1.263483284930933</c:v>
                </c:pt>
                <c:pt idx="962">
                  <c:v>1.2634547951222803</c:v>
                </c:pt>
                <c:pt idx="963">
                  <c:v>1.2634263056656252</c:v>
                </c:pt>
                <c:pt idx="964">
                  <c:v>1.263397816560957</c:v>
                </c:pt>
                <c:pt idx="965">
                  <c:v>1.2633693278082774</c:v>
                </c:pt>
                <c:pt idx="966">
                  <c:v>1.26334083940759</c:v>
                </c:pt>
                <c:pt idx="967">
                  <c:v>1.2633123513588878</c:v>
                </c:pt>
                <c:pt idx="968">
                  <c:v>1.2632838636621635</c:v>
                </c:pt>
                <c:pt idx="969">
                  <c:v>1.2632553763174208</c:v>
                </c:pt>
                <c:pt idx="970">
                  <c:v>1.2632268893246597</c:v>
                </c:pt>
                <c:pt idx="971">
                  <c:v>1.2631984026838676</c:v>
                </c:pt>
                <c:pt idx="972">
                  <c:v>1.2631699163950554</c:v>
                </c:pt>
                <c:pt idx="973">
                  <c:v>1.2631414304582123</c:v>
                </c:pt>
                <c:pt idx="974">
                  <c:v>1.2631129448733383</c:v>
                </c:pt>
                <c:pt idx="975">
                  <c:v>1.2630844596404316</c:v>
                </c:pt>
                <c:pt idx="976">
                  <c:v>1.2630559747594923</c:v>
                </c:pt>
                <c:pt idx="977">
                  <c:v>1.2630274902305132</c:v>
                </c:pt>
                <c:pt idx="978">
                  <c:v>1.2629990060534908</c:v>
                </c:pt>
                <c:pt idx="979">
                  <c:v>1.2629705222284286</c:v>
                </c:pt>
                <c:pt idx="980">
                  <c:v>1.262942038755325</c:v>
                </c:pt>
                <c:pt idx="981">
                  <c:v>1.2629135556341726</c:v>
                </c:pt>
                <c:pt idx="982">
                  <c:v>1.2628850728649681</c:v>
                </c:pt>
                <c:pt idx="983">
                  <c:v>1.2628565904477185</c:v>
                </c:pt>
                <c:pt idx="984">
                  <c:v>1.2628281083824096</c:v>
                </c:pt>
                <c:pt idx="985">
                  <c:v>1.2627996266690467</c:v>
                </c:pt>
                <c:pt idx="986">
                  <c:v>1.2627711453076245</c:v>
                </c:pt>
                <c:pt idx="987">
                  <c:v>1.2627426642981412</c:v>
                </c:pt>
                <c:pt idx="988">
                  <c:v>1.2627141836405933</c:v>
                </c:pt>
                <c:pt idx="989">
                  <c:v>1.2626857033349808</c:v>
                </c:pt>
                <c:pt idx="990">
                  <c:v>1.2626572233813071</c:v>
                </c:pt>
                <c:pt idx="991">
                  <c:v>1.2626287437795547</c:v>
                </c:pt>
                <c:pt idx="992">
                  <c:v>1.2626002645297394</c:v>
                </c:pt>
                <c:pt idx="993">
                  <c:v>1.2625717856318417</c:v>
                </c:pt>
                <c:pt idx="994">
                  <c:v>1.2625433070858723</c:v>
                </c:pt>
                <c:pt idx="995">
                  <c:v>1.2625148288918222</c:v>
                </c:pt>
                <c:pt idx="996">
                  <c:v>1.2624863510496898</c:v>
                </c:pt>
                <c:pt idx="997">
                  <c:v>1.262457873559482</c:v>
                </c:pt>
                <c:pt idx="998">
                  <c:v>1.2624293964211777</c:v>
                </c:pt>
                <c:pt idx="999">
                  <c:v>1.2624009196347927</c:v>
                </c:pt>
                <c:pt idx="1000">
                  <c:v>1.2623724432003112</c:v>
                </c:pt>
              </c:numCache>
            </c:numRef>
          </c:yVal>
          <c:smooth val="0"/>
          <c:extLst>
            <c:ext xmlns:c16="http://schemas.microsoft.com/office/drawing/2014/chart" uri="{C3380CC4-5D6E-409C-BE32-E72D297353CC}">
              <c16:uniqueId val="{00000000-BDD6-4E9B-9AFA-2396233049A9}"/>
            </c:ext>
          </c:extLst>
        </c:ser>
        <c:ser>
          <c:idx val="1"/>
          <c:order val="1"/>
          <c:tx>
            <c:strRef>
              <c:f>Courbes!$B$138</c:f>
              <c:strCache>
                <c:ptCount val="1"/>
                <c:pt idx="0">
                  <c:v>Charge vue par un capteur</c:v>
                </c:pt>
              </c:strCache>
            </c:strRef>
          </c:tx>
          <c:spPr>
            <a:ln w="25400">
              <a:solidFill>
                <a:srgbClr val="00800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1.1000000000000008</c:v>
                </c:pt>
                <c:pt idx="102">
                  <c:v>1.2000000000000008</c:v>
                </c:pt>
                <c:pt idx="103">
                  <c:v>1.3000000000000009</c:v>
                </c:pt>
                <c:pt idx="104">
                  <c:v>1.400000000000001</c:v>
                </c:pt>
                <c:pt idx="105">
                  <c:v>1.5000000000000011</c:v>
                </c:pt>
                <c:pt idx="106">
                  <c:v>1.6000000000000012</c:v>
                </c:pt>
                <c:pt idx="107">
                  <c:v>1.7000000000000013</c:v>
                </c:pt>
                <c:pt idx="108">
                  <c:v>1.8000000000000014</c:v>
                </c:pt>
                <c:pt idx="109">
                  <c:v>1.9000000000000015</c:v>
                </c:pt>
                <c:pt idx="110">
                  <c:v>2.0000000000000013</c:v>
                </c:pt>
                <c:pt idx="111">
                  <c:v>2.1000000000000014</c:v>
                </c:pt>
                <c:pt idx="112">
                  <c:v>2.2000000000000015</c:v>
                </c:pt>
                <c:pt idx="113">
                  <c:v>2.3000000000000016</c:v>
                </c:pt>
                <c:pt idx="114">
                  <c:v>2.4000000000000017</c:v>
                </c:pt>
                <c:pt idx="115">
                  <c:v>2.5000000000000018</c:v>
                </c:pt>
                <c:pt idx="116">
                  <c:v>2.6000000000000019</c:v>
                </c:pt>
                <c:pt idx="117">
                  <c:v>2.700000000000002</c:v>
                </c:pt>
                <c:pt idx="118">
                  <c:v>2.800000000000002</c:v>
                </c:pt>
                <c:pt idx="119">
                  <c:v>2.9000000000000021</c:v>
                </c:pt>
                <c:pt idx="120">
                  <c:v>3.0000000000000022</c:v>
                </c:pt>
                <c:pt idx="121">
                  <c:v>3.1000000000000023</c:v>
                </c:pt>
                <c:pt idx="122">
                  <c:v>3.2000000000000024</c:v>
                </c:pt>
                <c:pt idx="123">
                  <c:v>3.3000000000000025</c:v>
                </c:pt>
                <c:pt idx="124">
                  <c:v>3.4000000000000026</c:v>
                </c:pt>
                <c:pt idx="125">
                  <c:v>3.5000000000000027</c:v>
                </c:pt>
                <c:pt idx="126">
                  <c:v>3.6000000000000028</c:v>
                </c:pt>
                <c:pt idx="127">
                  <c:v>3.7000000000000028</c:v>
                </c:pt>
                <c:pt idx="128">
                  <c:v>3.8000000000000029</c:v>
                </c:pt>
                <c:pt idx="129">
                  <c:v>3.900000000000003</c:v>
                </c:pt>
                <c:pt idx="130">
                  <c:v>4.0000000000000027</c:v>
                </c:pt>
                <c:pt idx="131">
                  <c:v>4.1000000000000023</c:v>
                </c:pt>
                <c:pt idx="132">
                  <c:v>4.200000000000002</c:v>
                </c:pt>
                <c:pt idx="133">
                  <c:v>4.3000000000000016</c:v>
                </c:pt>
                <c:pt idx="134">
                  <c:v>4.4000000000000012</c:v>
                </c:pt>
                <c:pt idx="135">
                  <c:v>4.5000000000000009</c:v>
                </c:pt>
                <c:pt idx="136">
                  <c:v>4.6000000000000005</c:v>
                </c:pt>
                <c:pt idx="137">
                  <c:v>4.7</c:v>
                </c:pt>
                <c:pt idx="138">
                  <c:v>4.8</c:v>
                </c:pt>
                <c:pt idx="139">
                  <c:v>4.8999999999999995</c:v>
                </c:pt>
                <c:pt idx="140">
                  <c:v>4.9999999999999991</c:v>
                </c:pt>
                <c:pt idx="141">
                  <c:v>5.0999999999999988</c:v>
                </c:pt>
                <c:pt idx="142">
                  <c:v>5.1999999999999984</c:v>
                </c:pt>
                <c:pt idx="143">
                  <c:v>5.299999999999998</c:v>
                </c:pt>
                <c:pt idx="144">
                  <c:v>5.3999999999999977</c:v>
                </c:pt>
                <c:pt idx="145">
                  <c:v>5.4999999999999973</c:v>
                </c:pt>
                <c:pt idx="146">
                  <c:v>5.599999999999997</c:v>
                </c:pt>
                <c:pt idx="147">
                  <c:v>5.6999999999999966</c:v>
                </c:pt>
                <c:pt idx="148">
                  <c:v>5.7999999999999963</c:v>
                </c:pt>
                <c:pt idx="149">
                  <c:v>5.8999999999999959</c:v>
                </c:pt>
                <c:pt idx="150">
                  <c:v>5.9999999999999956</c:v>
                </c:pt>
                <c:pt idx="151">
                  <c:v>6.0999999999999952</c:v>
                </c:pt>
                <c:pt idx="152">
                  <c:v>6.1999999999999948</c:v>
                </c:pt>
                <c:pt idx="153">
                  <c:v>6.2999999999999945</c:v>
                </c:pt>
                <c:pt idx="154">
                  <c:v>6.3999999999999941</c:v>
                </c:pt>
                <c:pt idx="155">
                  <c:v>6.4999999999999938</c:v>
                </c:pt>
                <c:pt idx="156">
                  <c:v>6.5999999999999934</c:v>
                </c:pt>
                <c:pt idx="157">
                  <c:v>6.6999999999999931</c:v>
                </c:pt>
                <c:pt idx="158">
                  <c:v>6.7999999999999927</c:v>
                </c:pt>
                <c:pt idx="159">
                  <c:v>6.8999999999999924</c:v>
                </c:pt>
                <c:pt idx="160">
                  <c:v>6.999999999999992</c:v>
                </c:pt>
                <c:pt idx="161">
                  <c:v>7.0999999999999917</c:v>
                </c:pt>
                <c:pt idx="162">
                  <c:v>7.1999999999999913</c:v>
                </c:pt>
                <c:pt idx="163">
                  <c:v>7.2999999999999909</c:v>
                </c:pt>
                <c:pt idx="164">
                  <c:v>7.3999999999999906</c:v>
                </c:pt>
                <c:pt idx="165">
                  <c:v>7.4999999999999902</c:v>
                </c:pt>
                <c:pt idx="166">
                  <c:v>7.5999999999999899</c:v>
                </c:pt>
                <c:pt idx="167">
                  <c:v>7.6999999999999895</c:v>
                </c:pt>
                <c:pt idx="168">
                  <c:v>7.7999999999999892</c:v>
                </c:pt>
                <c:pt idx="169">
                  <c:v>7.8999999999999888</c:v>
                </c:pt>
                <c:pt idx="170">
                  <c:v>7.9999999999999885</c:v>
                </c:pt>
                <c:pt idx="171">
                  <c:v>8.099999999999989</c:v>
                </c:pt>
                <c:pt idx="172">
                  <c:v>8.1999999999999886</c:v>
                </c:pt>
                <c:pt idx="173">
                  <c:v>8.2999999999999883</c:v>
                </c:pt>
                <c:pt idx="174">
                  <c:v>8.3999999999999879</c:v>
                </c:pt>
                <c:pt idx="175">
                  <c:v>8.4999999999999876</c:v>
                </c:pt>
                <c:pt idx="176">
                  <c:v>8.5999999999999872</c:v>
                </c:pt>
                <c:pt idx="177">
                  <c:v>8.6999999999999869</c:v>
                </c:pt>
                <c:pt idx="178">
                  <c:v>8.7999999999999865</c:v>
                </c:pt>
                <c:pt idx="179">
                  <c:v>8.8999999999999861</c:v>
                </c:pt>
                <c:pt idx="180">
                  <c:v>8.9999999999999858</c:v>
                </c:pt>
                <c:pt idx="181">
                  <c:v>9.0999999999999854</c:v>
                </c:pt>
                <c:pt idx="182">
                  <c:v>9.1999999999999851</c:v>
                </c:pt>
                <c:pt idx="183">
                  <c:v>9.2999999999999847</c:v>
                </c:pt>
                <c:pt idx="184">
                  <c:v>9.3999999999999844</c:v>
                </c:pt>
                <c:pt idx="185">
                  <c:v>9.499999999999984</c:v>
                </c:pt>
                <c:pt idx="186">
                  <c:v>9.5999999999999837</c:v>
                </c:pt>
                <c:pt idx="187">
                  <c:v>9.6999999999999833</c:v>
                </c:pt>
                <c:pt idx="188">
                  <c:v>9.7999999999999829</c:v>
                </c:pt>
                <c:pt idx="189">
                  <c:v>9.8999999999999826</c:v>
                </c:pt>
                <c:pt idx="190">
                  <c:v>9.9999999999999822</c:v>
                </c:pt>
                <c:pt idx="191">
                  <c:v>10.099999999999982</c:v>
                </c:pt>
                <c:pt idx="192">
                  <c:v>10.199999999999982</c:v>
                </c:pt>
                <c:pt idx="193">
                  <c:v>10.299999999999981</c:v>
                </c:pt>
                <c:pt idx="194">
                  <c:v>10.399999999999981</c:v>
                </c:pt>
                <c:pt idx="195">
                  <c:v>10.49999999999998</c:v>
                </c:pt>
                <c:pt idx="196">
                  <c:v>10.59999999999998</c:v>
                </c:pt>
                <c:pt idx="197">
                  <c:v>10.69999999999998</c:v>
                </c:pt>
                <c:pt idx="198">
                  <c:v>10.799999999999979</c:v>
                </c:pt>
                <c:pt idx="199">
                  <c:v>10.899999999999979</c:v>
                </c:pt>
                <c:pt idx="200">
                  <c:v>10.999999999999979</c:v>
                </c:pt>
                <c:pt idx="201">
                  <c:v>11.099999999999978</c:v>
                </c:pt>
                <c:pt idx="202">
                  <c:v>11.199999999999978</c:v>
                </c:pt>
                <c:pt idx="203">
                  <c:v>11.299999999999978</c:v>
                </c:pt>
                <c:pt idx="204">
                  <c:v>11.399999999999977</c:v>
                </c:pt>
                <c:pt idx="205">
                  <c:v>11.499999999999977</c:v>
                </c:pt>
                <c:pt idx="206">
                  <c:v>11.599999999999977</c:v>
                </c:pt>
                <c:pt idx="207">
                  <c:v>11.699999999999976</c:v>
                </c:pt>
                <c:pt idx="208">
                  <c:v>11.799999999999976</c:v>
                </c:pt>
                <c:pt idx="209">
                  <c:v>11.899999999999975</c:v>
                </c:pt>
                <c:pt idx="210">
                  <c:v>11.999999999999975</c:v>
                </c:pt>
                <c:pt idx="211">
                  <c:v>12.099999999999975</c:v>
                </c:pt>
                <c:pt idx="212">
                  <c:v>12.199999999999974</c:v>
                </c:pt>
                <c:pt idx="213">
                  <c:v>12.299999999999974</c:v>
                </c:pt>
                <c:pt idx="214">
                  <c:v>12.399999999999974</c:v>
                </c:pt>
                <c:pt idx="215">
                  <c:v>12.499999999999973</c:v>
                </c:pt>
                <c:pt idx="216">
                  <c:v>12.599999999999973</c:v>
                </c:pt>
                <c:pt idx="217">
                  <c:v>12.699999999999973</c:v>
                </c:pt>
                <c:pt idx="218">
                  <c:v>12.799999999999972</c:v>
                </c:pt>
                <c:pt idx="219">
                  <c:v>12.899999999999972</c:v>
                </c:pt>
                <c:pt idx="220">
                  <c:v>12.999999999999972</c:v>
                </c:pt>
                <c:pt idx="221">
                  <c:v>13.099999999999971</c:v>
                </c:pt>
                <c:pt idx="222">
                  <c:v>13.199999999999971</c:v>
                </c:pt>
                <c:pt idx="223">
                  <c:v>13.299999999999971</c:v>
                </c:pt>
                <c:pt idx="224">
                  <c:v>13.39999999999997</c:v>
                </c:pt>
                <c:pt idx="225">
                  <c:v>13.49999999999997</c:v>
                </c:pt>
                <c:pt idx="226">
                  <c:v>13.599999999999969</c:v>
                </c:pt>
                <c:pt idx="227">
                  <c:v>13.699999999999969</c:v>
                </c:pt>
                <c:pt idx="228">
                  <c:v>13.799999999999969</c:v>
                </c:pt>
                <c:pt idx="229">
                  <c:v>13.899999999999968</c:v>
                </c:pt>
                <c:pt idx="230">
                  <c:v>13.999999999999968</c:v>
                </c:pt>
                <c:pt idx="231">
                  <c:v>14.099999999999968</c:v>
                </c:pt>
                <c:pt idx="232">
                  <c:v>14.199999999999967</c:v>
                </c:pt>
                <c:pt idx="233">
                  <c:v>14.299999999999967</c:v>
                </c:pt>
                <c:pt idx="234">
                  <c:v>14.399999999999967</c:v>
                </c:pt>
                <c:pt idx="235">
                  <c:v>14.499999999999966</c:v>
                </c:pt>
                <c:pt idx="236">
                  <c:v>14.599999999999966</c:v>
                </c:pt>
                <c:pt idx="237">
                  <c:v>14.699999999999966</c:v>
                </c:pt>
                <c:pt idx="238">
                  <c:v>14.799999999999965</c:v>
                </c:pt>
                <c:pt idx="239">
                  <c:v>14.899999999999965</c:v>
                </c:pt>
                <c:pt idx="240">
                  <c:v>14.999999999999964</c:v>
                </c:pt>
                <c:pt idx="241">
                  <c:v>15.099999999999964</c:v>
                </c:pt>
                <c:pt idx="242">
                  <c:v>15.199999999999964</c:v>
                </c:pt>
                <c:pt idx="243">
                  <c:v>15.299999999999963</c:v>
                </c:pt>
                <c:pt idx="244">
                  <c:v>15.399999999999963</c:v>
                </c:pt>
                <c:pt idx="245">
                  <c:v>15.499999999999963</c:v>
                </c:pt>
                <c:pt idx="246">
                  <c:v>15.599999999999962</c:v>
                </c:pt>
                <c:pt idx="247">
                  <c:v>15.699999999999962</c:v>
                </c:pt>
                <c:pt idx="248">
                  <c:v>15.799999999999962</c:v>
                </c:pt>
                <c:pt idx="249">
                  <c:v>15.899999999999961</c:v>
                </c:pt>
                <c:pt idx="250">
                  <c:v>15.999999999999961</c:v>
                </c:pt>
                <c:pt idx="251">
                  <c:v>16.099999999999962</c:v>
                </c:pt>
                <c:pt idx="252">
                  <c:v>16.199999999999964</c:v>
                </c:pt>
                <c:pt idx="253">
                  <c:v>16.299999999999965</c:v>
                </c:pt>
                <c:pt idx="254">
                  <c:v>16.399999999999967</c:v>
                </c:pt>
                <c:pt idx="255">
                  <c:v>16.499999999999968</c:v>
                </c:pt>
                <c:pt idx="256">
                  <c:v>16.599999999999969</c:v>
                </c:pt>
                <c:pt idx="257">
                  <c:v>16.699999999999971</c:v>
                </c:pt>
                <c:pt idx="258">
                  <c:v>16.799999999999972</c:v>
                </c:pt>
                <c:pt idx="259">
                  <c:v>16.899999999999974</c:v>
                </c:pt>
                <c:pt idx="260">
                  <c:v>16.999999999999975</c:v>
                </c:pt>
                <c:pt idx="261">
                  <c:v>17.099999999999977</c:v>
                </c:pt>
                <c:pt idx="262">
                  <c:v>17.199999999999978</c:v>
                </c:pt>
                <c:pt idx="263">
                  <c:v>17.299999999999979</c:v>
                </c:pt>
                <c:pt idx="264">
                  <c:v>17.399999999999981</c:v>
                </c:pt>
                <c:pt idx="265">
                  <c:v>17.499999999999982</c:v>
                </c:pt>
                <c:pt idx="266">
                  <c:v>17.599999999999984</c:v>
                </c:pt>
                <c:pt idx="267">
                  <c:v>17.699999999999985</c:v>
                </c:pt>
                <c:pt idx="268">
                  <c:v>17.799999999999986</c:v>
                </c:pt>
                <c:pt idx="269">
                  <c:v>17.899999999999988</c:v>
                </c:pt>
                <c:pt idx="270">
                  <c:v>17.999999999999989</c:v>
                </c:pt>
                <c:pt idx="271">
                  <c:v>18.099999999999991</c:v>
                </c:pt>
                <c:pt idx="272">
                  <c:v>18.199999999999992</c:v>
                </c:pt>
                <c:pt idx="273">
                  <c:v>18.299999999999994</c:v>
                </c:pt>
                <c:pt idx="274">
                  <c:v>18.399999999999995</c:v>
                </c:pt>
                <c:pt idx="275">
                  <c:v>18.499999999999996</c:v>
                </c:pt>
                <c:pt idx="276">
                  <c:v>18.599999999999998</c:v>
                </c:pt>
                <c:pt idx="277">
                  <c:v>18.7</c:v>
                </c:pt>
                <c:pt idx="278">
                  <c:v>18.8</c:v>
                </c:pt>
                <c:pt idx="279">
                  <c:v>18.900000000000002</c:v>
                </c:pt>
                <c:pt idx="280">
                  <c:v>19.000000000000004</c:v>
                </c:pt>
                <c:pt idx="281">
                  <c:v>19.100000000000005</c:v>
                </c:pt>
                <c:pt idx="282">
                  <c:v>19.200000000000006</c:v>
                </c:pt>
                <c:pt idx="283">
                  <c:v>19.300000000000008</c:v>
                </c:pt>
                <c:pt idx="284">
                  <c:v>19.400000000000009</c:v>
                </c:pt>
                <c:pt idx="285">
                  <c:v>19.500000000000011</c:v>
                </c:pt>
                <c:pt idx="286">
                  <c:v>19.600000000000012</c:v>
                </c:pt>
                <c:pt idx="287">
                  <c:v>19.700000000000014</c:v>
                </c:pt>
                <c:pt idx="288">
                  <c:v>19.800000000000015</c:v>
                </c:pt>
                <c:pt idx="289">
                  <c:v>19.900000000000016</c:v>
                </c:pt>
                <c:pt idx="290">
                  <c:v>20.000000000000018</c:v>
                </c:pt>
                <c:pt idx="291">
                  <c:v>20.100000000000019</c:v>
                </c:pt>
                <c:pt idx="292">
                  <c:v>20.200000000000021</c:v>
                </c:pt>
                <c:pt idx="293">
                  <c:v>20.300000000000022</c:v>
                </c:pt>
                <c:pt idx="294">
                  <c:v>20.400000000000023</c:v>
                </c:pt>
                <c:pt idx="295">
                  <c:v>20.500000000000025</c:v>
                </c:pt>
                <c:pt idx="296">
                  <c:v>20.600000000000026</c:v>
                </c:pt>
                <c:pt idx="297">
                  <c:v>20.700000000000028</c:v>
                </c:pt>
                <c:pt idx="298">
                  <c:v>20.800000000000029</c:v>
                </c:pt>
                <c:pt idx="299">
                  <c:v>20.900000000000031</c:v>
                </c:pt>
                <c:pt idx="300">
                  <c:v>21.000000000000032</c:v>
                </c:pt>
                <c:pt idx="301">
                  <c:v>21.100000000000033</c:v>
                </c:pt>
                <c:pt idx="302">
                  <c:v>21.200000000000035</c:v>
                </c:pt>
                <c:pt idx="303">
                  <c:v>21.300000000000036</c:v>
                </c:pt>
                <c:pt idx="304">
                  <c:v>21.400000000000038</c:v>
                </c:pt>
                <c:pt idx="305">
                  <c:v>21.500000000000039</c:v>
                </c:pt>
                <c:pt idx="306">
                  <c:v>21.600000000000041</c:v>
                </c:pt>
                <c:pt idx="307">
                  <c:v>21.700000000000042</c:v>
                </c:pt>
                <c:pt idx="308">
                  <c:v>21.800000000000043</c:v>
                </c:pt>
                <c:pt idx="309">
                  <c:v>21.900000000000045</c:v>
                </c:pt>
                <c:pt idx="310">
                  <c:v>22.000000000000046</c:v>
                </c:pt>
                <c:pt idx="311">
                  <c:v>22.100000000000048</c:v>
                </c:pt>
                <c:pt idx="312">
                  <c:v>22.200000000000049</c:v>
                </c:pt>
                <c:pt idx="313">
                  <c:v>22.30000000000005</c:v>
                </c:pt>
                <c:pt idx="314">
                  <c:v>22.400000000000052</c:v>
                </c:pt>
                <c:pt idx="315">
                  <c:v>22.500000000000053</c:v>
                </c:pt>
                <c:pt idx="316">
                  <c:v>22.600000000000055</c:v>
                </c:pt>
                <c:pt idx="317">
                  <c:v>22.700000000000056</c:v>
                </c:pt>
                <c:pt idx="318">
                  <c:v>22.800000000000058</c:v>
                </c:pt>
                <c:pt idx="319">
                  <c:v>22.900000000000059</c:v>
                </c:pt>
                <c:pt idx="320">
                  <c:v>23.00000000000006</c:v>
                </c:pt>
                <c:pt idx="321">
                  <c:v>23.100000000000062</c:v>
                </c:pt>
                <c:pt idx="322">
                  <c:v>23.200000000000063</c:v>
                </c:pt>
                <c:pt idx="323">
                  <c:v>23.300000000000065</c:v>
                </c:pt>
                <c:pt idx="324">
                  <c:v>23.400000000000066</c:v>
                </c:pt>
                <c:pt idx="325">
                  <c:v>23.500000000000068</c:v>
                </c:pt>
                <c:pt idx="326">
                  <c:v>23.600000000000069</c:v>
                </c:pt>
                <c:pt idx="327">
                  <c:v>23.70000000000007</c:v>
                </c:pt>
                <c:pt idx="328">
                  <c:v>23.800000000000072</c:v>
                </c:pt>
                <c:pt idx="329">
                  <c:v>23.900000000000073</c:v>
                </c:pt>
                <c:pt idx="330">
                  <c:v>24.000000000000075</c:v>
                </c:pt>
                <c:pt idx="331">
                  <c:v>24.100000000000076</c:v>
                </c:pt>
                <c:pt idx="332">
                  <c:v>24.200000000000077</c:v>
                </c:pt>
                <c:pt idx="333">
                  <c:v>24.300000000000079</c:v>
                </c:pt>
                <c:pt idx="334">
                  <c:v>24.40000000000008</c:v>
                </c:pt>
                <c:pt idx="335">
                  <c:v>24.500000000000082</c:v>
                </c:pt>
                <c:pt idx="336">
                  <c:v>24.600000000000083</c:v>
                </c:pt>
                <c:pt idx="337">
                  <c:v>24.700000000000085</c:v>
                </c:pt>
                <c:pt idx="338">
                  <c:v>24.800000000000086</c:v>
                </c:pt>
                <c:pt idx="339">
                  <c:v>24.900000000000087</c:v>
                </c:pt>
                <c:pt idx="340">
                  <c:v>25.000000000000089</c:v>
                </c:pt>
                <c:pt idx="341">
                  <c:v>25.10000000000009</c:v>
                </c:pt>
                <c:pt idx="342">
                  <c:v>25.200000000000092</c:v>
                </c:pt>
                <c:pt idx="343">
                  <c:v>25.300000000000093</c:v>
                </c:pt>
                <c:pt idx="344">
                  <c:v>25.400000000000095</c:v>
                </c:pt>
                <c:pt idx="345">
                  <c:v>25.500000000000096</c:v>
                </c:pt>
                <c:pt idx="346">
                  <c:v>25.600000000000097</c:v>
                </c:pt>
                <c:pt idx="347">
                  <c:v>25.700000000000099</c:v>
                </c:pt>
                <c:pt idx="348">
                  <c:v>25.8000000000001</c:v>
                </c:pt>
                <c:pt idx="349">
                  <c:v>25.900000000000102</c:v>
                </c:pt>
                <c:pt idx="350">
                  <c:v>26.000000000000103</c:v>
                </c:pt>
                <c:pt idx="351">
                  <c:v>26.100000000000104</c:v>
                </c:pt>
                <c:pt idx="352">
                  <c:v>26.200000000000106</c:v>
                </c:pt>
                <c:pt idx="353">
                  <c:v>26.300000000000107</c:v>
                </c:pt>
                <c:pt idx="354">
                  <c:v>26.400000000000109</c:v>
                </c:pt>
                <c:pt idx="355">
                  <c:v>26.50000000000011</c:v>
                </c:pt>
                <c:pt idx="356">
                  <c:v>26.600000000000112</c:v>
                </c:pt>
                <c:pt idx="357">
                  <c:v>26.700000000000113</c:v>
                </c:pt>
                <c:pt idx="358">
                  <c:v>26.800000000000114</c:v>
                </c:pt>
                <c:pt idx="359">
                  <c:v>26.900000000000116</c:v>
                </c:pt>
                <c:pt idx="360">
                  <c:v>27.000000000000117</c:v>
                </c:pt>
                <c:pt idx="361">
                  <c:v>27.100000000000119</c:v>
                </c:pt>
                <c:pt idx="362">
                  <c:v>27.20000000000012</c:v>
                </c:pt>
                <c:pt idx="363">
                  <c:v>27.300000000000122</c:v>
                </c:pt>
                <c:pt idx="364">
                  <c:v>27.400000000000123</c:v>
                </c:pt>
                <c:pt idx="365">
                  <c:v>27.500000000000124</c:v>
                </c:pt>
                <c:pt idx="366">
                  <c:v>27.600000000000126</c:v>
                </c:pt>
                <c:pt idx="367">
                  <c:v>27.700000000000127</c:v>
                </c:pt>
                <c:pt idx="368">
                  <c:v>27.800000000000129</c:v>
                </c:pt>
                <c:pt idx="369">
                  <c:v>27.90000000000013</c:v>
                </c:pt>
                <c:pt idx="370">
                  <c:v>28.000000000000131</c:v>
                </c:pt>
                <c:pt idx="371">
                  <c:v>28.100000000000133</c:v>
                </c:pt>
                <c:pt idx="372">
                  <c:v>28.200000000000134</c:v>
                </c:pt>
                <c:pt idx="373">
                  <c:v>28.300000000000136</c:v>
                </c:pt>
                <c:pt idx="374">
                  <c:v>28.400000000000137</c:v>
                </c:pt>
                <c:pt idx="375">
                  <c:v>28.500000000000139</c:v>
                </c:pt>
                <c:pt idx="376">
                  <c:v>28.60000000000014</c:v>
                </c:pt>
                <c:pt idx="377">
                  <c:v>28.700000000000141</c:v>
                </c:pt>
                <c:pt idx="378">
                  <c:v>28.800000000000143</c:v>
                </c:pt>
                <c:pt idx="379">
                  <c:v>28.900000000000144</c:v>
                </c:pt>
                <c:pt idx="380">
                  <c:v>29.000000000000146</c:v>
                </c:pt>
                <c:pt idx="381">
                  <c:v>29.100000000000147</c:v>
                </c:pt>
                <c:pt idx="382">
                  <c:v>29.200000000000149</c:v>
                </c:pt>
                <c:pt idx="383">
                  <c:v>29.200100000000148</c:v>
                </c:pt>
                <c:pt idx="384">
                  <c:v>29.200200000000148</c:v>
                </c:pt>
                <c:pt idx="385">
                  <c:v>29.200300000000148</c:v>
                </c:pt>
                <c:pt idx="386">
                  <c:v>29.200400000000148</c:v>
                </c:pt>
                <c:pt idx="387">
                  <c:v>29.200500000000147</c:v>
                </c:pt>
                <c:pt idx="388">
                  <c:v>29.200600000000147</c:v>
                </c:pt>
                <c:pt idx="389">
                  <c:v>29.200700000000147</c:v>
                </c:pt>
                <c:pt idx="390">
                  <c:v>29.200800000000147</c:v>
                </c:pt>
                <c:pt idx="391">
                  <c:v>29.200900000000146</c:v>
                </c:pt>
                <c:pt idx="392">
                  <c:v>29.201000000000146</c:v>
                </c:pt>
                <c:pt idx="393">
                  <c:v>29.201100000000146</c:v>
                </c:pt>
                <c:pt idx="394">
                  <c:v>29.201200000000146</c:v>
                </c:pt>
                <c:pt idx="395">
                  <c:v>29.201300000000145</c:v>
                </c:pt>
                <c:pt idx="396">
                  <c:v>29.201400000000145</c:v>
                </c:pt>
                <c:pt idx="397">
                  <c:v>29.201500000000145</c:v>
                </c:pt>
                <c:pt idx="398">
                  <c:v>29.201600000000145</c:v>
                </c:pt>
                <c:pt idx="399">
                  <c:v>29.201700000000145</c:v>
                </c:pt>
                <c:pt idx="400">
                  <c:v>29.201800000000144</c:v>
                </c:pt>
                <c:pt idx="401">
                  <c:v>29.201900000000144</c:v>
                </c:pt>
                <c:pt idx="402">
                  <c:v>29.202000000000144</c:v>
                </c:pt>
                <c:pt idx="403">
                  <c:v>29.202100000000144</c:v>
                </c:pt>
                <c:pt idx="404">
                  <c:v>29.202200000000143</c:v>
                </c:pt>
                <c:pt idx="405">
                  <c:v>29.202300000000143</c:v>
                </c:pt>
                <c:pt idx="406">
                  <c:v>29.202400000000143</c:v>
                </c:pt>
                <c:pt idx="407">
                  <c:v>29.202500000000143</c:v>
                </c:pt>
                <c:pt idx="408">
                  <c:v>29.202600000000142</c:v>
                </c:pt>
                <c:pt idx="409">
                  <c:v>29.202700000000142</c:v>
                </c:pt>
                <c:pt idx="410">
                  <c:v>29.202800000000142</c:v>
                </c:pt>
                <c:pt idx="411">
                  <c:v>29.202900000000142</c:v>
                </c:pt>
                <c:pt idx="412">
                  <c:v>29.203000000000142</c:v>
                </c:pt>
                <c:pt idx="413">
                  <c:v>29.203100000000141</c:v>
                </c:pt>
                <c:pt idx="414">
                  <c:v>29.203200000000141</c:v>
                </c:pt>
                <c:pt idx="415">
                  <c:v>29.203300000000141</c:v>
                </c:pt>
                <c:pt idx="416">
                  <c:v>29.203400000000141</c:v>
                </c:pt>
                <c:pt idx="417">
                  <c:v>29.20350000000014</c:v>
                </c:pt>
                <c:pt idx="418">
                  <c:v>29.20360000000014</c:v>
                </c:pt>
                <c:pt idx="419">
                  <c:v>29.20370000000014</c:v>
                </c:pt>
                <c:pt idx="420">
                  <c:v>29.20380000000014</c:v>
                </c:pt>
                <c:pt idx="421">
                  <c:v>29.203900000000139</c:v>
                </c:pt>
                <c:pt idx="422">
                  <c:v>29.204000000000139</c:v>
                </c:pt>
                <c:pt idx="423">
                  <c:v>29.204100000000139</c:v>
                </c:pt>
                <c:pt idx="424">
                  <c:v>29.204200000000139</c:v>
                </c:pt>
                <c:pt idx="425">
                  <c:v>29.204300000000138</c:v>
                </c:pt>
                <c:pt idx="426">
                  <c:v>29.204400000000138</c:v>
                </c:pt>
                <c:pt idx="427">
                  <c:v>29.204500000000138</c:v>
                </c:pt>
                <c:pt idx="428">
                  <c:v>29.204600000000138</c:v>
                </c:pt>
                <c:pt idx="429">
                  <c:v>29.204700000000138</c:v>
                </c:pt>
                <c:pt idx="430">
                  <c:v>29.204800000000137</c:v>
                </c:pt>
                <c:pt idx="431">
                  <c:v>29.204900000000137</c:v>
                </c:pt>
                <c:pt idx="432">
                  <c:v>29.205000000000137</c:v>
                </c:pt>
                <c:pt idx="433">
                  <c:v>29.205100000000137</c:v>
                </c:pt>
                <c:pt idx="434">
                  <c:v>29.205200000000136</c:v>
                </c:pt>
                <c:pt idx="435">
                  <c:v>29.205300000000136</c:v>
                </c:pt>
                <c:pt idx="436">
                  <c:v>29.205400000000136</c:v>
                </c:pt>
                <c:pt idx="437">
                  <c:v>29.205500000000136</c:v>
                </c:pt>
                <c:pt idx="438">
                  <c:v>29.205600000000135</c:v>
                </c:pt>
                <c:pt idx="439">
                  <c:v>29.205700000000135</c:v>
                </c:pt>
                <c:pt idx="440">
                  <c:v>29.205800000000135</c:v>
                </c:pt>
                <c:pt idx="441">
                  <c:v>29.205900000000135</c:v>
                </c:pt>
                <c:pt idx="442">
                  <c:v>29.206000000000135</c:v>
                </c:pt>
                <c:pt idx="443">
                  <c:v>29.206100000000134</c:v>
                </c:pt>
                <c:pt idx="444">
                  <c:v>29.206200000000134</c:v>
                </c:pt>
                <c:pt idx="445">
                  <c:v>29.206300000000134</c:v>
                </c:pt>
                <c:pt idx="446">
                  <c:v>29.206400000000134</c:v>
                </c:pt>
                <c:pt idx="447">
                  <c:v>29.206500000000133</c:v>
                </c:pt>
                <c:pt idx="448">
                  <c:v>29.206600000000133</c:v>
                </c:pt>
                <c:pt idx="449">
                  <c:v>29.206700000000133</c:v>
                </c:pt>
                <c:pt idx="450">
                  <c:v>29.206800000000133</c:v>
                </c:pt>
                <c:pt idx="451">
                  <c:v>29.206900000000132</c:v>
                </c:pt>
                <c:pt idx="452">
                  <c:v>29.207000000000132</c:v>
                </c:pt>
                <c:pt idx="453">
                  <c:v>29.207100000000132</c:v>
                </c:pt>
                <c:pt idx="454">
                  <c:v>29.207200000000132</c:v>
                </c:pt>
                <c:pt idx="455">
                  <c:v>29.207300000000131</c:v>
                </c:pt>
                <c:pt idx="456">
                  <c:v>29.207400000000131</c:v>
                </c:pt>
                <c:pt idx="457">
                  <c:v>29.207500000000131</c:v>
                </c:pt>
                <c:pt idx="458">
                  <c:v>29.207600000000131</c:v>
                </c:pt>
                <c:pt idx="459">
                  <c:v>29.207700000000131</c:v>
                </c:pt>
                <c:pt idx="460">
                  <c:v>29.20780000000013</c:v>
                </c:pt>
                <c:pt idx="461">
                  <c:v>29.20790000000013</c:v>
                </c:pt>
                <c:pt idx="462">
                  <c:v>29.20800000000013</c:v>
                </c:pt>
                <c:pt idx="463">
                  <c:v>29.20810000000013</c:v>
                </c:pt>
                <c:pt idx="464">
                  <c:v>29.208200000000129</c:v>
                </c:pt>
                <c:pt idx="465">
                  <c:v>29.208300000000129</c:v>
                </c:pt>
                <c:pt idx="466">
                  <c:v>29.208400000000129</c:v>
                </c:pt>
                <c:pt idx="467">
                  <c:v>29.208500000000129</c:v>
                </c:pt>
                <c:pt idx="468">
                  <c:v>29.208600000000128</c:v>
                </c:pt>
                <c:pt idx="469">
                  <c:v>29.208700000000128</c:v>
                </c:pt>
                <c:pt idx="470">
                  <c:v>29.208800000000128</c:v>
                </c:pt>
                <c:pt idx="471">
                  <c:v>29.208900000000128</c:v>
                </c:pt>
                <c:pt idx="472">
                  <c:v>29.209000000000128</c:v>
                </c:pt>
                <c:pt idx="473">
                  <c:v>29.209100000000127</c:v>
                </c:pt>
                <c:pt idx="474">
                  <c:v>29.209200000000127</c:v>
                </c:pt>
                <c:pt idx="475">
                  <c:v>29.209300000000127</c:v>
                </c:pt>
                <c:pt idx="476">
                  <c:v>29.209400000000127</c:v>
                </c:pt>
                <c:pt idx="477">
                  <c:v>29.209500000000126</c:v>
                </c:pt>
                <c:pt idx="478">
                  <c:v>29.209600000000126</c:v>
                </c:pt>
                <c:pt idx="479">
                  <c:v>29.209700000000126</c:v>
                </c:pt>
                <c:pt idx="480">
                  <c:v>29.209800000000126</c:v>
                </c:pt>
                <c:pt idx="481">
                  <c:v>29.209900000000125</c:v>
                </c:pt>
                <c:pt idx="482">
                  <c:v>29.210000000000125</c:v>
                </c:pt>
                <c:pt idx="483">
                  <c:v>29.210100000000125</c:v>
                </c:pt>
                <c:pt idx="484">
                  <c:v>29.210200000000125</c:v>
                </c:pt>
                <c:pt idx="485">
                  <c:v>29.210300000000124</c:v>
                </c:pt>
                <c:pt idx="486">
                  <c:v>29.210400000000124</c:v>
                </c:pt>
                <c:pt idx="487">
                  <c:v>29.210500000000124</c:v>
                </c:pt>
                <c:pt idx="488">
                  <c:v>29.210600000000124</c:v>
                </c:pt>
                <c:pt idx="489">
                  <c:v>29.210700000000124</c:v>
                </c:pt>
                <c:pt idx="490">
                  <c:v>29.210800000000123</c:v>
                </c:pt>
                <c:pt idx="491">
                  <c:v>29.210900000000123</c:v>
                </c:pt>
                <c:pt idx="492">
                  <c:v>29.211000000000123</c:v>
                </c:pt>
                <c:pt idx="493">
                  <c:v>29.211100000000123</c:v>
                </c:pt>
                <c:pt idx="494">
                  <c:v>29.211200000000122</c:v>
                </c:pt>
                <c:pt idx="495">
                  <c:v>29.211300000000122</c:v>
                </c:pt>
                <c:pt idx="496">
                  <c:v>29.211400000000122</c:v>
                </c:pt>
                <c:pt idx="497">
                  <c:v>29.211500000000122</c:v>
                </c:pt>
                <c:pt idx="498">
                  <c:v>29.211600000000121</c:v>
                </c:pt>
                <c:pt idx="499">
                  <c:v>29.211700000000121</c:v>
                </c:pt>
                <c:pt idx="500">
                  <c:v>29.211800000000121</c:v>
                </c:pt>
                <c:pt idx="501">
                  <c:v>29.211900000000121</c:v>
                </c:pt>
                <c:pt idx="502">
                  <c:v>29.212000000000121</c:v>
                </c:pt>
                <c:pt idx="503">
                  <c:v>29.21210000000012</c:v>
                </c:pt>
                <c:pt idx="504">
                  <c:v>29.21220000000012</c:v>
                </c:pt>
                <c:pt idx="505">
                  <c:v>29.21230000000012</c:v>
                </c:pt>
                <c:pt idx="506">
                  <c:v>29.21240000000012</c:v>
                </c:pt>
                <c:pt idx="507">
                  <c:v>29.212500000000119</c:v>
                </c:pt>
                <c:pt idx="508">
                  <c:v>29.212600000000119</c:v>
                </c:pt>
                <c:pt idx="509">
                  <c:v>29.212700000000119</c:v>
                </c:pt>
                <c:pt idx="510">
                  <c:v>29.212800000000119</c:v>
                </c:pt>
                <c:pt idx="511">
                  <c:v>29.212900000000118</c:v>
                </c:pt>
                <c:pt idx="512">
                  <c:v>29.213000000000118</c:v>
                </c:pt>
                <c:pt idx="513">
                  <c:v>29.213100000000118</c:v>
                </c:pt>
                <c:pt idx="514">
                  <c:v>29.213200000000118</c:v>
                </c:pt>
                <c:pt idx="515">
                  <c:v>29.213300000000118</c:v>
                </c:pt>
                <c:pt idx="516">
                  <c:v>29.213400000000117</c:v>
                </c:pt>
                <c:pt idx="517">
                  <c:v>29.213500000000117</c:v>
                </c:pt>
                <c:pt idx="518">
                  <c:v>29.213600000000117</c:v>
                </c:pt>
                <c:pt idx="519">
                  <c:v>29.213700000000117</c:v>
                </c:pt>
                <c:pt idx="520">
                  <c:v>29.213800000000116</c:v>
                </c:pt>
                <c:pt idx="521">
                  <c:v>29.213900000000116</c:v>
                </c:pt>
                <c:pt idx="522">
                  <c:v>29.214000000000116</c:v>
                </c:pt>
                <c:pt idx="523">
                  <c:v>29.214100000000116</c:v>
                </c:pt>
                <c:pt idx="524">
                  <c:v>29.214200000000115</c:v>
                </c:pt>
                <c:pt idx="525">
                  <c:v>29.214300000000115</c:v>
                </c:pt>
                <c:pt idx="526">
                  <c:v>29.214400000000115</c:v>
                </c:pt>
                <c:pt idx="527">
                  <c:v>29.214500000000115</c:v>
                </c:pt>
                <c:pt idx="528">
                  <c:v>29.214600000000114</c:v>
                </c:pt>
                <c:pt idx="529">
                  <c:v>29.214700000000114</c:v>
                </c:pt>
                <c:pt idx="530">
                  <c:v>29.214800000000114</c:v>
                </c:pt>
                <c:pt idx="531">
                  <c:v>29.214900000000114</c:v>
                </c:pt>
                <c:pt idx="532">
                  <c:v>29.215000000000114</c:v>
                </c:pt>
                <c:pt idx="533">
                  <c:v>29.215100000000113</c:v>
                </c:pt>
                <c:pt idx="534">
                  <c:v>29.215200000000113</c:v>
                </c:pt>
                <c:pt idx="535">
                  <c:v>29.215300000000113</c:v>
                </c:pt>
                <c:pt idx="536">
                  <c:v>29.215400000000113</c:v>
                </c:pt>
                <c:pt idx="537">
                  <c:v>29.215500000000112</c:v>
                </c:pt>
                <c:pt idx="538">
                  <c:v>29.215600000000112</c:v>
                </c:pt>
                <c:pt idx="539">
                  <c:v>29.215700000000112</c:v>
                </c:pt>
                <c:pt idx="540">
                  <c:v>29.215800000000112</c:v>
                </c:pt>
                <c:pt idx="541">
                  <c:v>29.215900000000111</c:v>
                </c:pt>
                <c:pt idx="542">
                  <c:v>29.216000000000111</c:v>
                </c:pt>
                <c:pt idx="543">
                  <c:v>29.216100000000111</c:v>
                </c:pt>
                <c:pt idx="544">
                  <c:v>29.216200000000111</c:v>
                </c:pt>
                <c:pt idx="545">
                  <c:v>29.216300000000111</c:v>
                </c:pt>
                <c:pt idx="546">
                  <c:v>29.21640000000011</c:v>
                </c:pt>
                <c:pt idx="547">
                  <c:v>29.21650000000011</c:v>
                </c:pt>
                <c:pt idx="548">
                  <c:v>29.21660000000011</c:v>
                </c:pt>
                <c:pt idx="549">
                  <c:v>29.21670000000011</c:v>
                </c:pt>
                <c:pt idx="550">
                  <c:v>29.216800000000109</c:v>
                </c:pt>
                <c:pt idx="551">
                  <c:v>29.216900000000109</c:v>
                </c:pt>
                <c:pt idx="552">
                  <c:v>29.217000000000109</c:v>
                </c:pt>
                <c:pt idx="553">
                  <c:v>29.217100000000109</c:v>
                </c:pt>
                <c:pt idx="554">
                  <c:v>29.217200000000108</c:v>
                </c:pt>
                <c:pt idx="555">
                  <c:v>29.217300000000108</c:v>
                </c:pt>
                <c:pt idx="556">
                  <c:v>29.217400000000108</c:v>
                </c:pt>
                <c:pt idx="557">
                  <c:v>29.217500000000108</c:v>
                </c:pt>
                <c:pt idx="558">
                  <c:v>29.217600000000107</c:v>
                </c:pt>
                <c:pt idx="559">
                  <c:v>29.217700000000107</c:v>
                </c:pt>
                <c:pt idx="560">
                  <c:v>29.217800000000107</c:v>
                </c:pt>
                <c:pt idx="561">
                  <c:v>29.217900000000107</c:v>
                </c:pt>
                <c:pt idx="562">
                  <c:v>29.218000000000107</c:v>
                </c:pt>
                <c:pt idx="563">
                  <c:v>29.218100000000106</c:v>
                </c:pt>
                <c:pt idx="564">
                  <c:v>29.218200000000106</c:v>
                </c:pt>
                <c:pt idx="565">
                  <c:v>29.218300000000106</c:v>
                </c:pt>
                <c:pt idx="566">
                  <c:v>29.218400000000106</c:v>
                </c:pt>
                <c:pt idx="567">
                  <c:v>29.218500000000105</c:v>
                </c:pt>
                <c:pt idx="568">
                  <c:v>29.218600000000105</c:v>
                </c:pt>
                <c:pt idx="569">
                  <c:v>29.218700000000105</c:v>
                </c:pt>
                <c:pt idx="570">
                  <c:v>29.218800000000105</c:v>
                </c:pt>
                <c:pt idx="571">
                  <c:v>29.218900000000104</c:v>
                </c:pt>
                <c:pt idx="572">
                  <c:v>29.219000000000104</c:v>
                </c:pt>
                <c:pt idx="573">
                  <c:v>29.219100000000104</c:v>
                </c:pt>
                <c:pt idx="574">
                  <c:v>29.219200000000104</c:v>
                </c:pt>
                <c:pt idx="575">
                  <c:v>29.219300000000104</c:v>
                </c:pt>
                <c:pt idx="576">
                  <c:v>29.219400000000103</c:v>
                </c:pt>
                <c:pt idx="577">
                  <c:v>29.219500000000103</c:v>
                </c:pt>
                <c:pt idx="578">
                  <c:v>29.219600000000103</c:v>
                </c:pt>
                <c:pt idx="579">
                  <c:v>29.219700000000103</c:v>
                </c:pt>
                <c:pt idx="580">
                  <c:v>29.219800000000102</c:v>
                </c:pt>
                <c:pt idx="581">
                  <c:v>29.219900000000102</c:v>
                </c:pt>
                <c:pt idx="582">
                  <c:v>29.220000000000102</c:v>
                </c:pt>
                <c:pt idx="583">
                  <c:v>29.220100000000102</c:v>
                </c:pt>
                <c:pt idx="584">
                  <c:v>29.220200000000101</c:v>
                </c:pt>
                <c:pt idx="585">
                  <c:v>29.220300000000101</c:v>
                </c:pt>
                <c:pt idx="586">
                  <c:v>29.220400000000101</c:v>
                </c:pt>
                <c:pt idx="587">
                  <c:v>29.220500000000101</c:v>
                </c:pt>
                <c:pt idx="588">
                  <c:v>29.2206000000001</c:v>
                </c:pt>
                <c:pt idx="589">
                  <c:v>29.2207000000001</c:v>
                </c:pt>
                <c:pt idx="590">
                  <c:v>29.2208000000001</c:v>
                </c:pt>
                <c:pt idx="591">
                  <c:v>29.2209000000001</c:v>
                </c:pt>
                <c:pt idx="592">
                  <c:v>29.2210000000001</c:v>
                </c:pt>
                <c:pt idx="593">
                  <c:v>29.221100000000099</c:v>
                </c:pt>
                <c:pt idx="594">
                  <c:v>29.221200000000099</c:v>
                </c:pt>
                <c:pt idx="595">
                  <c:v>29.221300000000099</c:v>
                </c:pt>
                <c:pt idx="596">
                  <c:v>29.221400000000099</c:v>
                </c:pt>
                <c:pt idx="597">
                  <c:v>29.221500000000098</c:v>
                </c:pt>
                <c:pt idx="598">
                  <c:v>29.221600000000098</c:v>
                </c:pt>
                <c:pt idx="599">
                  <c:v>29.221700000000098</c:v>
                </c:pt>
                <c:pt idx="600">
                  <c:v>29.221800000000098</c:v>
                </c:pt>
                <c:pt idx="601">
                  <c:v>29.221900000000097</c:v>
                </c:pt>
                <c:pt idx="602">
                  <c:v>29.222000000000097</c:v>
                </c:pt>
                <c:pt idx="603">
                  <c:v>29.222100000000097</c:v>
                </c:pt>
                <c:pt idx="604">
                  <c:v>29.222200000000097</c:v>
                </c:pt>
                <c:pt idx="605">
                  <c:v>29.222300000000097</c:v>
                </c:pt>
                <c:pt idx="606">
                  <c:v>29.222400000000096</c:v>
                </c:pt>
                <c:pt idx="607">
                  <c:v>29.222500000000096</c:v>
                </c:pt>
                <c:pt idx="608">
                  <c:v>29.222600000000096</c:v>
                </c:pt>
                <c:pt idx="609">
                  <c:v>29.222700000000096</c:v>
                </c:pt>
                <c:pt idx="610">
                  <c:v>29.222800000000095</c:v>
                </c:pt>
                <c:pt idx="611">
                  <c:v>29.222900000000095</c:v>
                </c:pt>
                <c:pt idx="612">
                  <c:v>29.223000000000095</c:v>
                </c:pt>
                <c:pt idx="613">
                  <c:v>29.223100000000095</c:v>
                </c:pt>
                <c:pt idx="614">
                  <c:v>29.223200000000094</c:v>
                </c:pt>
                <c:pt idx="615">
                  <c:v>29.223300000000094</c:v>
                </c:pt>
                <c:pt idx="616">
                  <c:v>29.223400000000094</c:v>
                </c:pt>
                <c:pt idx="617">
                  <c:v>29.223500000000094</c:v>
                </c:pt>
                <c:pt idx="618">
                  <c:v>29.223600000000094</c:v>
                </c:pt>
                <c:pt idx="619">
                  <c:v>29.223700000000093</c:v>
                </c:pt>
                <c:pt idx="620">
                  <c:v>29.223800000000093</c:v>
                </c:pt>
                <c:pt idx="621">
                  <c:v>29.223900000000093</c:v>
                </c:pt>
                <c:pt idx="622">
                  <c:v>29.224000000000093</c:v>
                </c:pt>
                <c:pt idx="623">
                  <c:v>29.224100000000092</c:v>
                </c:pt>
                <c:pt idx="624">
                  <c:v>29.224200000000092</c:v>
                </c:pt>
                <c:pt idx="625">
                  <c:v>29.224300000000092</c:v>
                </c:pt>
                <c:pt idx="626">
                  <c:v>29.224400000000092</c:v>
                </c:pt>
                <c:pt idx="627">
                  <c:v>29.224500000000091</c:v>
                </c:pt>
                <c:pt idx="628">
                  <c:v>29.224600000000091</c:v>
                </c:pt>
                <c:pt idx="629">
                  <c:v>29.224700000000091</c:v>
                </c:pt>
                <c:pt idx="630">
                  <c:v>29.224800000000091</c:v>
                </c:pt>
                <c:pt idx="631">
                  <c:v>29.22490000000009</c:v>
                </c:pt>
                <c:pt idx="632">
                  <c:v>29.22500000000009</c:v>
                </c:pt>
                <c:pt idx="633">
                  <c:v>29.22510000000009</c:v>
                </c:pt>
                <c:pt idx="634">
                  <c:v>29.22520000000009</c:v>
                </c:pt>
                <c:pt idx="635">
                  <c:v>29.22530000000009</c:v>
                </c:pt>
                <c:pt idx="636">
                  <c:v>29.225400000000089</c:v>
                </c:pt>
                <c:pt idx="637">
                  <c:v>29.225500000000089</c:v>
                </c:pt>
                <c:pt idx="638">
                  <c:v>29.225600000000089</c:v>
                </c:pt>
                <c:pt idx="639">
                  <c:v>29.225700000000089</c:v>
                </c:pt>
                <c:pt idx="640">
                  <c:v>29.225800000000088</c:v>
                </c:pt>
                <c:pt idx="641">
                  <c:v>29.225900000000088</c:v>
                </c:pt>
                <c:pt idx="642">
                  <c:v>29.226000000000088</c:v>
                </c:pt>
                <c:pt idx="643">
                  <c:v>29.226100000000088</c:v>
                </c:pt>
                <c:pt idx="644">
                  <c:v>29.226200000000087</c:v>
                </c:pt>
                <c:pt idx="645">
                  <c:v>29.226300000000087</c:v>
                </c:pt>
                <c:pt idx="646">
                  <c:v>29.226400000000087</c:v>
                </c:pt>
                <c:pt idx="647">
                  <c:v>29.226500000000087</c:v>
                </c:pt>
                <c:pt idx="648">
                  <c:v>29.226600000000087</c:v>
                </c:pt>
                <c:pt idx="649">
                  <c:v>29.226700000000086</c:v>
                </c:pt>
                <c:pt idx="650">
                  <c:v>29.226800000000086</c:v>
                </c:pt>
                <c:pt idx="651">
                  <c:v>29.226900000000086</c:v>
                </c:pt>
                <c:pt idx="652">
                  <c:v>29.227000000000086</c:v>
                </c:pt>
                <c:pt idx="653">
                  <c:v>29.227100000000085</c:v>
                </c:pt>
                <c:pt idx="654">
                  <c:v>29.227200000000085</c:v>
                </c:pt>
                <c:pt idx="655">
                  <c:v>29.227300000000085</c:v>
                </c:pt>
                <c:pt idx="656">
                  <c:v>29.227400000000085</c:v>
                </c:pt>
                <c:pt idx="657">
                  <c:v>29.227500000000084</c:v>
                </c:pt>
                <c:pt idx="658">
                  <c:v>29.227600000000084</c:v>
                </c:pt>
                <c:pt idx="659">
                  <c:v>29.227700000000084</c:v>
                </c:pt>
                <c:pt idx="660">
                  <c:v>29.227800000000084</c:v>
                </c:pt>
                <c:pt idx="661">
                  <c:v>29.227900000000083</c:v>
                </c:pt>
                <c:pt idx="662">
                  <c:v>29.228000000000083</c:v>
                </c:pt>
                <c:pt idx="663">
                  <c:v>29.228100000000083</c:v>
                </c:pt>
                <c:pt idx="664">
                  <c:v>29.228200000000083</c:v>
                </c:pt>
                <c:pt idx="665">
                  <c:v>29.228300000000083</c:v>
                </c:pt>
                <c:pt idx="666">
                  <c:v>29.228400000000082</c:v>
                </c:pt>
                <c:pt idx="667">
                  <c:v>29.228500000000082</c:v>
                </c:pt>
                <c:pt idx="668">
                  <c:v>29.228600000000082</c:v>
                </c:pt>
                <c:pt idx="669">
                  <c:v>29.228700000000082</c:v>
                </c:pt>
                <c:pt idx="670">
                  <c:v>29.228800000000081</c:v>
                </c:pt>
                <c:pt idx="671">
                  <c:v>29.228900000000081</c:v>
                </c:pt>
                <c:pt idx="672">
                  <c:v>29.229000000000081</c:v>
                </c:pt>
                <c:pt idx="673">
                  <c:v>29.229100000000081</c:v>
                </c:pt>
                <c:pt idx="674">
                  <c:v>29.22920000000008</c:v>
                </c:pt>
                <c:pt idx="675">
                  <c:v>29.22930000000008</c:v>
                </c:pt>
                <c:pt idx="676">
                  <c:v>29.22940000000008</c:v>
                </c:pt>
                <c:pt idx="677">
                  <c:v>29.22950000000008</c:v>
                </c:pt>
                <c:pt idx="678">
                  <c:v>29.22960000000008</c:v>
                </c:pt>
                <c:pt idx="679">
                  <c:v>29.229700000000079</c:v>
                </c:pt>
                <c:pt idx="680">
                  <c:v>29.229800000000079</c:v>
                </c:pt>
                <c:pt idx="681">
                  <c:v>29.229900000000079</c:v>
                </c:pt>
                <c:pt idx="682">
                  <c:v>29.230000000000079</c:v>
                </c:pt>
                <c:pt idx="683">
                  <c:v>29.230100000000078</c:v>
                </c:pt>
                <c:pt idx="684">
                  <c:v>29.230200000000078</c:v>
                </c:pt>
                <c:pt idx="685">
                  <c:v>29.230300000000078</c:v>
                </c:pt>
                <c:pt idx="686">
                  <c:v>29.230400000000078</c:v>
                </c:pt>
                <c:pt idx="687">
                  <c:v>29.230500000000077</c:v>
                </c:pt>
                <c:pt idx="688">
                  <c:v>29.230600000000077</c:v>
                </c:pt>
                <c:pt idx="689">
                  <c:v>29.230700000000077</c:v>
                </c:pt>
                <c:pt idx="690">
                  <c:v>29.230800000000077</c:v>
                </c:pt>
                <c:pt idx="691">
                  <c:v>29.230900000000076</c:v>
                </c:pt>
                <c:pt idx="692">
                  <c:v>29.231000000000076</c:v>
                </c:pt>
                <c:pt idx="693">
                  <c:v>29.231100000000076</c:v>
                </c:pt>
                <c:pt idx="694">
                  <c:v>29.231200000000076</c:v>
                </c:pt>
                <c:pt idx="695">
                  <c:v>29.231300000000076</c:v>
                </c:pt>
                <c:pt idx="696">
                  <c:v>29.231400000000075</c:v>
                </c:pt>
                <c:pt idx="697">
                  <c:v>29.231500000000075</c:v>
                </c:pt>
                <c:pt idx="698">
                  <c:v>29.231600000000075</c:v>
                </c:pt>
                <c:pt idx="699">
                  <c:v>29.231700000000075</c:v>
                </c:pt>
                <c:pt idx="700">
                  <c:v>29.231800000000074</c:v>
                </c:pt>
                <c:pt idx="701">
                  <c:v>29.231900000000074</c:v>
                </c:pt>
                <c:pt idx="702">
                  <c:v>29.232000000000074</c:v>
                </c:pt>
                <c:pt idx="703">
                  <c:v>29.232100000000074</c:v>
                </c:pt>
                <c:pt idx="704">
                  <c:v>29.232200000000073</c:v>
                </c:pt>
                <c:pt idx="705">
                  <c:v>29.232300000000073</c:v>
                </c:pt>
                <c:pt idx="706">
                  <c:v>29.232400000000073</c:v>
                </c:pt>
                <c:pt idx="707">
                  <c:v>29.232500000000073</c:v>
                </c:pt>
                <c:pt idx="708">
                  <c:v>29.232600000000073</c:v>
                </c:pt>
                <c:pt idx="709">
                  <c:v>29.232700000000072</c:v>
                </c:pt>
                <c:pt idx="710">
                  <c:v>29.232800000000072</c:v>
                </c:pt>
                <c:pt idx="711">
                  <c:v>29.232900000000072</c:v>
                </c:pt>
                <c:pt idx="712">
                  <c:v>29.233000000000072</c:v>
                </c:pt>
                <c:pt idx="713">
                  <c:v>29.233100000000071</c:v>
                </c:pt>
                <c:pt idx="714">
                  <c:v>29.233200000000071</c:v>
                </c:pt>
                <c:pt idx="715">
                  <c:v>29.233300000000071</c:v>
                </c:pt>
                <c:pt idx="716">
                  <c:v>29.233400000000071</c:v>
                </c:pt>
                <c:pt idx="717">
                  <c:v>29.23350000000007</c:v>
                </c:pt>
                <c:pt idx="718">
                  <c:v>29.23360000000007</c:v>
                </c:pt>
                <c:pt idx="719">
                  <c:v>29.23370000000007</c:v>
                </c:pt>
                <c:pt idx="720">
                  <c:v>29.23380000000007</c:v>
                </c:pt>
                <c:pt idx="721">
                  <c:v>29.233900000000069</c:v>
                </c:pt>
                <c:pt idx="722">
                  <c:v>29.234000000000069</c:v>
                </c:pt>
                <c:pt idx="723">
                  <c:v>29.234100000000069</c:v>
                </c:pt>
                <c:pt idx="724">
                  <c:v>29.234200000000069</c:v>
                </c:pt>
                <c:pt idx="725">
                  <c:v>29.234300000000069</c:v>
                </c:pt>
                <c:pt idx="726">
                  <c:v>29.234400000000068</c:v>
                </c:pt>
                <c:pt idx="727">
                  <c:v>29.234500000000068</c:v>
                </c:pt>
                <c:pt idx="728">
                  <c:v>29.234600000000068</c:v>
                </c:pt>
                <c:pt idx="729">
                  <c:v>29.234700000000068</c:v>
                </c:pt>
                <c:pt idx="730">
                  <c:v>29.234800000000067</c:v>
                </c:pt>
                <c:pt idx="731">
                  <c:v>29.234900000000067</c:v>
                </c:pt>
                <c:pt idx="732">
                  <c:v>29.235000000000067</c:v>
                </c:pt>
                <c:pt idx="733">
                  <c:v>29.235100000000067</c:v>
                </c:pt>
                <c:pt idx="734">
                  <c:v>29.235200000000066</c:v>
                </c:pt>
                <c:pt idx="735">
                  <c:v>29.235300000000066</c:v>
                </c:pt>
                <c:pt idx="736">
                  <c:v>29.235400000000066</c:v>
                </c:pt>
                <c:pt idx="737">
                  <c:v>29.235500000000066</c:v>
                </c:pt>
                <c:pt idx="738">
                  <c:v>29.235600000000066</c:v>
                </c:pt>
                <c:pt idx="739">
                  <c:v>29.235700000000065</c:v>
                </c:pt>
                <c:pt idx="740">
                  <c:v>29.235800000000065</c:v>
                </c:pt>
                <c:pt idx="741">
                  <c:v>29.235900000000065</c:v>
                </c:pt>
                <c:pt idx="742">
                  <c:v>29.236000000000065</c:v>
                </c:pt>
                <c:pt idx="743">
                  <c:v>29.236100000000064</c:v>
                </c:pt>
                <c:pt idx="744">
                  <c:v>29.236200000000064</c:v>
                </c:pt>
                <c:pt idx="745">
                  <c:v>29.236300000000064</c:v>
                </c:pt>
                <c:pt idx="746">
                  <c:v>29.236400000000064</c:v>
                </c:pt>
                <c:pt idx="747">
                  <c:v>29.236500000000063</c:v>
                </c:pt>
                <c:pt idx="748">
                  <c:v>29.236600000000063</c:v>
                </c:pt>
                <c:pt idx="749">
                  <c:v>29.236700000000063</c:v>
                </c:pt>
                <c:pt idx="750">
                  <c:v>29.236800000000063</c:v>
                </c:pt>
                <c:pt idx="751">
                  <c:v>29.236900000000063</c:v>
                </c:pt>
                <c:pt idx="752">
                  <c:v>29.237000000000062</c:v>
                </c:pt>
                <c:pt idx="753">
                  <c:v>29.237100000000062</c:v>
                </c:pt>
                <c:pt idx="754">
                  <c:v>29.237200000000062</c:v>
                </c:pt>
                <c:pt idx="755">
                  <c:v>29.237300000000062</c:v>
                </c:pt>
                <c:pt idx="756">
                  <c:v>29.237400000000061</c:v>
                </c:pt>
                <c:pt idx="757">
                  <c:v>29.237500000000061</c:v>
                </c:pt>
                <c:pt idx="758">
                  <c:v>29.237600000000061</c:v>
                </c:pt>
                <c:pt idx="759">
                  <c:v>29.237700000000061</c:v>
                </c:pt>
                <c:pt idx="760">
                  <c:v>29.23780000000006</c:v>
                </c:pt>
                <c:pt idx="761">
                  <c:v>29.23790000000006</c:v>
                </c:pt>
                <c:pt idx="762">
                  <c:v>29.23800000000006</c:v>
                </c:pt>
                <c:pt idx="763">
                  <c:v>29.23810000000006</c:v>
                </c:pt>
                <c:pt idx="764">
                  <c:v>29.238200000000059</c:v>
                </c:pt>
                <c:pt idx="765">
                  <c:v>29.238300000000059</c:v>
                </c:pt>
                <c:pt idx="766">
                  <c:v>29.238400000000059</c:v>
                </c:pt>
                <c:pt idx="767">
                  <c:v>29.238500000000059</c:v>
                </c:pt>
                <c:pt idx="768">
                  <c:v>29.238600000000059</c:v>
                </c:pt>
                <c:pt idx="769">
                  <c:v>29.238700000000058</c:v>
                </c:pt>
                <c:pt idx="770">
                  <c:v>29.238800000000058</c:v>
                </c:pt>
                <c:pt idx="771">
                  <c:v>29.238900000000058</c:v>
                </c:pt>
                <c:pt idx="772">
                  <c:v>29.239000000000058</c:v>
                </c:pt>
                <c:pt idx="773">
                  <c:v>29.239100000000057</c:v>
                </c:pt>
                <c:pt idx="774">
                  <c:v>29.239200000000057</c:v>
                </c:pt>
                <c:pt idx="775">
                  <c:v>29.239300000000057</c:v>
                </c:pt>
                <c:pt idx="776">
                  <c:v>29.239400000000057</c:v>
                </c:pt>
                <c:pt idx="777">
                  <c:v>29.239500000000056</c:v>
                </c:pt>
                <c:pt idx="778">
                  <c:v>29.239600000000056</c:v>
                </c:pt>
                <c:pt idx="779">
                  <c:v>29.239700000000056</c:v>
                </c:pt>
                <c:pt idx="780">
                  <c:v>29.239800000000056</c:v>
                </c:pt>
                <c:pt idx="781">
                  <c:v>29.239900000000056</c:v>
                </c:pt>
                <c:pt idx="782">
                  <c:v>29.240000000000055</c:v>
                </c:pt>
                <c:pt idx="783">
                  <c:v>29.240100000000055</c:v>
                </c:pt>
                <c:pt idx="784">
                  <c:v>29.240200000000055</c:v>
                </c:pt>
                <c:pt idx="785">
                  <c:v>29.240300000000055</c:v>
                </c:pt>
                <c:pt idx="786">
                  <c:v>29.240400000000054</c:v>
                </c:pt>
                <c:pt idx="787">
                  <c:v>29.240500000000054</c:v>
                </c:pt>
                <c:pt idx="788">
                  <c:v>29.240600000000054</c:v>
                </c:pt>
                <c:pt idx="789">
                  <c:v>29.240700000000054</c:v>
                </c:pt>
                <c:pt idx="790">
                  <c:v>29.240800000000053</c:v>
                </c:pt>
                <c:pt idx="791">
                  <c:v>29.240900000000053</c:v>
                </c:pt>
                <c:pt idx="792">
                  <c:v>29.241000000000053</c:v>
                </c:pt>
                <c:pt idx="793">
                  <c:v>29.241100000000053</c:v>
                </c:pt>
                <c:pt idx="794">
                  <c:v>29.241200000000052</c:v>
                </c:pt>
                <c:pt idx="795">
                  <c:v>29.241300000000052</c:v>
                </c:pt>
                <c:pt idx="796">
                  <c:v>29.241400000000052</c:v>
                </c:pt>
                <c:pt idx="797">
                  <c:v>29.241500000000052</c:v>
                </c:pt>
                <c:pt idx="798">
                  <c:v>29.241600000000052</c:v>
                </c:pt>
                <c:pt idx="799">
                  <c:v>29.241700000000051</c:v>
                </c:pt>
                <c:pt idx="800">
                  <c:v>29.241800000000051</c:v>
                </c:pt>
                <c:pt idx="801">
                  <c:v>29.241900000000051</c:v>
                </c:pt>
                <c:pt idx="802">
                  <c:v>29.242000000000051</c:v>
                </c:pt>
                <c:pt idx="803">
                  <c:v>29.24210000000005</c:v>
                </c:pt>
                <c:pt idx="804">
                  <c:v>29.24220000000005</c:v>
                </c:pt>
                <c:pt idx="805">
                  <c:v>29.24230000000005</c:v>
                </c:pt>
                <c:pt idx="806">
                  <c:v>29.24240000000005</c:v>
                </c:pt>
                <c:pt idx="807">
                  <c:v>29.242500000000049</c:v>
                </c:pt>
                <c:pt idx="808">
                  <c:v>29.242600000000049</c:v>
                </c:pt>
                <c:pt idx="809">
                  <c:v>29.242700000000049</c:v>
                </c:pt>
                <c:pt idx="810">
                  <c:v>29.242800000000049</c:v>
                </c:pt>
                <c:pt idx="811">
                  <c:v>29.242900000000049</c:v>
                </c:pt>
                <c:pt idx="812">
                  <c:v>29.243000000000048</c:v>
                </c:pt>
                <c:pt idx="813">
                  <c:v>29.243100000000048</c:v>
                </c:pt>
                <c:pt idx="814">
                  <c:v>29.243200000000048</c:v>
                </c:pt>
                <c:pt idx="815">
                  <c:v>29.243300000000048</c:v>
                </c:pt>
                <c:pt idx="816">
                  <c:v>29.243400000000047</c:v>
                </c:pt>
                <c:pt idx="817">
                  <c:v>29.243500000000047</c:v>
                </c:pt>
                <c:pt idx="818">
                  <c:v>29.243600000000047</c:v>
                </c:pt>
                <c:pt idx="819">
                  <c:v>29.243700000000047</c:v>
                </c:pt>
                <c:pt idx="820">
                  <c:v>29.243800000000046</c:v>
                </c:pt>
                <c:pt idx="821">
                  <c:v>29.243900000000046</c:v>
                </c:pt>
                <c:pt idx="822">
                  <c:v>29.244000000000046</c:v>
                </c:pt>
                <c:pt idx="823">
                  <c:v>29.244100000000046</c:v>
                </c:pt>
                <c:pt idx="824">
                  <c:v>29.244200000000045</c:v>
                </c:pt>
                <c:pt idx="825">
                  <c:v>29.244300000000045</c:v>
                </c:pt>
                <c:pt idx="826">
                  <c:v>29.244400000000045</c:v>
                </c:pt>
                <c:pt idx="827">
                  <c:v>29.244500000000045</c:v>
                </c:pt>
                <c:pt idx="828">
                  <c:v>29.244600000000045</c:v>
                </c:pt>
                <c:pt idx="829">
                  <c:v>29.244700000000044</c:v>
                </c:pt>
                <c:pt idx="830">
                  <c:v>29.244800000000044</c:v>
                </c:pt>
                <c:pt idx="831">
                  <c:v>29.244900000000044</c:v>
                </c:pt>
                <c:pt idx="832">
                  <c:v>29.245000000000044</c:v>
                </c:pt>
                <c:pt idx="833">
                  <c:v>29.245100000000043</c:v>
                </c:pt>
                <c:pt idx="834">
                  <c:v>29.245200000000043</c:v>
                </c:pt>
                <c:pt idx="835">
                  <c:v>29.245300000000043</c:v>
                </c:pt>
                <c:pt idx="836">
                  <c:v>29.245400000000043</c:v>
                </c:pt>
                <c:pt idx="837">
                  <c:v>29.245500000000042</c:v>
                </c:pt>
                <c:pt idx="838">
                  <c:v>29.245600000000042</c:v>
                </c:pt>
                <c:pt idx="839">
                  <c:v>29.245700000000042</c:v>
                </c:pt>
                <c:pt idx="840">
                  <c:v>29.245800000000042</c:v>
                </c:pt>
                <c:pt idx="841">
                  <c:v>29.245900000000042</c:v>
                </c:pt>
                <c:pt idx="842">
                  <c:v>29.246000000000041</c:v>
                </c:pt>
                <c:pt idx="843">
                  <c:v>29.246100000000041</c:v>
                </c:pt>
                <c:pt idx="844">
                  <c:v>29.246200000000041</c:v>
                </c:pt>
                <c:pt idx="845">
                  <c:v>29.246300000000041</c:v>
                </c:pt>
                <c:pt idx="846">
                  <c:v>29.24640000000004</c:v>
                </c:pt>
                <c:pt idx="847">
                  <c:v>29.24650000000004</c:v>
                </c:pt>
                <c:pt idx="848">
                  <c:v>29.24660000000004</c:v>
                </c:pt>
                <c:pt idx="849">
                  <c:v>29.24670000000004</c:v>
                </c:pt>
                <c:pt idx="850">
                  <c:v>29.246800000000039</c:v>
                </c:pt>
                <c:pt idx="851">
                  <c:v>29.246900000000039</c:v>
                </c:pt>
                <c:pt idx="852">
                  <c:v>29.247000000000039</c:v>
                </c:pt>
                <c:pt idx="853">
                  <c:v>29.247100000000039</c:v>
                </c:pt>
                <c:pt idx="854">
                  <c:v>29.247200000000039</c:v>
                </c:pt>
                <c:pt idx="855">
                  <c:v>29.247300000000038</c:v>
                </c:pt>
                <c:pt idx="856">
                  <c:v>29.247400000000038</c:v>
                </c:pt>
                <c:pt idx="857">
                  <c:v>29.247500000000038</c:v>
                </c:pt>
                <c:pt idx="858">
                  <c:v>29.247600000000038</c:v>
                </c:pt>
                <c:pt idx="859">
                  <c:v>29.247700000000037</c:v>
                </c:pt>
                <c:pt idx="860">
                  <c:v>29.247800000000037</c:v>
                </c:pt>
                <c:pt idx="861">
                  <c:v>29.247900000000037</c:v>
                </c:pt>
                <c:pt idx="862">
                  <c:v>29.248000000000037</c:v>
                </c:pt>
                <c:pt idx="863">
                  <c:v>29.248100000000036</c:v>
                </c:pt>
                <c:pt idx="864">
                  <c:v>29.248200000000036</c:v>
                </c:pt>
                <c:pt idx="865">
                  <c:v>29.248300000000036</c:v>
                </c:pt>
                <c:pt idx="866">
                  <c:v>29.248400000000036</c:v>
                </c:pt>
                <c:pt idx="867">
                  <c:v>29.248500000000035</c:v>
                </c:pt>
                <c:pt idx="868">
                  <c:v>29.248600000000035</c:v>
                </c:pt>
                <c:pt idx="869">
                  <c:v>29.248700000000035</c:v>
                </c:pt>
                <c:pt idx="870">
                  <c:v>29.248800000000035</c:v>
                </c:pt>
                <c:pt idx="871">
                  <c:v>29.248900000000035</c:v>
                </c:pt>
                <c:pt idx="872">
                  <c:v>29.249000000000034</c:v>
                </c:pt>
                <c:pt idx="873">
                  <c:v>29.249100000000034</c:v>
                </c:pt>
                <c:pt idx="874">
                  <c:v>29.249200000000034</c:v>
                </c:pt>
                <c:pt idx="875">
                  <c:v>29.249300000000034</c:v>
                </c:pt>
                <c:pt idx="876">
                  <c:v>29.249400000000033</c:v>
                </c:pt>
                <c:pt idx="877">
                  <c:v>29.249500000000033</c:v>
                </c:pt>
                <c:pt idx="878">
                  <c:v>29.249600000000033</c:v>
                </c:pt>
                <c:pt idx="879">
                  <c:v>29.249700000000033</c:v>
                </c:pt>
                <c:pt idx="880">
                  <c:v>29.249800000000032</c:v>
                </c:pt>
                <c:pt idx="881">
                  <c:v>29.249900000000032</c:v>
                </c:pt>
                <c:pt idx="882">
                  <c:v>29.250000000000032</c:v>
                </c:pt>
                <c:pt idx="883">
                  <c:v>29.250100000000032</c:v>
                </c:pt>
                <c:pt idx="884">
                  <c:v>29.250200000000032</c:v>
                </c:pt>
                <c:pt idx="885">
                  <c:v>29.250300000000031</c:v>
                </c:pt>
                <c:pt idx="886">
                  <c:v>29.250400000000031</c:v>
                </c:pt>
                <c:pt idx="887">
                  <c:v>29.250500000000031</c:v>
                </c:pt>
                <c:pt idx="888">
                  <c:v>29.250600000000031</c:v>
                </c:pt>
                <c:pt idx="889">
                  <c:v>29.25070000000003</c:v>
                </c:pt>
                <c:pt idx="890">
                  <c:v>29.25080000000003</c:v>
                </c:pt>
                <c:pt idx="891">
                  <c:v>29.25090000000003</c:v>
                </c:pt>
                <c:pt idx="892">
                  <c:v>29.25100000000003</c:v>
                </c:pt>
                <c:pt idx="893">
                  <c:v>29.251100000000029</c:v>
                </c:pt>
                <c:pt idx="894">
                  <c:v>29.251200000000029</c:v>
                </c:pt>
                <c:pt idx="895">
                  <c:v>29.251300000000029</c:v>
                </c:pt>
                <c:pt idx="896">
                  <c:v>29.251400000000029</c:v>
                </c:pt>
                <c:pt idx="897">
                  <c:v>29.251500000000028</c:v>
                </c:pt>
                <c:pt idx="898">
                  <c:v>29.251600000000028</c:v>
                </c:pt>
                <c:pt idx="899">
                  <c:v>29.251700000000028</c:v>
                </c:pt>
                <c:pt idx="900">
                  <c:v>29.251800000000028</c:v>
                </c:pt>
                <c:pt idx="901">
                  <c:v>29.251900000000028</c:v>
                </c:pt>
                <c:pt idx="902">
                  <c:v>29.252000000000027</c:v>
                </c:pt>
                <c:pt idx="903">
                  <c:v>29.252100000000027</c:v>
                </c:pt>
                <c:pt idx="904">
                  <c:v>29.252200000000027</c:v>
                </c:pt>
                <c:pt idx="905">
                  <c:v>29.252300000000027</c:v>
                </c:pt>
                <c:pt idx="906">
                  <c:v>29.252400000000026</c:v>
                </c:pt>
                <c:pt idx="907">
                  <c:v>29.252500000000026</c:v>
                </c:pt>
                <c:pt idx="908">
                  <c:v>29.252600000000026</c:v>
                </c:pt>
                <c:pt idx="909">
                  <c:v>29.252700000000026</c:v>
                </c:pt>
                <c:pt idx="910">
                  <c:v>29.252800000000025</c:v>
                </c:pt>
                <c:pt idx="911">
                  <c:v>29.252900000000025</c:v>
                </c:pt>
                <c:pt idx="912">
                  <c:v>29.253000000000025</c:v>
                </c:pt>
                <c:pt idx="913">
                  <c:v>29.253100000000025</c:v>
                </c:pt>
                <c:pt idx="914">
                  <c:v>29.253200000000025</c:v>
                </c:pt>
                <c:pt idx="915">
                  <c:v>29.253300000000024</c:v>
                </c:pt>
                <c:pt idx="916">
                  <c:v>29.253400000000024</c:v>
                </c:pt>
                <c:pt idx="917">
                  <c:v>29.253500000000024</c:v>
                </c:pt>
                <c:pt idx="918">
                  <c:v>29.253600000000024</c:v>
                </c:pt>
                <c:pt idx="919">
                  <c:v>29.253700000000023</c:v>
                </c:pt>
                <c:pt idx="920">
                  <c:v>29.253800000000023</c:v>
                </c:pt>
                <c:pt idx="921">
                  <c:v>29.253900000000023</c:v>
                </c:pt>
                <c:pt idx="922">
                  <c:v>29.254000000000023</c:v>
                </c:pt>
                <c:pt idx="923">
                  <c:v>29.254100000000022</c:v>
                </c:pt>
                <c:pt idx="924">
                  <c:v>29.254200000000022</c:v>
                </c:pt>
                <c:pt idx="925">
                  <c:v>29.254300000000022</c:v>
                </c:pt>
                <c:pt idx="926">
                  <c:v>29.254400000000022</c:v>
                </c:pt>
                <c:pt idx="927">
                  <c:v>29.254500000000021</c:v>
                </c:pt>
                <c:pt idx="928">
                  <c:v>29.254600000000021</c:v>
                </c:pt>
                <c:pt idx="929">
                  <c:v>29.254700000000021</c:v>
                </c:pt>
                <c:pt idx="930">
                  <c:v>29.254800000000021</c:v>
                </c:pt>
                <c:pt idx="931">
                  <c:v>29.254900000000021</c:v>
                </c:pt>
                <c:pt idx="932">
                  <c:v>29.25500000000002</c:v>
                </c:pt>
                <c:pt idx="933">
                  <c:v>29.25510000000002</c:v>
                </c:pt>
                <c:pt idx="934">
                  <c:v>29.25520000000002</c:v>
                </c:pt>
                <c:pt idx="935">
                  <c:v>29.25530000000002</c:v>
                </c:pt>
                <c:pt idx="936">
                  <c:v>29.255400000000019</c:v>
                </c:pt>
                <c:pt idx="937">
                  <c:v>29.255500000000019</c:v>
                </c:pt>
                <c:pt idx="938">
                  <c:v>29.255600000000019</c:v>
                </c:pt>
                <c:pt idx="939">
                  <c:v>29.255700000000019</c:v>
                </c:pt>
                <c:pt idx="940">
                  <c:v>29.255800000000018</c:v>
                </c:pt>
                <c:pt idx="941">
                  <c:v>29.255900000000018</c:v>
                </c:pt>
                <c:pt idx="942">
                  <c:v>29.256000000000018</c:v>
                </c:pt>
                <c:pt idx="943">
                  <c:v>29.256100000000018</c:v>
                </c:pt>
                <c:pt idx="944">
                  <c:v>29.256200000000018</c:v>
                </c:pt>
                <c:pt idx="945">
                  <c:v>29.256300000000017</c:v>
                </c:pt>
                <c:pt idx="946">
                  <c:v>29.256400000000017</c:v>
                </c:pt>
                <c:pt idx="947">
                  <c:v>29.256500000000017</c:v>
                </c:pt>
                <c:pt idx="948">
                  <c:v>29.256600000000017</c:v>
                </c:pt>
                <c:pt idx="949">
                  <c:v>29.256700000000016</c:v>
                </c:pt>
                <c:pt idx="950">
                  <c:v>29.256800000000016</c:v>
                </c:pt>
                <c:pt idx="951">
                  <c:v>29.256900000000016</c:v>
                </c:pt>
                <c:pt idx="952">
                  <c:v>29.257000000000016</c:v>
                </c:pt>
                <c:pt idx="953">
                  <c:v>29.257100000000015</c:v>
                </c:pt>
                <c:pt idx="954">
                  <c:v>29.257200000000015</c:v>
                </c:pt>
                <c:pt idx="955">
                  <c:v>29.257300000000015</c:v>
                </c:pt>
                <c:pt idx="956">
                  <c:v>29.257400000000015</c:v>
                </c:pt>
                <c:pt idx="957">
                  <c:v>29.257500000000014</c:v>
                </c:pt>
                <c:pt idx="958">
                  <c:v>29.257600000000014</c:v>
                </c:pt>
                <c:pt idx="959">
                  <c:v>29.257700000000014</c:v>
                </c:pt>
                <c:pt idx="960">
                  <c:v>29.257800000000014</c:v>
                </c:pt>
                <c:pt idx="961">
                  <c:v>29.257900000000014</c:v>
                </c:pt>
                <c:pt idx="962">
                  <c:v>29.258000000000013</c:v>
                </c:pt>
                <c:pt idx="963">
                  <c:v>29.258100000000013</c:v>
                </c:pt>
                <c:pt idx="964">
                  <c:v>29.258200000000013</c:v>
                </c:pt>
                <c:pt idx="965">
                  <c:v>29.258300000000013</c:v>
                </c:pt>
                <c:pt idx="966">
                  <c:v>29.258400000000012</c:v>
                </c:pt>
                <c:pt idx="967">
                  <c:v>29.258500000000012</c:v>
                </c:pt>
                <c:pt idx="968">
                  <c:v>29.258600000000012</c:v>
                </c:pt>
                <c:pt idx="969">
                  <c:v>29.258700000000012</c:v>
                </c:pt>
                <c:pt idx="970">
                  <c:v>29.258800000000011</c:v>
                </c:pt>
                <c:pt idx="971">
                  <c:v>29.258900000000011</c:v>
                </c:pt>
                <c:pt idx="972">
                  <c:v>29.259000000000011</c:v>
                </c:pt>
                <c:pt idx="973">
                  <c:v>29.259100000000011</c:v>
                </c:pt>
                <c:pt idx="974">
                  <c:v>29.259200000000011</c:v>
                </c:pt>
                <c:pt idx="975">
                  <c:v>29.25930000000001</c:v>
                </c:pt>
                <c:pt idx="976">
                  <c:v>29.25940000000001</c:v>
                </c:pt>
                <c:pt idx="977">
                  <c:v>29.25950000000001</c:v>
                </c:pt>
                <c:pt idx="978">
                  <c:v>29.25960000000001</c:v>
                </c:pt>
                <c:pt idx="979">
                  <c:v>29.259700000000009</c:v>
                </c:pt>
                <c:pt idx="980">
                  <c:v>29.259800000000009</c:v>
                </c:pt>
                <c:pt idx="981">
                  <c:v>29.259900000000009</c:v>
                </c:pt>
                <c:pt idx="982">
                  <c:v>29.260000000000009</c:v>
                </c:pt>
                <c:pt idx="983">
                  <c:v>29.260100000000008</c:v>
                </c:pt>
                <c:pt idx="984">
                  <c:v>29.260200000000008</c:v>
                </c:pt>
                <c:pt idx="985">
                  <c:v>29.260300000000008</c:v>
                </c:pt>
                <c:pt idx="986">
                  <c:v>29.260400000000008</c:v>
                </c:pt>
                <c:pt idx="987">
                  <c:v>29.260500000000008</c:v>
                </c:pt>
                <c:pt idx="988">
                  <c:v>29.260600000000007</c:v>
                </c:pt>
                <c:pt idx="989">
                  <c:v>29.260700000000007</c:v>
                </c:pt>
                <c:pt idx="990">
                  <c:v>29.260800000000007</c:v>
                </c:pt>
                <c:pt idx="991">
                  <c:v>29.260900000000007</c:v>
                </c:pt>
                <c:pt idx="992">
                  <c:v>29.261000000000006</c:v>
                </c:pt>
                <c:pt idx="993">
                  <c:v>29.261100000000006</c:v>
                </c:pt>
                <c:pt idx="994">
                  <c:v>29.261200000000006</c:v>
                </c:pt>
                <c:pt idx="995">
                  <c:v>29.261300000000006</c:v>
                </c:pt>
                <c:pt idx="996">
                  <c:v>29.261400000000005</c:v>
                </c:pt>
                <c:pt idx="997">
                  <c:v>29.261500000000005</c:v>
                </c:pt>
                <c:pt idx="998">
                  <c:v>29.261600000000005</c:v>
                </c:pt>
                <c:pt idx="999">
                  <c:v>29.261700000000005</c:v>
                </c:pt>
                <c:pt idx="1000">
                  <c:v>29.261800000000004</c:v>
                </c:pt>
              </c:numCache>
            </c:numRef>
          </c:xVal>
          <c:yVal>
            <c:numRef>
              <c:f>Calculs!$AH$4:$AH$1004</c:f>
              <c:numCache>
                <c:formatCode>0.00</c:formatCode>
                <c:ptCount val="1001"/>
                <c:pt idx="0">
                  <c:v>0</c:v>
                </c:pt>
                <c:pt idx="1">
                  <c:v>-16.860667238590459</c:v>
                </c:pt>
                <c:pt idx="2">
                  <c:v>-16.800786141725418</c:v>
                </c:pt>
                <c:pt idx="3">
                  <c:v>-16.74115761489719</c:v>
                </c:pt>
                <c:pt idx="4">
                  <c:v>-16.681780253963414</c:v>
                </c:pt>
                <c:pt idx="5">
                  <c:v>-16.622652664624823</c:v>
                </c:pt>
                <c:pt idx="6">
                  <c:v>-16.563773462342311</c:v>
                </c:pt>
                <c:pt idx="7">
                  <c:v>-16.505141272255027</c:v>
                </c:pt>
                <c:pt idx="8">
                  <c:v>-16.446754729099073</c:v>
                </c:pt>
                <c:pt idx="9">
                  <c:v>-16.388612477127154</c:v>
                </c:pt>
                <c:pt idx="10">
                  <c:v>-16.330713170028964</c:v>
                </c:pt>
                <c:pt idx="11">
                  <c:v>-16.273249002055611</c:v>
                </c:pt>
                <c:pt idx="12">
                  <c:v>-16.216215078594985</c:v>
                </c:pt>
                <c:pt idx="13">
                  <c:v>-16.159413014966262</c:v>
                </c:pt>
                <c:pt idx="14">
                  <c:v>-16.102841587944599</c:v>
                </c:pt>
                <c:pt idx="15">
                  <c:v>-16.046499582492967</c:v>
                </c:pt>
                <c:pt idx="16">
                  <c:v>-15.990385791696268</c:v>
                </c:pt>
                <c:pt idx="17">
                  <c:v>-15.934499016696186</c:v>
                </c:pt>
                <c:pt idx="18">
                  <c:v>-15.878838066626516</c:v>
                </c:pt>
                <c:pt idx="19">
                  <c:v>-15.823401758549206</c:v>
                </c:pt>
                <c:pt idx="20">
                  <c:v>-15.76818891739091</c:v>
                </c:pt>
                <c:pt idx="21">
                  <c:v>-15.713101554436044</c:v>
                </c:pt>
                <c:pt idx="22">
                  <c:v>-15.658140236474912</c:v>
                </c:pt>
                <c:pt idx="23">
                  <c:v>-15.603402343752798</c:v>
                </c:pt>
                <c:pt idx="24">
                  <c:v>-15.548886690797337</c:v>
                </c:pt>
                <c:pt idx="25">
                  <c:v>-15.494592100097451</c:v>
                </c:pt>
                <c:pt idx="26">
                  <c:v>-15.44051740203923</c:v>
                </c:pt>
                <c:pt idx="27">
                  <c:v>-15.386661434842319</c:v>
                </c:pt>
                <c:pt idx="28">
                  <c:v>-15.333023044496931</c:v>
                </c:pt>
                <c:pt idx="29">
                  <c:v>-15.279601084701534</c:v>
                </c:pt>
                <c:pt idx="30">
                  <c:v>-15.226394416800964</c:v>
                </c:pt>
                <c:pt idx="31">
                  <c:v>-15.173401909725287</c:v>
                </c:pt>
                <c:pt idx="32">
                  <c:v>-15.120622439929075</c:v>
                </c:pt>
                <c:pt idx="33">
                  <c:v>-15.068054891331411</c:v>
                </c:pt>
                <c:pt idx="34">
                  <c:v>-15.015698155256292</c:v>
                </c:pt>
                <c:pt idx="35">
                  <c:v>-14.963551130373711</c:v>
                </c:pt>
                <c:pt idx="36">
                  <c:v>-14.911612722641248</c:v>
                </c:pt>
                <c:pt idx="37">
                  <c:v>-14.859881845246147</c:v>
                </c:pt>
                <c:pt idx="38">
                  <c:v>-14.808357418548027</c:v>
                </c:pt>
                <c:pt idx="39">
                  <c:v>-14.757038370022094</c:v>
                </c:pt>
                <c:pt idx="40">
                  <c:v>-14.705923634202785</c:v>
                </c:pt>
                <c:pt idx="41">
                  <c:v>-14.655012152628089</c:v>
                </c:pt>
                <c:pt idx="42">
                  <c:v>-14.60430287378427</c:v>
                </c:pt>
                <c:pt idx="43">
                  <c:v>-14.553794753051131</c:v>
                </c:pt>
                <c:pt idx="44">
                  <c:v>-14.503486752647795</c:v>
                </c:pt>
                <c:pt idx="45">
                  <c:v>-14.453377841578972</c:v>
                </c:pt>
                <c:pt idx="46">
                  <c:v>-14.403466995581718</c:v>
                </c:pt>
                <c:pt idx="47">
                  <c:v>-14.35375319707266</c:v>
                </c:pt>
                <c:pt idx="48">
                  <c:v>-14.304235435095798</c:v>
                </c:pt>
                <c:pt idx="49">
                  <c:v>-14.254912705270627</c:v>
                </c:pt>
                <c:pt idx="50">
                  <c:v>-14.205784009740913</c:v>
                </c:pt>
                <c:pt idx="51">
                  <c:v>-14.156848357123755</c:v>
                </c:pt>
                <c:pt idx="52">
                  <c:v>-14.108104762459282</c:v>
                </c:pt>
                <c:pt idx="53">
                  <c:v>-14.059552247160672</c:v>
                </c:pt>
                <c:pt idx="54">
                  <c:v>-14.011189838964691</c:v>
                </c:pt>
                <c:pt idx="55">
                  <c:v>-13.963016571882706</c:v>
                </c:pt>
                <c:pt idx="56">
                  <c:v>-13.915031486152028</c:v>
                </c:pt>
                <c:pt idx="57">
                  <c:v>-13.867233628187888</c:v>
                </c:pt>
                <c:pt idx="58">
                  <c:v>-13.819622050535603</c:v>
                </c:pt>
                <c:pt idx="59">
                  <c:v>-13.772195811823376</c:v>
                </c:pt>
                <c:pt idx="60">
                  <c:v>-13.724953976715479</c:v>
                </c:pt>
                <c:pt idx="61">
                  <c:v>-13.67789561586574</c:v>
                </c:pt>
                <c:pt idx="62">
                  <c:v>-13.631019805871597</c:v>
                </c:pt>
                <c:pt idx="63">
                  <c:v>-13.584325629228488</c:v>
                </c:pt>
                <c:pt idx="64">
                  <c:v>-13.537812174284635</c:v>
                </c:pt>
                <c:pt idx="65">
                  <c:v>-13.491478535196325</c:v>
                </c:pt>
                <c:pt idx="66">
                  <c:v>-13.445323811883465</c:v>
                </c:pt>
                <c:pt idx="67">
                  <c:v>-13.399347109985646</c:v>
                </c:pt>
                <c:pt idx="68">
                  <c:v>-13.353547540818509</c:v>
                </c:pt>
                <c:pt idx="69">
                  <c:v>-13.307924221330568</c:v>
                </c:pt>
                <c:pt idx="70">
                  <c:v>-13.262476274060383</c:v>
                </c:pt>
                <c:pt idx="71">
                  <c:v>-13.217202827094116</c:v>
                </c:pt>
                <c:pt idx="72">
                  <c:v>-13.172103014023492</c:v>
                </c:pt>
                <c:pt idx="73">
                  <c:v>-13.127175973904054</c:v>
                </c:pt>
                <c:pt idx="74">
                  <c:v>-13.082420851213927</c:v>
                </c:pt>
                <c:pt idx="75">
                  <c:v>-13.037836795812764</c:v>
                </c:pt>
                <c:pt idx="76">
                  <c:v>-12.993422962901255</c:v>
                </c:pt>
                <c:pt idx="77">
                  <c:v>-12.94917851298079</c:v>
                </c:pt>
                <c:pt idx="78">
                  <c:v>-12.905102611813666</c:v>
                </c:pt>
                <c:pt idx="79">
                  <c:v>-12.86119443038351</c:v>
                </c:pt>
                <c:pt idx="80">
                  <c:v>-12.817453144856081</c:v>
                </c:pt>
                <c:pt idx="81">
                  <c:v>-12.773877936540478</c:v>
                </c:pt>
                <c:pt idx="82">
                  <c:v>-12.730467991850617</c:v>
                </c:pt>
                <c:pt idx="83">
                  <c:v>-12.687222502267057</c:v>
                </c:pt>
                <c:pt idx="84">
                  <c:v>-12.644140664299179</c:v>
                </c:pt>
                <c:pt idx="85">
                  <c:v>-12.601221679447729</c:v>
                </c:pt>
                <c:pt idx="86">
                  <c:v>-12.558464754167552</c:v>
                </c:pt>
                <c:pt idx="87">
                  <c:v>-12.51586909983086</c:v>
                </c:pt>
                <c:pt idx="88">
                  <c:v>-12.473433932690593</c:v>
                </c:pt>
                <c:pt idx="89">
                  <c:v>-12.43115847384432</c:v>
                </c:pt>
                <c:pt idx="90">
                  <c:v>-12.389041949198235</c:v>
                </c:pt>
                <c:pt idx="91">
                  <c:v>-12.347083589431669</c:v>
                </c:pt>
                <c:pt idx="92">
                  <c:v>-12.305282629961722</c:v>
                </c:pt>
                <c:pt idx="93">
                  <c:v>-12.263638310908364</c:v>
                </c:pt>
                <c:pt idx="94">
                  <c:v>-12.222149877059744</c:v>
                </c:pt>
                <c:pt idx="95">
                  <c:v>-12.180816577837799</c:v>
                </c:pt>
                <c:pt idx="96">
                  <c:v>-12.139637667264196</c:v>
                </c:pt>
                <c:pt idx="97">
                  <c:v>-12.098612403926534</c:v>
                </c:pt>
                <c:pt idx="98">
                  <c:v>-12.057740050944897</c:v>
                </c:pt>
                <c:pt idx="99">
                  <c:v>-12.017019875938582</c:v>
                </c:pt>
                <c:pt idx="100">
                  <c:v>-11.976451150993221</c:v>
                </c:pt>
                <c:pt idx="101">
                  <c:v>-11.936033152628148</c:v>
                </c:pt>
                <c:pt idx="102">
                  <c:v>-11.536790270161969</c:v>
                </c:pt>
                <c:pt idx="103">
                  <c:v>-11.152138904895541</c:v>
                </c:pt>
                <c:pt idx="104">
                  <c:v>-10.781401382622184</c:v>
                </c:pt>
                <c:pt idx="105">
                  <c:v>-10.42393980124986</c:v>
                </c:pt>
                <c:pt idx="106">
                  <c:v>-10.079153260677723</c:v>
                </c:pt>
                <c:pt idx="107">
                  <c:v>-9.7464753162879454</c:v>
                </c:pt>
                <c:pt idx="108">
                  <c:v>-9.4253716356089772</c:v>
                </c:pt>
                <c:pt idx="109">
                  <c:v>-9.1153378397903548</c:v>
                </c:pt>
                <c:pt idx="110">
                  <c:v>-8.8158975133791113</c:v>
                </c:pt>
                <c:pt idx="111">
                  <c:v>-8.5266003675328204</c:v>
                </c:pt>
                <c:pt idx="112">
                  <c:v>-8.2470205432687678</c:v>
                </c:pt>
                <c:pt idx="113">
                  <c:v>-7.9767550426540792</c:v>
                </c:pt>
                <c:pt idx="114">
                  <c:v>-7.7154222770074909</c:v>
                </c:pt>
                <c:pt idx="115">
                  <c:v>-7.4626607222250039</c:v>
                </c:pt>
                <c:pt idx="116">
                  <c:v>-7.2181276722742114</c:v>
                </c:pt>
                <c:pt idx="117">
                  <c:v>-6.9814980827376392</c:v>
                </c:pt>
                <c:pt idx="118">
                  <c:v>-6.7524634970351718</c:v>
                </c:pt>
                <c:pt idx="119">
                  <c:v>-6.5307310486290193</c:v>
                </c:pt>
                <c:pt idx="120">
                  <c:v>-6.316022533120317</c:v>
                </c:pt>
                <c:pt idx="121">
                  <c:v>-6.108073544691746</c:v>
                </c:pt>
                <c:pt idx="122">
                  <c:v>-5.9066326718419937</c:v>
                </c:pt>
                <c:pt idx="123">
                  <c:v>-5.7114607478013983</c:v>
                </c:pt>
                <c:pt idx="124">
                  <c:v>-5.5223301514186822</c:v>
                </c:pt>
                <c:pt idx="125">
                  <c:v>-5.3390241546708399</c:v>
                </c:pt>
                <c:pt idx="126">
                  <c:v>-5.1613363132762116</c:v>
                </c:pt>
                <c:pt idx="127">
                  <c:v>-4.9890698971877567</c:v>
                </c:pt>
                <c:pt idx="128">
                  <c:v>-4.8220373580129499</c:v>
                </c:pt>
                <c:pt idx="129">
                  <c:v>-4.6600598306514049</c:v>
                </c:pt>
                <c:pt idx="130">
                  <c:v>-4.5029666666634087</c:v>
                </c:pt>
                <c:pt idx="131">
                  <c:v>-4.3505949970848885</c:v>
                </c:pt>
                <c:pt idx="132">
                  <c:v>-4.2027893225881483</c:v>
                </c:pt>
                <c:pt idx="133">
                  <c:v>-4.0594011290554768</c:v>
                </c:pt>
                <c:pt idx="134">
                  <c:v>-3.9202885267856069</c:v>
                </c:pt>
                <c:pt idx="135">
                  <c:v>-3.7853159116925132</c:v>
                </c:pt>
                <c:pt idx="136">
                  <c:v>-3.6543536469835396</c:v>
                </c:pt>
                <c:pt idx="137">
                  <c:v>-3.5272777639203019</c:v>
                </c:pt>
                <c:pt idx="138">
                  <c:v>-3.4039696803725468</c:v>
                </c:pt>
                <c:pt idx="139">
                  <c:v>-3.2843159359726233</c:v>
                </c:pt>
                <c:pt idx="140">
                  <c:v>-3.1682079427677716</c:v>
                </c:pt>
                <c:pt idx="141">
                  <c:v>-3.0555417503494091</c:v>
                </c:pt>
                <c:pt idx="142">
                  <c:v>-2.9462178245138553</c:v>
                </c:pt>
                <c:pt idx="143">
                  <c:v>-2.8401408385780718</c:v>
                </c:pt>
                <c:pt idx="144">
                  <c:v>-2.7372194765375024</c:v>
                </c:pt>
                <c:pt idx="145">
                  <c:v>-2.6373662473114008</c:v>
                </c:pt>
                <c:pt idx="146">
                  <c:v>-2.5404973093749312</c:v>
                </c:pt>
                <c:pt idx="147">
                  <c:v>-2.4465323051265435</c:v>
                </c:pt>
                <c:pt idx="148">
                  <c:v>-2.3553942043848797</c:v>
                </c:pt>
                <c:pt idx="149">
                  <c:v>-2.26700915645127</c:v>
                </c:pt>
                <c:pt idx="150">
                  <c:v>-2.1813063502126524</c:v>
                </c:pt>
                <c:pt idx="151">
                  <c:v>-2.0982178817953896</c:v>
                </c:pt>
                <c:pt idx="152">
                  <c:v>-2.0176786293133464</c:v>
                </c:pt>
                <c:pt idx="153">
                  <c:v>-1.9396261342839582</c:v>
                </c:pt>
                <c:pt idx="154">
                  <c:v>-1.8640004893140343</c:v>
                </c:pt>
                <c:pt idx="155">
                  <c:v>-1.790744231682859</c:v>
                </c:pt>
                <c:pt idx="156">
                  <c:v>-1.7198022424739992</c:v>
                </c:pt>
                <c:pt idx="157">
                  <c:v>-1.651121650929201</c:v>
                </c:pt>
                <c:pt idx="158">
                  <c:v>-1.5846517437179932</c:v>
                </c:pt>
                <c:pt idx="159">
                  <c:v>-1.5203438788352646</c:v>
                </c:pt>
                <c:pt idx="160">
                  <c:v>-1.4581514038562333</c:v>
                </c:pt>
                <c:pt idx="161">
                  <c:v>-1.3980295782939061</c:v>
                </c:pt>
                <c:pt idx="162">
                  <c:v>-1.3399354998185953</c:v>
                </c:pt>
                <c:pt idx="163">
                  <c:v>-1.2838280341121362</c:v>
                </c:pt>
                <c:pt idx="164">
                  <c:v>-1.2296677481414824</c:v>
                </c:pt>
                <c:pt idx="165">
                  <c:v>-1.1774168466471104</c:v>
                </c:pt>
                <c:pt idx="166">
                  <c:v>-1.1270391116514547</c:v>
                </c:pt>
                <c:pt idx="167">
                  <c:v>-1.0784998448012515</c:v>
                </c:pt>
                <c:pt idx="168">
                  <c:v>-1.0317658123653406</c:v>
                </c:pt>
                <c:pt idx="169">
                  <c:v>-0.9868051927161533</c:v>
                </c:pt>
                <c:pt idx="170">
                  <c:v>-0.94358752612880437</c:v>
                </c:pt>
                <c:pt idx="171">
                  <c:v>-0.90208366673645823</c:v>
                </c:pt>
                <c:pt idx="172">
                  <c:v>-0.86226573648442895</c:v>
                </c:pt>
                <c:pt idx="173">
                  <c:v>-0.82410708092835872</c:v>
                </c:pt>
                <c:pt idx="174">
                  <c:v>-0.78758222672376577</c:v>
                </c:pt>
                <c:pt idx="175">
                  <c:v>-0.75266684065534939</c:v>
                </c:pt>
                <c:pt idx="176">
                  <c:v>-0.71933769005464454</c:v>
                </c:pt>
                <c:pt idx="177">
                  <c:v>-0.68757260445406121</c:v>
                </c:pt>
                <c:pt idx="178">
                  <c:v>-0.65735043832404982</c:v>
                </c:pt>
                <c:pt idx="179">
                  <c:v>-0.62865103473821493</c:v>
                </c:pt>
                <c:pt idx="180">
                  <c:v>-0.60145518980885393</c:v>
                </c:pt>
                <c:pt idx="181">
                  <c:v>-0.57574461773275132</c:v>
                </c:pt>
                <c:pt idx="182">
                  <c:v>-0.55150191628447376</c:v>
                </c:pt>
                <c:pt idx="183">
                  <c:v>-0.52871053259214484</c:v>
                </c:pt>
                <c:pt idx="184">
                  <c:v>-0.50735472902924683</c:v>
                </c:pt>
                <c:pt idx="185">
                  <c:v>-0.4874195490558535</c:v>
                </c:pt>
                <c:pt idx="186">
                  <c:v>-0.46889078284453706</c:v>
                </c:pt>
                <c:pt idx="187">
                  <c:v>-0.45175493253065596</c:v>
                </c:pt>
                <c:pt idx="188">
                  <c:v>-0.43599917693464924</c:v>
                </c:pt>
                <c:pt idx="189">
                  <c:v>-0.42161133561608188</c:v>
                </c:pt>
                <c:pt idx="190">
                  <c:v>-0.40857983213631494</c:v>
                </c:pt>
                <c:pt idx="191">
                  <c:v>-0.39689365642940772</c:v>
                </c:pt>
                <c:pt idx="192">
                  <c:v>-0.38654232620967882</c:v>
                </c:pt>
                <c:pt idx="193">
                  <c:v>-0.37751584737931182</c:v>
                </c:pt>
                <c:pt idx="194">
                  <c:v>-0.3698046734401863</c:v>
                </c:pt>
                <c:pt idx="195">
                  <c:v>-0.36339966395984674</c:v>
                </c:pt>
                <c:pt idx="196">
                  <c:v>-0.3582920421907328</c:v>
                </c:pt>
                <c:pt idx="197">
                  <c:v>-0.35447335199244656</c:v>
                </c:pt>
                <c:pt idx="198">
                  <c:v>-0.35193541425635461</c:v>
                </c:pt>
                <c:pt idx="199">
                  <c:v>-0.35067028307738557</c:v>
                </c:pt>
                <c:pt idx="200">
                  <c:v>-0.35067020195655624</c:v>
                </c:pt>
                <c:pt idx="201">
                  <c:v>-0.35192756034684347</c:v>
                </c:pt>
                <c:pt idx="202">
                  <c:v>-0.35443485087241189</c:v>
                </c:pt>
                <c:pt idx="203">
                  <c:v>-0.35818462755560693</c:v>
                </c:pt>
                <c:pt idx="204">
                  <c:v>-0.3631694653771923</c:v>
                </c:pt>
                <c:pt idx="205">
                  <c:v>-0.36938192147381255</c:v>
                </c:pt>
                <c:pt idx="206">
                  <c:v>-0.37681449824424518</c:v>
                </c:pt>
                <c:pt idx="207">
                  <c:v>-0.38545960859509037</c:v>
                </c:pt>
                <c:pt idx="208">
                  <c:v>-0.39530954350998199</c:v>
                </c:pt>
                <c:pt idx="209">
                  <c:v>-0.40635644207715266</c:v>
                </c:pt>
                <c:pt idx="210">
                  <c:v>-0.41859226406107275</c:v>
                </c:pt>
                <c:pt idx="211">
                  <c:v>-0.43200876505728319</c:v>
                </c:pt>
                <c:pt idx="212">
                  <c:v>-0.44659747422734192</c:v>
                </c:pt>
                <c:pt idx="213">
                  <c:v>-0.4623496745742135</c:v>
                </c:pt>
                <c:pt idx="214">
                  <c:v>-0.47925638568813705</c:v>
                </c:pt>
                <c:pt idx="215">
                  <c:v>-0.49730834886915848</c:v>
                </c:pt>
                <c:pt idx="216">
                  <c:v>-0.51649601451480687</c:v>
                </c:pt>
                <c:pt idx="217">
                  <c:v>-0.53680953164936784</c:v>
                </c:pt>
                <c:pt idx="218">
                  <c:v>-0.55823873946402847</c:v>
                </c:pt>
                <c:pt idx="219">
                  <c:v>-0.58077316073415497</c:v>
                </c:pt>
                <c:pt idx="220">
                  <c:v>-0.60440199698020136</c:v>
                </c:pt>
                <c:pt idx="221">
                  <c:v>-0.62911412524156041</c:v>
                </c:pt>
                <c:pt idx="222">
                  <c:v>-0.6548980963373261</c:v>
                </c:pt>
                <c:pt idx="223">
                  <c:v>-0.68174213449388299</c:v>
                </c:pt>
                <c:pt idx="224">
                  <c:v>-0.70963413822598354</c:v>
                </c:pt>
                <c:pt idx="225">
                  <c:v>-0.73856168236514086</c:v>
                </c:pt>
                <c:pt idx="226">
                  <c:v>-0.76851202113643746</c:v>
                </c:pt>
                <c:pt idx="227">
                  <c:v>-0.79947209219206095</c:v>
                </c:pt>
                <c:pt idx="228">
                  <c:v>-0.8314285215167726</c:v>
                </c:pt>
                <c:pt idx="229">
                  <c:v>-0.86436762912713005</c:v>
                </c:pt>
                <c:pt idx="230">
                  <c:v>-0.89827543549239741</c:v>
                </c:pt>
                <c:pt idx="231">
                  <c:v>-0.93313766861080083</c:v>
                </c:pt>
                <c:pt idx="232">
                  <c:v>-0.96893977167999545</c:v>
                </c:pt>
                <c:pt idx="233">
                  <c:v>-1.0056669113054004</c:v>
                </c:pt>
                <c:pt idx="234">
                  <c:v>-1.0433039861943822</c:v>
                </c:pt>
                <c:pt idx="235">
                  <c:v>-1.0818356362881822</c:v>
                </c:pt>
                <c:pt idx="236">
                  <c:v>-1.1212462522870428</c:v>
                </c:pt>
                <c:pt idx="237">
                  <c:v>-1.1615199855271376</c:v>
                </c:pt>
                <c:pt idx="238">
                  <c:v>-1.2026407581708158</c:v>
                </c:pt>
                <c:pt idx="239">
                  <c:v>-1.244592273674219</c:v>
                </c:pt>
                <c:pt idx="240">
                  <c:v>-1.2873580274986749</c:v>
                </c:pt>
                <c:pt idx="241">
                  <c:v>-1.3309213180343633</c:v>
                </c:pt>
                <c:pt idx="242">
                  <c:v>-1.3752652577066271</c:v>
                </c:pt>
                <c:pt idx="243">
                  <c:v>-1.4203727842370564</c:v>
                </c:pt>
                <c:pt idx="244">
                  <c:v>-1.4662266720329953</c:v>
                </c:pt>
                <c:pt idx="245">
                  <c:v>-1.5128095436805742</c:v>
                </c:pt>
                <c:pt idx="246">
                  <c:v>-1.5601038815176738</c:v>
                </c:pt>
                <c:pt idx="247">
                  <c:v>-1.6080920392644165</c:v>
                </c:pt>
                <c:pt idx="248">
                  <c:v>-1.6567562536899154</c:v>
                </c:pt>
                <c:pt idx="249">
                  <c:v>-1.706078656295043</c:v>
                </c:pt>
                <c:pt idx="250">
                  <c:v>-1.7560412849919356</c:v>
                </c:pt>
                <c:pt idx="251">
                  <c:v>-1.806626095761898</c:v>
                </c:pt>
                <c:pt idx="252">
                  <c:v>-1.8578149742741943</c:v>
                </c:pt>
                <c:pt idx="253">
                  <c:v>-1.9095897474490575</c:v>
                </c:pt>
                <c:pt idx="254">
                  <c:v>-1.9619321949490276</c:v>
                </c:pt>
                <c:pt idx="255">
                  <c:v>-2.0148240605834773</c:v>
                </c:pt>
                <c:pt idx="256">
                  <c:v>-2.0682470636118881</c:v>
                </c:pt>
                <c:pt idx="257">
                  <c:v>-2.1221829099321874</c:v>
                </c:pt>
                <c:pt idx="258">
                  <c:v>-2.1766133031410622</c:v>
                </c:pt>
                <c:pt idx="259">
                  <c:v>-2.2315199554538956</c:v>
                </c:pt>
                <c:pt idx="260">
                  <c:v>-2.2868845984725663</c:v>
                </c:pt>
                <c:pt idx="261">
                  <c:v>-2.3426889937899862</c:v>
                </c:pt>
                <c:pt idx="262">
                  <c:v>-2.3989149434209009</c:v>
                </c:pt>
                <c:pt idx="263">
                  <c:v>-2.4555443000490218</c:v>
                </c:pt>
                <c:pt idx="264">
                  <c:v>-2.5125589770811909</c:v>
                </c:pt>
                <c:pt idx="265">
                  <c:v>-2.5699409584998731</c:v>
                </c:pt>
                <c:pt idx="266">
                  <c:v>-2.6276723085057681</c:v>
                </c:pt>
                <c:pt idx="267">
                  <c:v>-2.6857351809430061</c:v>
                </c:pt>
                <c:pt idx="268">
                  <c:v>-2.7441118284998165</c:v>
                </c:pt>
                <c:pt idx="269">
                  <c:v>-2.8027846116782351</c:v>
                </c:pt>
                <c:pt idx="270">
                  <c:v>-2.8617360075268192</c:v>
                </c:pt>
                <c:pt idx="271">
                  <c:v>-2.9209486181309696</c:v>
                </c:pt>
                <c:pt idx="272">
                  <c:v>-2.9804051788558881</c:v>
                </c:pt>
                <c:pt idx="273">
                  <c:v>-3.040088566337793</c:v>
                </c:pt>
                <c:pt idx="274">
                  <c:v>-3.0999818062194042</c:v>
                </c:pt>
                <c:pt idx="275">
                  <c:v>-3.1600680806262793</c:v>
                </c:pt>
                <c:pt idx="276">
                  <c:v>-3.2203307353810451</c:v>
                </c:pt>
                <c:pt idx="277">
                  <c:v>-3.2807532869529514</c:v>
                </c:pt>
                <c:pt idx="278">
                  <c:v>-3.3413194291407522</c:v>
                </c:pt>
                <c:pt idx="279">
                  <c:v>-3.4020130394872545</c:v>
                </c:pt>
                <c:pt idx="280">
                  <c:v>-3.462818185424354</c:v>
                </c:pt>
                <c:pt idx="281">
                  <c:v>-3.5237191301477901</c:v>
                </c:pt>
                <c:pt idx="282">
                  <c:v>-3.5847003382212375</c:v>
                </c:pt>
                <c:pt idx="283">
                  <c:v>-3.6457464809097786</c:v>
                </c:pt>
                <c:pt idx="284">
                  <c:v>-3.7068424412431309</c:v>
                </c:pt>
                <c:pt idx="285">
                  <c:v>-3.7679733188094224</c:v>
                </c:pt>
                <c:pt idx="286">
                  <c:v>-3.8291244342806219</c:v>
                </c:pt>
                <c:pt idx="287">
                  <c:v>-3.8902813336711062</c:v>
                </c:pt>
                <c:pt idx="288">
                  <c:v>-3.9514297923311172</c:v>
                </c:pt>
                <c:pt idx="289">
                  <c:v>-4.012555818677261</c:v>
                </c:pt>
                <c:pt idx="290">
                  <c:v>-4.0736456576624107</c:v>
                </c:pt>
                <c:pt idx="291">
                  <c:v>-4.1346857939877193</c:v>
                </c:pt>
                <c:pt idx="292">
                  <c:v>-4.1956629550596904</c:v>
                </c:pt>
                <c:pt idx="293">
                  <c:v>-4.2565641136955605</c:v>
                </c:pt>
                <c:pt idx="294">
                  <c:v>-4.3173764905804042</c:v>
                </c:pt>
                <c:pt idx="295">
                  <c:v>-4.3780875564796959</c:v>
                </c:pt>
                <c:pt idx="296">
                  <c:v>-4.4386850342112147</c:v>
                </c:pt>
                <c:pt idx="297">
                  <c:v>-4.4991569003804441</c:v>
                </c:pt>
                <c:pt idx="298">
                  <c:v>-4.5594913868837263</c:v>
                </c:pt>
                <c:pt idx="299">
                  <c:v>-4.6196769821836776</c:v>
                </c:pt>
                <c:pt idx="300">
                  <c:v>-4.6797024323615286</c:v>
                </c:pt>
                <c:pt idx="301">
                  <c:v>-4.7395567419511391</c:v>
                </c:pt>
                <c:pt idx="302">
                  <c:v>-4.7992291745596809</c:v>
                </c:pt>
                <c:pt idx="303">
                  <c:v>-4.8587092532799954</c:v>
                </c:pt>
                <c:pt idx="304">
                  <c:v>-4.9179867608998507</c:v>
                </c:pt>
                <c:pt idx="305">
                  <c:v>-4.9770517399133203</c:v>
                </c:pt>
                <c:pt idx="306">
                  <c:v>-5.0358944923397164</c:v>
                </c:pt>
                <c:pt idx="307">
                  <c:v>-5.0945055793554328</c:v>
                </c:pt>
                <c:pt idx="308">
                  <c:v>-5.1528758207443124</c:v>
                </c:pt>
                <c:pt idx="309">
                  <c:v>-5.2109962941719941</c:v>
                </c:pt>
                <c:pt idx="310">
                  <c:v>-5.2688583342899413</c:v>
                </c:pt>
                <c:pt idx="311">
                  <c:v>-5.3264535316747548</c:v>
                </c:pt>
                <c:pt idx="312">
                  <c:v>-5.3837737316084322</c:v>
                </c:pt>
                <c:pt idx="313">
                  <c:v>-5.4408110327052945</c:v>
                </c:pt>
                <c:pt idx="314">
                  <c:v>-5.497557785391229</c:v>
                </c:pt>
                <c:pt idx="315">
                  <c:v>-5.5540065902409941</c:v>
                </c:pt>
                <c:pt idx="316">
                  <c:v>-5.6101502961791949</c:v>
                </c:pt>
                <c:pt idx="317">
                  <c:v>-5.6659819985506497</c:v>
                </c:pt>
                <c:pt idx="318">
                  <c:v>-5.721495037065754</c:v>
                </c:pt>
                <c:pt idx="319">
                  <c:v>-5.776682993626431</c:v>
                </c:pt>
                <c:pt idx="320">
                  <c:v>-5.8315396900382348</c:v>
                </c:pt>
                <c:pt idx="321">
                  <c:v>-5.8860591856141165</c:v>
                </c:pt>
                <c:pt idx="322">
                  <c:v>-5.9402357746752905</c:v>
                </c:pt>
                <c:pt idx="323">
                  <c:v>-5.9940639839546277</c:v>
                </c:pt>
                <c:pt idx="324">
                  <c:v>-6.0475385699078341</c:v>
                </c:pt>
                <c:pt idx="325">
                  <c:v>-6.1006545159377472</c:v>
                </c:pt>
                <c:pt idx="326">
                  <c:v>-6.1534070295368659</c:v>
                </c:pt>
                <c:pt idx="327">
                  <c:v>-6.2057915393532399</c:v>
                </c:pt>
                <c:pt idx="328">
                  <c:v>-6.2578036921847264</c:v>
                </c:pt>
                <c:pt idx="329">
                  <c:v>-6.3094393499065031</c:v>
                </c:pt>
                <c:pt idx="330">
                  <c:v>-6.3606945863367264</c:v>
                </c:pt>
                <c:pt idx="331">
                  <c:v>-6.4115656840449802</c:v>
                </c:pt>
                <c:pt idx="332">
                  <c:v>-6.4620491311082473</c:v>
                </c:pt>
                <c:pt idx="333">
                  <c:v>-6.5121416178188314</c:v>
                </c:pt>
                <c:pt idx="334">
                  <c:v>-6.5618400333487346</c:v>
                </c:pt>
                <c:pt idx="335">
                  <c:v>-6.6111414623747429</c:v>
                </c:pt>
                <c:pt idx="336">
                  <c:v>-6.66004318166849</c:v>
                </c:pt>
                <c:pt idx="337">
                  <c:v>-6.7085426566555464</c:v>
                </c:pt>
                <c:pt idx="338">
                  <c:v>-6.7566375379475527</c:v>
                </c:pt>
                <c:pt idx="339">
                  <c:v>-6.804325657851253</c:v>
                </c:pt>
                <c:pt idx="340">
                  <c:v>-6.8516050268581976</c:v>
                </c:pt>
                <c:pt idx="341">
                  <c:v>-6.8984738301187667</c:v>
                </c:pt>
                <c:pt idx="342">
                  <c:v>-6.9449304239040401</c:v>
                </c:pt>
                <c:pt idx="343">
                  <c:v>-6.9909733320589211</c:v>
                </c:pt>
                <c:pt idx="344">
                  <c:v>-7.0366012424498345</c:v>
                </c:pt>
                <c:pt idx="345">
                  <c:v>-7.0818130034101836</c:v>
                </c:pt>
                <c:pt idx="346">
                  <c:v>-7.1266076201866344</c:v>
                </c:pt>
                <c:pt idx="347">
                  <c:v>-7.1709842513891715</c:v>
                </c:pt>
                <c:pt idx="348">
                  <c:v>-7.2149422054478167</c:v>
                </c:pt>
                <c:pt idx="349">
                  <c:v>-7.2584809370787022</c:v>
                </c:pt>
                <c:pt idx="350">
                  <c:v>-7.3016000437621154</c:v>
                </c:pt>
                <c:pt idx="351">
                  <c:v>-7.3442992622351113</c:v>
                </c:pt>
                <c:pt idx="352">
                  <c:v>-7.3865784650009534</c:v>
                </c:pt>
                <c:pt idx="353">
                  <c:v>-7.428437656857855</c:v>
                </c:pt>
                <c:pt idx="354">
                  <c:v>-7.4698769714490245</c:v>
                </c:pt>
                <c:pt idx="355">
                  <c:v>-7.5108966678362759</c:v>
                </c:pt>
                <c:pt idx="356">
                  <c:v>-7.5514971270990499</c:v>
                </c:pt>
                <c:pt idx="357">
                  <c:v>-7.5916788489608233</c:v>
                </c:pt>
                <c:pt idx="358">
                  <c:v>-7.6314424484446448</c:v>
                </c:pt>
                <c:pt idx="359">
                  <c:v>-7.670788652559474</c:v>
                </c:pt>
                <c:pt idx="360">
                  <c:v>-7.7097182970189451</c:v>
                </c:pt>
                <c:pt idx="361">
                  <c:v>-7.7482323229940455</c:v>
                </c:pt>
                <c:pt idx="362">
                  <c:v>-7.786331773901078</c:v>
                </c:pt>
                <c:pt idx="363">
                  <c:v>-7.8240177922262983</c:v>
                </c:pt>
                <c:pt idx="364">
                  <c:v>-7.8612916163883675</c:v>
                </c:pt>
                <c:pt idx="365">
                  <c:v>-7.8981545776398265</c:v>
                </c:pt>
                <c:pt idx="366">
                  <c:v>-7.9346080970086499</c:v>
                </c:pt>
                <c:pt idx="367">
                  <c:v>-7.9706536822807994</c:v>
                </c:pt>
                <c:pt idx="368">
                  <c:v>-8.0062929250247858</c:v>
                </c:pt>
                <c:pt idx="369">
                  <c:v>-8.041527497658965</c:v>
                </c:pt>
                <c:pt idx="370">
                  <c:v>-8.0763591505623786</c:v>
                </c:pt>
                <c:pt idx="371">
                  <c:v>-8.1107897092297812</c:v>
                </c:pt>
                <c:pt idx="372">
                  <c:v>-8.1448210714715277</c:v>
                </c:pt>
                <c:pt idx="373">
                  <c:v>-8.1784552046587979</c:v>
                </c:pt>
                <c:pt idx="374">
                  <c:v>-8.2116941430146788</c:v>
                </c:pt>
                <c:pt idx="375">
                  <c:v>-8.2445399849515137</c:v>
                </c:pt>
                <c:pt idx="376">
                  <c:v>-8.2769948904548603</c:v>
                </c:pt>
                <c:pt idx="377">
                  <c:v>-8.3090610785144001</c:v>
                </c:pt>
                <c:pt idx="378">
                  <c:v>-8.3407408246019621</c:v>
                </c:pt>
                <c:pt idx="379">
                  <c:v>-8.3720364581969804</c:v>
                </c:pt>
                <c:pt idx="380">
                  <c:v>-8.4029503603593483</c:v>
                </c:pt>
                <c:pt idx="381">
                  <c:v>-8.433484961349933</c:v>
                </c:pt>
                <c:pt idx="382">
                  <c:v>-8.4636427382986756</c:v>
                </c:pt>
                <c:pt idx="383">
                  <c:v>-8.4934262129203066</c:v>
                </c:pt>
                <c:pt idx="384">
                  <c:v>-8.4934555750017768</c:v>
                </c:pt>
                <c:pt idx="385">
                  <c:v>-8.4934849367169445</c:v>
                </c:pt>
                <c:pt idx="386">
                  <c:v>-8.4935142980658132</c:v>
                </c:pt>
                <c:pt idx="387">
                  <c:v>-8.493543659048381</c:v>
                </c:pt>
                <c:pt idx="388">
                  <c:v>-8.4935730196646588</c:v>
                </c:pt>
                <c:pt idx="389">
                  <c:v>-8.4936023799146447</c:v>
                </c:pt>
                <c:pt idx="390">
                  <c:v>-8.493631739798337</c:v>
                </c:pt>
                <c:pt idx="391">
                  <c:v>-8.4936610993157462</c:v>
                </c:pt>
                <c:pt idx="392">
                  <c:v>-8.4936904584668707</c:v>
                </c:pt>
                <c:pt idx="393">
                  <c:v>-8.4937198172517085</c:v>
                </c:pt>
                <c:pt idx="394">
                  <c:v>-8.4937491756702705</c:v>
                </c:pt>
                <c:pt idx="395">
                  <c:v>-8.4937785337225549</c:v>
                </c:pt>
                <c:pt idx="396">
                  <c:v>-8.4938078914085686</c:v>
                </c:pt>
                <c:pt idx="397">
                  <c:v>-8.4938372487283047</c:v>
                </c:pt>
                <c:pt idx="398">
                  <c:v>-8.4938666056817791</c:v>
                </c:pt>
                <c:pt idx="399">
                  <c:v>-8.4938959622689811</c:v>
                </c:pt>
                <c:pt idx="400">
                  <c:v>-8.4939253184899197</c:v>
                </c:pt>
                <c:pt idx="401">
                  <c:v>-8.4939546743445948</c:v>
                </c:pt>
                <c:pt idx="402">
                  <c:v>-8.4939840298330171</c:v>
                </c:pt>
                <c:pt idx="403">
                  <c:v>-8.4940133849551778</c:v>
                </c:pt>
                <c:pt idx="404">
                  <c:v>-8.4940427397110874</c:v>
                </c:pt>
                <c:pt idx="405">
                  <c:v>-8.4940720941007406</c:v>
                </c:pt>
                <c:pt idx="406">
                  <c:v>-8.4941014481241499</c:v>
                </c:pt>
                <c:pt idx="407">
                  <c:v>-8.4941308017813153</c:v>
                </c:pt>
                <c:pt idx="408">
                  <c:v>-8.4941601550722279</c:v>
                </c:pt>
                <c:pt idx="409">
                  <c:v>-8.494189507996909</c:v>
                </c:pt>
                <c:pt idx="410">
                  <c:v>-8.4942188605553461</c:v>
                </c:pt>
                <c:pt idx="411">
                  <c:v>-8.4942482127475465</c:v>
                </c:pt>
                <c:pt idx="412">
                  <c:v>-8.4942775645735136</c:v>
                </c:pt>
                <c:pt idx="413">
                  <c:v>-8.4943069160332563</c:v>
                </c:pt>
                <c:pt idx="414">
                  <c:v>-8.4943362671267604</c:v>
                </c:pt>
                <c:pt idx="415">
                  <c:v>-8.4943656178540454</c:v>
                </c:pt>
                <c:pt idx="416">
                  <c:v>-8.4943949682151025</c:v>
                </c:pt>
                <c:pt idx="417">
                  <c:v>-8.4944243182099424</c:v>
                </c:pt>
                <c:pt idx="418">
                  <c:v>-8.4944536678385614</c:v>
                </c:pt>
                <c:pt idx="419">
                  <c:v>-8.4944830171009684</c:v>
                </c:pt>
                <c:pt idx="420">
                  <c:v>-8.4945123659971582</c:v>
                </c:pt>
                <c:pt idx="421">
                  <c:v>-8.4945417145271396</c:v>
                </c:pt>
                <c:pt idx="422">
                  <c:v>-8.4945710626909126</c:v>
                </c:pt>
                <c:pt idx="423">
                  <c:v>-8.4946004104884789</c:v>
                </c:pt>
                <c:pt idx="424">
                  <c:v>-8.494629757919844</c:v>
                </c:pt>
                <c:pt idx="425">
                  <c:v>-8.4946591049850024</c:v>
                </c:pt>
                <c:pt idx="426">
                  <c:v>-8.4946884516839685</c:v>
                </c:pt>
                <c:pt idx="427">
                  <c:v>-8.4947177980167421</c:v>
                </c:pt>
                <c:pt idx="428">
                  <c:v>-8.4947471439833127</c:v>
                </c:pt>
                <c:pt idx="429">
                  <c:v>-8.4947764895837032</c:v>
                </c:pt>
                <c:pt idx="430">
                  <c:v>-8.494805834817905</c:v>
                </c:pt>
                <c:pt idx="431">
                  <c:v>-8.4948351796859143</c:v>
                </c:pt>
                <c:pt idx="432">
                  <c:v>-8.4948645241877418</c:v>
                </c:pt>
                <c:pt idx="433">
                  <c:v>-8.4948938683233965</c:v>
                </c:pt>
                <c:pt idx="434">
                  <c:v>-8.4949232120928677</c:v>
                </c:pt>
                <c:pt idx="435">
                  <c:v>-8.4949525554961696</c:v>
                </c:pt>
                <c:pt idx="436">
                  <c:v>-8.4949818985332932</c:v>
                </c:pt>
                <c:pt idx="437">
                  <c:v>-8.4950112412042476</c:v>
                </c:pt>
                <c:pt idx="438">
                  <c:v>-8.4950405835090326</c:v>
                </c:pt>
                <c:pt idx="439">
                  <c:v>-8.4950699254476589</c:v>
                </c:pt>
                <c:pt idx="440">
                  <c:v>-8.4950992670201195</c:v>
                </c:pt>
                <c:pt idx="441">
                  <c:v>-8.4951286082264161</c:v>
                </c:pt>
                <c:pt idx="442">
                  <c:v>-8.4951579490665612</c:v>
                </c:pt>
                <c:pt idx="443">
                  <c:v>-8.4951872895405529</c:v>
                </c:pt>
                <c:pt idx="444">
                  <c:v>-8.4952166296483895</c:v>
                </c:pt>
                <c:pt idx="445">
                  <c:v>-8.4952459693900746</c:v>
                </c:pt>
                <c:pt idx="446">
                  <c:v>-8.495275308765617</c:v>
                </c:pt>
                <c:pt idx="447">
                  <c:v>-8.4953046477750132</c:v>
                </c:pt>
                <c:pt idx="448">
                  <c:v>-8.4953339864182684</c:v>
                </c:pt>
                <c:pt idx="449">
                  <c:v>-8.4953633246953828</c:v>
                </c:pt>
                <c:pt idx="450">
                  <c:v>-8.4953926626063563</c:v>
                </c:pt>
                <c:pt idx="451">
                  <c:v>-8.4954220001512013</c:v>
                </c:pt>
                <c:pt idx="452">
                  <c:v>-8.4954513373299125</c:v>
                </c:pt>
                <c:pt idx="453">
                  <c:v>-8.4954806741424953</c:v>
                </c:pt>
                <c:pt idx="454">
                  <c:v>-8.4955100105889532</c:v>
                </c:pt>
                <c:pt idx="455">
                  <c:v>-8.4955393466692826</c:v>
                </c:pt>
                <c:pt idx="456">
                  <c:v>-8.4955686823834906</c:v>
                </c:pt>
                <c:pt idx="457">
                  <c:v>-8.4955980177315826</c:v>
                </c:pt>
                <c:pt idx="458">
                  <c:v>-8.4956273527135568</c:v>
                </c:pt>
                <c:pt idx="459">
                  <c:v>-8.495656687329415</c:v>
                </c:pt>
                <c:pt idx="460">
                  <c:v>-8.4956860215791608</c:v>
                </c:pt>
                <c:pt idx="461">
                  <c:v>-8.4957153554628029</c:v>
                </c:pt>
                <c:pt idx="462">
                  <c:v>-8.4957446889803343</c:v>
                </c:pt>
                <c:pt idx="463">
                  <c:v>-8.4957740221317675</c:v>
                </c:pt>
                <c:pt idx="464">
                  <c:v>-8.4958033549170935</c:v>
                </c:pt>
                <c:pt idx="465">
                  <c:v>-8.4958326873363266</c:v>
                </c:pt>
                <c:pt idx="466">
                  <c:v>-8.4958620193894596</c:v>
                </c:pt>
                <c:pt idx="467">
                  <c:v>-8.4958913510764944</c:v>
                </c:pt>
                <c:pt idx="468">
                  <c:v>-8.4959206823974469</c:v>
                </c:pt>
                <c:pt idx="469">
                  <c:v>-8.4959500133523065</c:v>
                </c:pt>
                <c:pt idx="470">
                  <c:v>-8.4959793439410802</c:v>
                </c:pt>
                <c:pt idx="471">
                  <c:v>-8.4960086741637681</c:v>
                </c:pt>
                <c:pt idx="472">
                  <c:v>-8.4960380040203773</c:v>
                </c:pt>
                <c:pt idx="473">
                  <c:v>-8.4960673335109096</c:v>
                </c:pt>
                <c:pt idx="474">
                  <c:v>-8.4960966626353667</c:v>
                </c:pt>
                <c:pt idx="475">
                  <c:v>-8.4961259913937504</c:v>
                </c:pt>
                <c:pt idx="476">
                  <c:v>-8.4961553197860624</c:v>
                </c:pt>
                <c:pt idx="477">
                  <c:v>-8.4961846478123029</c:v>
                </c:pt>
                <c:pt idx="478">
                  <c:v>-8.4962139754724824</c:v>
                </c:pt>
                <c:pt idx="479">
                  <c:v>-8.4962433027665991</c:v>
                </c:pt>
                <c:pt idx="480">
                  <c:v>-8.4962726296946514</c:v>
                </c:pt>
                <c:pt idx="481">
                  <c:v>-8.496301956256648</c:v>
                </c:pt>
                <c:pt idx="482">
                  <c:v>-8.496331282452589</c:v>
                </c:pt>
                <c:pt idx="483">
                  <c:v>-8.4963606082824725</c:v>
                </c:pt>
                <c:pt idx="484">
                  <c:v>-8.4963899337463111</c:v>
                </c:pt>
                <c:pt idx="485">
                  <c:v>-8.496419258844103</c:v>
                </c:pt>
                <c:pt idx="486">
                  <c:v>-8.4964485835758481</c:v>
                </c:pt>
                <c:pt idx="487">
                  <c:v>-8.4964779079415447</c:v>
                </c:pt>
                <c:pt idx="488">
                  <c:v>-8.4965072319412087</c:v>
                </c:pt>
                <c:pt idx="489">
                  <c:v>-8.4965365555748313</c:v>
                </c:pt>
                <c:pt idx="490">
                  <c:v>-8.4965658788424197</c:v>
                </c:pt>
                <c:pt idx="491">
                  <c:v>-8.4965952017439754</c:v>
                </c:pt>
                <c:pt idx="492">
                  <c:v>-8.4966245242795022</c:v>
                </c:pt>
                <c:pt idx="493">
                  <c:v>-8.496653846449</c:v>
                </c:pt>
                <c:pt idx="494">
                  <c:v>-8.4966831682524777</c:v>
                </c:pt>
                <c:pt idx="495">
                  <c:v>-8.4967124896899318</c:v>
                </c:pt>
                <c:pt idx="496">
                  <c:v>-8.4967418107613639</c:v>
                </c:pt>
                <c:pt idx="497">
                  <c:v>-8.4967711314667778</c:v>
                </c:pt>
                <c:pt idx="498">
                  <c:v>-8.4968004518061768</c:v>
                </c:pt>
                <c:pt idx="499">
                  <c:v>-8.4968297717795682</c:v>
                </c:pt>
                <c:pt idx="500">
                  <c:v>-8.4968590913869466</c:v>
                </c:pt>
                <c:pt idx="501">
                  <c:v>-8.4968884106283173</c:v>
                </c:pt>
                <c:pt idx="502">
                  <c:v>-8.4969177295036857</c:v>
                </c:pt>
                <c:pt idx="503">
                  <c:v>-8.4969470480130518</c:v>
                </c:pt>
                <c:pt idx="504">
                  <c:v>-8.4969763661564173</c:v>
                </c:pt>
                <c:pt idx="505">
                  <c:v>-8.4970056839337804</c:v>
                </c:pt>
                <c:pt idx="506">
                  <c:v>-8.4970350013451572</c:v>
                </c:pt>
                <c:pt idx="507">
                  <c:v>-8.4970643183905405</c:v>
                </c:pt>
                <c:pt idx="508">
                  <c:v>-8.4970936350699358</c:v>
                </c:pt>
                <c:pt idx="509">
                  <c:v>-8.4971229513833428</c:v>
                </c:pt>
                <c:pt idx="510">
                  <c:v>-8.4971522673307618</c:v>
                </c:pt>
                <c:pt idx="511">
                  <c:v>-8.4971815829122086</c:v>
                </c:pt>
                <c:pt idx="512">
                  <c:v>-8.4972108981276691</c:v>
                </c:pt>
                <c:pt idx="513">
                  <c:v>-8.4972402129771538</c:v>
                </c:pt>
                <c:pt idx="514">
                  <c:v>-8.4972695274606647</c:v>
                </c:pt>
                <c:pt idx="515">
                  <c:v>-8.4972988415782051</c:v>
                </c:pt>
                <c:pt idx="516">
                  <c:v>-8.4973281553297788</c:v>
                </c:pt>
                <c:pt idx="517">
                  <c:v>-8.4973574687153839</c:v>
                </c:pt>
                <c:pt idx="518">
                  <c:v>-8.4973867817350222</c:v>
                </c:pt>
                <c:pt idx="519">
                  <c:v>-8.497416094388706</c:v>
                </c:pt>
                <c:pt idx="520">
                  <c:v>-8.4974454066764267</c:v>
                </c:pt>
                <c:pt idx="521">
                  <c:v>-8.4974747185981929</c:v>
                </c:pt>
                <c:pt idx="522">
                  <c:v>-8.4975040301540012</c:v>
                </c:pt>
                <c:pt idx="523">
                  <c:v>-8.4975333413438658</c:v>
                </c:pt>
                <c:pt idx="524">
                  <c:v>-8.4975626521677796</c:v>
                </c:pt>
                <c:pt idx="525">
                  <c:v>-8.4975919626257461</c:v>
                </c:pt>
                <c:pt idx="526">
                  <c:v>-8.4976212727177707</c:v>
                </c:pt>
                <c:pt idx="527">
                  <c:v>-8.4976505824438497</c:v>
                </c:pt>
                <c:pt idx="528">
                  <c:v>-8.497679891803994</c:v>
                </c:pt>
                <c:pt idx="529">
                  <c:v>-8.4977092007982069</c:v>
                </c:pt>
                <c:pt idx="530">
                  <c:v>-8.4977385094264832</c:v>
                </c:pt>
                <c:pt idx="531">
                  <c:v>-8.4977678176888247</c:v>
                </c:pt>
                <c:pt idx="532">
                  <c:v>-8.497797125585242</c:v>
                </c:pt>
                <c:pt idx="533">
                  <c:v>-8.4978264331157369</c:v>
                </c:pt>
                <c:pt idx="534">
                  <c:v>-8.4978557402803041</c:v>
                </c:pt>
                <c:pt idx="535">
                  <c:v>-8.4978850470789542</c:v>
                </c:pt>
                <c:pt idx="536">
                  <c:v>-8.4979143535116837</c:v>
                </c:pt>
                <c:pt idx="537">
                  <c:v>-8.4979436595785014</c:v>
                </c:pt>
                <c:pt idx="538">
                  <c:v>-8.4979729652793985</c:v>
                </c:pt>
                <c:pt idx="539">
                  <c:v>-8.4980022706143892</c:v>
                </c:pt>
                <c:pt idx="540">
                  <c:v>-8.4980315755834752</c:v>
                </c:pt>
                <c:pt idx="541">
                  <c:v>-8.4980608801866513</c:v>
                </c:pt>
                <c:pt idx="542">
                  <c:v>-8.4980901844239298</c:v>
                </c:pt>
                <c:pt idx="543">
                  <c:v>-8.4981194882953019</c:v>
                </c:pt>
                <c:pt idx="544">
                  <c:v>-8.4981487918007819</c:v>
                </c:pt>
                <c:pt idx="545">
                  <c:v>-8.498178094940366</c:v>
                </c:pt>
                <c:pt idx="546">
                  <c:v>-8.4982073977140526</c:v>
                </c:pt>
                <c:pt idx="547">
                  <c:v>-8.4982367001218559</c:v>
                </c:pt>
                <c:pt idx="548">
                  <c:v>-8.4982660021637706</c:v>
                </c:pt>
                <c:pt idx="549">
                  <c:v>-8.4982953038397984</c:v>
                </c:pt>
                <c:pt idx="550">
                  <c:v>-8.4983246051499428</c:v>
                </c:pt>
                <c:pt idx="551">
                  <c:v>-8.4983539060942146</c:v>
                </c:pt>
                <c:pt idx="552">
                  <c:v>-8.4983832066726031</c:v>
                </c:pt>
                <c:pt idx="553">
                  <c:v>-8.4984125068851188</c:v>
                </c:pt>
                <c:pt idx="554">
                  <c:v>-8.4984418067317655</c:v>
                </c:pt>
                <c:pt idx="555">
                  <c:v>-8.4984711062125395</c:v>
                </c:pt>
                <c:pt idx="556">
                  <c:v>-8.498500405327448</c:v>
                </c:pt>
                <c:pt idx="557">
                  <c:v>-8.4985297040764927</c:v>
                </c:pt>
                <c:pt idx="558">
                  <c:v>-8.4985590024596718</c:v>
                </c:pt>
                <c:pt idx="559">
                  <c:v>-8.498588300476996</c:v>
                </c:pt>
                <c:pt idx="560">
                  <c:v>-8.4986175981284617</c:v>
                </c:pt>
                <c:pt idx="561">
                  <c:v>-8.4986468954140744</c:v>
                </c:pt>
                <c:pt idx="562">
                  <c:v>-8.4986761923338321</c:v>
                </c:pt>
                <c:pt idx="563">
                  <c:v>-8.4987054888877438</c:v>
                </c:pt>
                <c:pt idx="564">
                  <c:v>-8.4987347850758113</c:v>
                </c:pt>
                <c:pt idx="565">
                  <c:v>-8.4987640808980309</c:v>
                </c:pt>
                <c:pt idx="566">
                  <c:v>-8.4987933763544099</c:v>
                </c:pt>
                <c:pt idx="567">
                  <c:v>-8.4988226714449482</c:v>
                </c:pt>
                <c:pt idx="568">
                  <c:v>-8.4988519661696511</c:v>
                </c:pt>
                <c:pt idx="569">
                  <c:v>-8.4988812605285187</c:v>
                </c:pt>
                <c:pt idx="570">
                  <c:v>-8.4989105545215597</c:v>
                </c:pt>
                <c:pt idx="571">
                  <c:v>-8.4989398481487672</c:v>
                </c:pt>
                <c:pt idx="572">
                  <c:v>-8.4989691414101536</c:v>
                </c:pt>
                <c:pt idx="573">
                  <c:v>-8.4989984343057117</c:v>
                </c:pt>
                <c:pt idx="574">
                  <c:v>-8.4990277268354504</c:v>
                </c:pt>
                <c:pt idx="575">
                  <c:v>-8.4990570189993715</c:v>
                </c:pt>
                <c:pt idx="576">
                  <c:v>-8.4990863107974732</c:v>
                </c:pt>
                <c:pt idx="577">
                  <c:v>-8.4991156022297645</c:v>
                </c:pt>
                <c:pt idx="578">
                  <c:v>-8.499144893296247</c:v>
                </c:pt>
                <c:pt idx="579">
                  <c:v>-8.499174183996919</c:v>
                </c:pt>
                <c:pt idx="580">
                  <c:v>-8.4992034743317895</c:v>
                </c:pt>
                <c:pt idx="581">
                  <c:v>-8.4992327643008547</c:v>
                </c:pt>
                <c:pt idx="582">
                  <c:v>-8.4992620539041113</c:v>
                </c:pt>
                <c:pt idx="583">
                  <c:v>-8.4992913431415786</c:v>
                </c:pt>
                <c:pt idx="584">
                  <c:v>-8.4993206320132497</c:v>
                </c:pt>
                <c:pt idx="585">
                  <c:v>-8.4993499205191299</c:v>
                </c:pt>
                <c:pt idx="586">
                  <c:v>-8.4993792086592137</c:v>
                </c:pt>
                <c:pt idx="587">
                  <c:v>-8.4994084964335155</c:v>
                </c:pt>
                <c:pt idx="588">
                  <c:v>-8.4994377838420281</c:v>
                </c:pt>
                <c:pt idx="589">
                  <c:v>-8.4994670708847586</c:v>
                </c:pt>
                <c:pt idx="590">
                  <c:v>-8.4994963575617071</c:v>
                </c:pt>
                <c:pt idx="591">
                  <c:v>-8.4995256438728806</c:v>
                </c:pt>
                <c:pt idx="592">
                  <c:v>-8.4995549298182773</c:v>
                </c:pt>
                <c:pt idx="593">
                  <c:v>-8.4995842153979027</c:v>
                </c:pt>
                <c:pt idx="594">
                  <c:v>-8.4996135006117584</c:v>
                </c:pt>
                <c:pt idx="595">
                  <c:v>-8.499642785459848</c:v>
                </c:pt>
                <c:pt idx="596">
                  <c:v>-8.4996720699421662</c:v>
                </c:pt>
                <c:pt idx="597">
                  <c:v>-8.4997013540587254</c:v>
                </c:pt>
                <c:pt idx="598">
                  <c:v>-8.4997306378095256</c:v>
                </c:pt>
                <c:pt idx="599">
                  <c:v>-8.4997599211945705</c:v>
                </c:pt>
                <c:pt idx="600">
                  <c:v>-8.4997892042138581</c:v>
                </c:pt>
                <c:pt idx="601">
                  <c:v>-8.4998184868673974</c:v>
                </c:pt>
                <c:pt idx="602">
                  <c:v>-8.4998477691551795</c:v>
                </c:pt>
                <c:pt idx="603">
                  <c:v>-8.4998770510772221</c:v>
                </c:pt>
                <c:pt idx="604">
                  <c:v>-8.4999063326335147</c:v>
                </c:pt>
                <c:pt idx="605">
                  <c:v>-8.4999356138240714</c:v>
                </c:pt>
                <c:pt idx="606">
                  <c:v>-8.4999648946488833</c:v>
                </c:pt>
                <c:pt idx="607">
                  <c:v>-8.4999941751079593</c:v>
                </c:pt>
                <c:pt idx="608">
                  <c:v>-8.500023455201303</c:v>
                </c:pt>
                <c:pt idx="609">
                  <c:v>-8.5000527349289126</c:v>
                </c:pt>
                <c:pt idx="610">
                  <c:v>-8.5000820142907951</c:v>
                </c:pt>
                <c:pt idx="611">
                  <c:v>-8.5001112932869525</c:v>
                </c:pt>
                <c:pt idx="612">
                  <c:v>-8.500140571917381</c:v>
                </c:pt>
                <c:pt idx="613">
                  <c:v>-8.5001698501820915</c:v>
                </c:pt>
                <c:pt idx="614">
                  <c:v>-8.5001991280810802</c:v>
                </c:pt>
                <c:pt idx="615">
                  <c:v>-8.5002284056143544</c:v>
                </c:pt>
                <c:pt idx="616">
                  <c:v>-8.5002576827819158</c:v>
                </c:pt>
                <c:pt idx="617">
                  <c:v>-8.5002869595837645</c:v>
                </c:pt>
                <c:pt idx="618">
                  <c:v>-8.5003162360199074</c:v>
                </c:pt>
                <c:pt idx="619">
                  <c:v>-8.5003455120903393</c:v>
                </c:pt>
                <c:pt idx="620">
                  <c:v>-8.5003747877950673</c:v>
                </c:pt>
                <c:pt idx="621">
                  <c:v>-8.5004040631340985</c:v>
                </c:pt>
                <c:pt idx="622">
                  <c:v>-8.5004333381074293</c:v>
                </c:pt>
                <c:pt idx="623">
                  <c:v>-8.5004626127150633</c:v>
                </c:pt>
                <c:pt idx="624">
                  <c:v>-8.5004918869570023</c:v>
                </c:pt>
                <c:pt idx="625">
                  <c:v>-8.5005211608332534</c:v>
                </c:pt>
                <c:pt idx="626">
                  <c:v>-8.5005504343438147</c:v>
                </c:pt>
                <c:pt idx="627">
                  <c:v>-8.50057970748869</c:v>
                </c:pt>
                <c:pt idx="628">
                  <c:v>-8.5006089802678844</c:v>
                </c:pt>
                <c:pt idx="629">
                  <c:v>-8.5006382526813979</c:v>
                </c:pt>
                <c:pt idx="630">
                  <c:v>-8.5006675247292289</c:v>
                </c:pt>
                <c:pt idx="631">
                  <c:v>-8.5006967964113844</c:v>
                </c:pt>
                <c:pt idx="632">
                  <c:v>-8.5007260677278715</c:v>
                </c:pt>
                <c:pt idx="633">
                  <c:v>-8.5007553386786867</c:v>
                </c:pt>
                <c:pt idx="634">
                  <c:v>-8.5007846092638335</c:v>
                </c:pt>
                <c:pt idx="635">
                  <c:v>-8.5008138794833155</c:v>
                </c:pt>
                <c:pt idx="636">
                  <c:v>-8.5008431493371344</c:v>
                </c:pt>
                <c:pt idx="637">
                  <c:v>-8.5008724188252902</c:v>
                </c:pt>
                <c:pt idx="638">
                  <c:v>-8.5009016879477937</c:v>
                </c:pt>
                <c:pt idx="639">
                  <c:v>-8.5009309567046358</c:v>
                </c:pt>
                <c:pt idx="640">
                  <c:v>-8.5009602250958345</c:v>
                </c:pt>
                <c:pt idx="641">
                  <c:v>-8.5009894931213772</c:v>
                </c:pt>
                <c:pt idx="642">
                  <c:v>-8.5010187607812693</c:v>
                </c:pt>
                <c:pt idx="643">
                  <c:v>-8.5010480280755178</c:v>
                </c:pt>
                <c:pt idx="644">
                  <c:v>-8.5010772950041229</c:v>
                </c:pt>
                <c:pt idx="645">
                  <c:v>-8.5011065615670933</c:v>
                </c:pt>
                <c:pt idx="646">
                  <c:v>-8.501135827764422</c:v>
                </c:pt>
                <c:pt idx="647">
                  <c:v>-8.5011650935961161</c:v>
                </c:pt>
                <c:pt idx="648">
                  <c:v>-8.501194359062179</c:v>
                </c:pt>
                <c:pt idx="649">
                  <c:v>-8.5012236241626145</c:v>
                </c:pt>
                <c:pt idx="650">
                  <c:v>-8.5012528888974188</c:v>
                </c:pt>
                <c:pt idx="651">
                  <c:v>-8.501282153266601</c:v>
                </c:pt>
                <c:pt idx="652">
                  <c:v>-8.5013114172701627</c:v>
                </c:pt>
                <c:pt idx="653">
                  <c:v>-8.5013406809081022</c:v>
                </c:pt>
                <c:pt idx="654">
                  <c:v>-8.5013699441804231</c:v>
                </c:pt>
                <c:pt idx="655">
                  <c:v>-8.5013992070871343</c:v>
                </c:pt>
                <c:pt idx="656">
                  <c:v>-8.5014284696282303</c:v>
                </c:pt>
                <c:pt idx="657">
                  <c:v>-8.5014577318037183</c:v>
                </c:pt>
                <c:pt idx="658">
                  <c:v>-8.5014869936136002</c:v>
                </c:pt>
                <c:pt idx="659">
                  <c:v>-8.5015162550578758</c:v>
                </c:pt>
                <c:pt idx="660">
                  <c:v>-8.5015455161365505</c:v>
                </c:pt>
                <c:pt idx="661">
                  <c:v>-8.5015747768496279</c:v>
                </c:pt>
                <c:pt idx="662">
                  <c:v>-8.5016040371971116</c:v>
                </c:pt>
                <c:pt idx="663">
                  <c:v>-8.5016332971789925</c:v>
                </c:pt>
                <c:pt idx="664">
                  <c:v>-8.5016625567952904</c:v>
                </c:pt>
                <c:pt idx="665">
                  <c:v>-8.5016918160459927</c:v>
                </c:pt>
                <c:pt idx="666">
                  <c:v>-8.5017210749311154</c:v>
                </c:pt>
                <c:pt idx="667">
                  <c:v>-8.5017503334506515</c:v>
                </c:pt>
                <c:pt idx="668">
                  <c:v>-8.5017795916046062</c:v>
                </c:pt>
                <c:pt idx="669">
                  <c:v>-8.5018088493929795</c:v>
                </c:pt>
                <c:pt idx="670">
                  <c:v>-8.5018381068157822</c:v>
                </c:pt>
                <c:pt idx="671">
                  <c:v>-8.5018673638730107</c:v>
                </c:pt>
                <c:pt idx="672">
                  <c:v>-8.5018966205646631</c:v>
                </c:pt>
                <c:pt idx="673">
                  <c:v>-8.5019258768907502</c:v>
                </c:pt>
                <c:pt idx="674">
                  <c:v>-8.5019551328512755</c:v>
                </c:pt>
                <c:pt idx="675">
                  <c:v>-8.5019843884462336</c:v>
                </c:pt>
                <c:pt idx="676">
                  <c:v>-8.5020136436756335</c:v>
                </c:pt>
                <c:pt idx="677">
                  <c:v>-8.502042898539468</c:v>
                </c:pt>
                <c:pt idx="678">
                  <c:v>-8.5020721530377532</c:v>
                </c:pt>
                <c:pt idx="679">
                  <c:v>-8.5021014071704837</c:v>
                </c:pt>
                <c:pt idx="680">
                  <c:v>-8.5021306609376683</c:v>
                </c:pt>
                <c:pt idx="681">
                  <c:v>-8.5021599143392983</c:v>
                </c:pt>
                <c:pt idx="682">
                  <c:v>-8.502189167375386</c:v>
                </c:pt>
                <c:pt idx="683">
                  <c:v>-8.5022184200459279</c:v>
                </c:pt>
                <c:pt idx="684">
                  <c:v>-8.5022476723509328</c:v>
                </c:pt>
                <c:pt idx="685">
                  <c:v>-8.5022769242903955</c:v>
                </c:pt>
                <c:pt idx="686">
                  <c:v>-8.5023061758643284</c:v>
                </c:pt>
                <c:pt idx="687">
                  <c:v>-8.5023354270727278</c:v>
                </c:pt>
                <c:pt idx="688">
                  <c:v>-8.5023646779155957</c:v>
                </c:pt>
                <c:pt idx="689">
                  <c:v>-8.5023939283929373</c:v>
                </c:pt>
                <c:pt idx="690">
                  <c:v>-8.5024231785047508</c:v>
                </c:pt>
                <c:pt idx="691">
                  <c:v>-8.5024524282510434</c:v>
                </c:pt>
                <c:pt idx="692">
                  <c:v>-8.5024816776318186</c:v>
                </c:pt>
                <c:pt idx="693">
                  <c:v>-8.5025109266470729</c:v>
                </c:pt>
                <c:pt idx="694">
                  <c:v>-8.5025401752968133</c:v>
                </c:pt>
                <c:pt idx="695">
                  <c:v>-8.5025694235810434</c:v>
                </c:pt>
                <c:pt idx="696">
                  <c:v>-8.5025986714997579</c:v>
                </c:pt>
                <c:pt idx="697">
                  <c:v>-8.5026279190529728</c:v>
                </c:pt>
                <c:pt idx="698">
                  <c:v>-8.5026571662406827</c:v>
                </c:pt>
                <c:pt idx="699">
                  <c:v>-8.5026864130628841</c:v>
                </c:pt>
                <c:pt idx="700">
                  <c:v>-8.5027156595195947</c:v>
                </c:pt>
                <c:pt idx="701">
                  <c:v>-8.5027449056108004</c:v>
                </c:pt>
                <c:pt idx="702">
                  <c:v>-8.5027741513365154</c:v>
                </c:pt>
                <c:pt idx="703">
                  <c:v>-8.502803396696736</c:v>
                </c:pt>
                <c:pt idx="704">
                  <c:v>-8.5028326416914712</c:v>
                </c:pt>
                <c:pt idx="705">
                  <c:v>-8.5028618863207157</c:v>
                </c:pt>
                <c:pt idx="706">
                  <c:v>-8.5028911305844819</c:v>
                </c:pt>
                <c:pt idx="707">
                  <c:v>-8.5029203744827626</c:v>
                </c:pt>
                <c:pt idx="708">
                  <c:v>-8.5029496180155633</c:v>
                </c:pt>
                <c:pt idx="709">
                  <c:v>-8.5029788611828945</c:v>
                </c:pt>
                <c:pt idx="710">
                  <c:v>-8.5030081039847456</c:v>
                </c:pt>
                <c:pt idx="711">
                  <c:v>-8.5030373464211273</c:v>
                </c:pt>
                <c:pt idx="712">
                  <c:v>-8.5030665884920378</c:v>
                </c:pt>
                <c:pt idx="713">
                  <c:v>-8.5030958301974842</c:v>
                </c:pt>
                <c:pt idx="714">
                  <c:v>-8.5031250715374682</c:v>
                </c:pt>
                <c:pt idx="715">
                  <c:v>-8.5031543125119899</c:v>
                </c:pt>
                <c:pt idx="716">
                  <c:v>-8.5031835531210493</c:v>
                </c:pt>
                <c:pt idx="717">
                  <c:v>-8.5032127933646589</c:v>
                </c:pt>
                <c:pt idx="718">
                  <c:v>-8.5032420332428114</c:v>
                </c:pt>
                <c:pt idx="719">
                  <c:v>-8.503271272755514</c:v>
                </c:pt>
                <c:pt idx="720">
                  <c:v>-8.5033005119027703</c:v>
                </c:pt>
                <c:pt idx="721">
                  <c:v>-8.5033297506845784</c:v>
                </c:pt>
                <c:pt idx="722">
                  <c:v>-8.5033589891009402</c:v>
                </c:pt>
                <c:pt idx="723">
                  <c:v>-8.5033882271518628</c:v>
                </c:pt>
                <c:pt idx="724">
                  <c:v>-8.5034174648373533</c:v>
                </c:pt>
                <c:pt idx="725">
                  <c:v>-8.5034467021574027</c:v>
                </c:pt>
                <c:pt idx="726">
                  <c:v>-8.5034759391120236</c:v>
                </c:pt>
                <c:pt idx="727">
                  <c:v>-8.5035051757012088</c:v>
                </c:pt>
                <c:pt idx="728">
                  <c:v>-8.5035344119249689</c:v>
                </c:pt>
                <c:pt idx="729">
                  <c:v>-8.5035636477833023</c:v>
                </c:pt>
                <c:pt idx="730">
                  <c:v>-8.5035928832762142</c:v>
                </c:pt>
                <c:pt idx="731">
                  <c:v>-8.5036221184037046</c:v>
                </c:pt>
                <c:pt idx="732">
                  <c:v>-8.5036513531657825</c:v>
                </c:pt>
                <c:pt idx="733">
                  <c:v>-8.5036805875624406</c:v>
                </c:pt>
                <c:pt idx="734">
                  <c:v>-8.5037098215936862</c:v>
                </c:pt>
                <c:pt idx="735">
                  <c:v>-8.5037390552595191</c:v>
                </c:pt>
                <c:pt idx="736">
                  <c:v>-8.5037682885599448</c:v>
                </c:pt>
                <c:pt idx="737">
                  <c:v>-8.5037975214949721</c:v>
                </c:pt>
                <c:pt idx="738">
                  <c:v>-8.5038267540645922</c:v>
                </c:pt>
                <c:pt idx="739">
                  <c:v>-8.5038559862688121</c:v>
                </c:pt>
                <c:pt idx="740">
                  <c:v>-8.5038852181076408</c:v>
                </c:pt>
                <c:pt idx="741">
                  <c:v>-8.5039144495810657</c:v>
                </c:pt>
                <c:pt idx="742">
                  <c:v>-8.5039436806891064</c:v>
                </c:pt>
                <c:pt idx="743">
                  <c:v>-8.5039729114317595</c:v>
                </c:pt>
                <c:pt idx="744">
                  <c:v>-8.5040021418090177</c:v>
                </c:pt>
                <c:pt idx="745">
                  <c:v>-8.5040313718208935</c:v>
                </c:pt>
                <c:pt idx="746">
                  <c:v>-8.5040606014673834</c:v>
                </c:pt>
                <c:pt idx="747">
                  <c:v>-8.5040898307485016</c:v>
                </c:pt>
                <c:pt idx="748">
                  <c:v>-8.5041190596642426</c:v>
                </c:pt>
                <c:pt idx="749">
                  <c:v>-8.5041482882146049</c:v>
                </c:pt>
                <c:pt idx="750">
                  <c:v>-8.504177516399599</c:v>
                </c:pt>
                <c:pt idx="751">
                  <c:v>-8.5042067442192231</c:v>
                </c:pt>
                <c:pt idx="752">
                  <c:v>-8.5042359716734808</c:v>
                </c:pt>
                <c:pt idx="753">
                  <c:v>-8.5042651987623721</c:v>
                </c:pt>
                <c:pt idx="754">
                  <c:v>-8.5042944254859005</c:v>
                </c:pt>
                <c:pt idx="755">
                  <c:v>-8.504323651844075</c:v>
                </c:pt>
                <c:pt idx="756">
                  <c:v>-8.5043528778368902</c:v>
                </c:pt>
                <c:pt idx="757">
                  <c:v>-8.5043821034643532</c:v>
                </c:pt>
                <c:pt idx="758">
                  <c:v>-8.5044113287264658</c:v>
                </c:pt>
                <c:pt idx="759">
                  <c:v>-8.5044405536232244</c:v>
                </c:pt>
                <c:pt idx="760">
                  <c:v>-8.504469778154645</c:v>
                </c:pt>
                <c:pt idx="761">
                  <c:v>-8.5044990023207223</c:v>
                </c:pt>
                <c:pt idx="762">
                  <c:v>-8.504528226121451</c:v>
                </c:pt>
                <c:pt idx="763">
                  <c:v>-8.504557449556847</c:v>
                </c:pt>
                <c:pt idx="764">
                  <c:v>-8.5045866726269033</c:v>
                </c:pt>
                <c:pt idx="765">
                  <c:v>-8.5046158953316251</c:v>
                </c:pt>
                <c:pt idx="766">
                  <c:v>-8.5046451176710178</c:v>
                </c:pt>
                <c:pt idx="767">
                  <c:v>-8.5046743396450868</c:v>
                </c:pt>
                <c:pt idx="768">
                  <c:v>-8.5047035612538249</c:v>
                </c:pt>
                <c:pt idx="769">
                  <c:v>-8.5047327824972445</c:v>
                </c:pt>
                <c:pt idx="770">
                  <c:v>-8.5047620033753404</c:v>
                </c:pt>
                <c:pt idx="771">
                  <c:v>-8.5047912238881178</c:v>
                </c:pt>
                <c:pt idx="772">
                  <c:v>-8.5048204440355804</c:v>
                </c:pt>
                <c:pt idx="773">
                  <c:v>-8.5048496638177316</c:v>
                </c:pt>
                <c:pt idx="774">
                  <c:v>-8.5048788832345732</c:v>
                </c:pt>
                <c:pt idx="775">
                  <c:v>-8.5049081022861053</c:v>
                </c:pt>
                <c:pt idx="776">
                  <c:v>-8.5049373209723296</c:v>
                </c:pt>
                <c:pt idx="777">
                  <c:v>-8.5049665392932567</c:v>
                </c:pt>
                <c:pt idx="778">
                  <c:v>-8.504995757248885</c:v>
                </c:pt>
                <c:pt idx="779">
                  <c:v>-8.5050249748392091</c:v>
                </c:pt>
                <c:pt idx="780">
                  <c:v>-8.5050541920642413</c:v>
                </c:pt>
                <c:pt idx="781">
                  <c:v>-8.5050834089239817</c:v>
                </c:pt>
                <c:pt idx="782">
                  <c:v>-8.5051126254184304</c:v>
                </c:pt>
                <c:pt idx="783">
                  <c:v>-8.5051418415475961</c:v>
                </c:pt>
                <c:pt idx="784">
                  <c:v>-8.5051710573114701</c:v>
                </c:pt>
                <c:pt idx="785">
                  <c:v>-8.5052002727100646</c:v>
                </c:pt>
                <c:pt idx="786">
                  <c:v>-8.5052294877433852</c:v>
                </c:pt>
                <c:pt idx="787">
                  <c:v>-8.5052587024114263</c:v>
                </c:pt>
                <c:pt idx="788">
                  <c:v>-8.5052879167141882</c:v>
                </c:pt>
                <c:pt idx="789">
                  <c:v>-8.5053171306516848</c:v>
                </c:pt>
                <c:pt idx="790">
                  <c:v>-8.5053463442239039</c:v>
                </c:pt>
                <c:pt idx="791">
                  <c:v>-8.5053755574308596</c:v>
                </c:pt>
                <c:pt idx="792">
                  <c:v>-8.5054047702725555</c:v>
                </c:pt>
                <c:pt idx="793">
                  <c:v>-8.5054339827489827</c:v>
                </c:pt>
                <c:pt idx="794">
                  <c:v>-8.5054631948601553</c:v>
                </c:pt>
                <c:pt idx="795">
                  <c:v>-8.5054924066060718</c:v>
                </c:pt>
                <c:pt idx="796">
                  <c:v>-8.5055216179867319</c:v>
                </c:pt>
                <c:pt idx="797">
                  <c:v>-8.5055508290021411</c:v>
                </c:pt>
                <c:pt idx="798">
                  <c:v>-8.5055800396523011</c:v>
                </c:pt>
                <c:pt idx="799">
                  <c:v>-8.5056092499372156</c:v>
                </c:pt>
                <c:pt idx="800">
                  <c:v>-8.5056384598568879</c:v>
                </c:pt>
                <c:pt idx="801">
                  <c:v>-8.5056676694113147</c:v>
                </c:pt>
                <c:pt idx="802">
                  <c:v>-8.5056968786005047</c:v>
                </c:pt>
                <c:pt idx="803">
                  <c:v>-8.505726087424458</c:v>
                </c:pt>
                <c:pt idx="804">
                  <c:v>-8.5057552958831764</c:v>
                </c:pt>
                <c:pt idx="805">
                  <c:v>-8.5057845039766669</c:v>
                </c:pt>
                <c:pt idx="806">
                  <c:v>-8.5058137117049313</c:v>
                </c:pt>
                <c:pt idx="807">
                  <c:v>-8.5058429190679679</c:v>
                </c:pt>
                <c:pt idx="808">
                  <c:v>-8.5058721260657784</c:v>
                </c:pt>
                <c:pt idx="809">
                  <c:v>-8.5059013326983735</c:v>
                </c:pt>
                <c:pt idx="810">
                  <c:v>-8.5059305389657478</c:v>
                </c:pt>
                <c:pt idx="811">
                  <c:v>-8.505959744867905</c:v>
                </c:pt>
                <c:pt idx="812">
                  <c:v>-8.5059889504048485</c:v>
                </c:pt>
                <c:pt idx="813">
                  <c:v>-8.5060181555765784</c:v>
                </c:pt>
                <c:pt idx="814">
                  <c:v>-8.506047360383107</c:v>
                </c:pt>
                <c:pt idx="815">
                  <c:v>-8.5060765648244292</c:v>
                </c:pt>
                <c:pt idx="816">
                  <c:v>-8.5061057689005448</c:v>
                </c:pt>
                <c:pt idx="817">
                  <c:v>-8.5061349726114646</c:v>
                </c:pt>
                <c:pt idx="818">
                  <c:v>-8.5061641759571813</c:v>
                </c:pt>
                <c:pt idx="819">
                  <c:v>-8.5061933789377093</c:v>
                </c:pt>
                <c:pt idx="820">
                  <c:v>-8.5062225815530379</c:v>
                </c:pt>
                <c:pt idx="821">
                  <c:v>-8.5062517838031777</c:v>
                </c:pt>
                <c:pt idx="822">
                  <c:v>-8.5062809856881323</c:v>
                </c:pt>
                <c:pt idx="823">
                  <c:v>-8.5063101872079034</c:v>
                </c:pt>
                <c:pt idx="824">
                  <c:v>-8.5063393883624894</c:v>
                </c:pt>
                <c:pt idx="825">
                  <c:v>-8.5063685891518954</c:v>
                </c:pt>
                <c:pt idx="826">
                  <c:v>-8.5063977895761251</c:v>
                </c:pt>
                <c:pt idx="827">
                  <c:v>-8.5064269896351821</c:v>
                </c:pt>
                <c:pt idx="828">
                  <c:v>-8.5064561893290662</c:v>
                </c:pt>
                <c:pt idx="829">
                  <c:v>-8.5064853886577776</c:v>
                </c:pt>
                <c:pt idx="830">
                  <c:v>-8.5065145876213233</c:v>
                </c:pt>
                <c:pt idx="831">
                  <c:v>-8.5065437862197069</c:v>
                </c:pt>
                <c:pt idx="832">
                  <c:v>-8.5065729844529248</c:v>
                </c:pt>
                <c:pt idx="833">
                  <c:v>-8.5066021823209876</c:v>
                </c:pt>
                <c:pt idx="834">
                  <c:v>-8.5066313798238902</c:v>
                </c:pt>
                <c:pt idx="835">
                  <c:v>-8.5066605769616448</c:v>
                </c:pt>
                <c:pt idx="836">
                  <c:v>-8.5066897737342408</c:v>
                </c:pt>
                <c:pt idx="837">
                  <c:v>-8.506718970141689</c:v>
                </c:pt>
                <c:pt idx="838">
                  <c:v>-8.5067481661839945</c:v>
                </c:pt>
                <c:pt idx="839">
                  <c:v>-8.5067773618611486</c:v>
                </c:pt>
                <c:pt idx="840">
                  <c:v>-8.506806557173169</c:v>
                </c:pt>
                <c:pt idx="841">
                  <c:v>-8.5068357521200486</c:v>
                </c:pt>
                <c:pt idx="842">
                  <c:v>-8.5068649467017892</c:v>
                </c:pt>
                <c:pt idx="843">
                  <c:v>-8.506894140918396</c:v>
                </c:pt>
                <c:pt idx="844">
                  <c:v>-8.5069233347698745</c:v>
                </c:pt>
                <c:pt idx="845">
                  <c:v>-8.5069525282562193</c:v>
                </c:pt>
                <c:pt idx="846">
                  <c:v>-8.5069817213774446</c:v>
                </c:pt>
                <c:pt idx="847">
                  <c:v>-8.5070109141335415</c:v>
                </c:pt>
                <c:pt idx="848">
                  <c:v>-8.5070401065245189</c:v>
                </c:pt>
                <c:pt idx="849">
                  <c:v>-8.5070692985503769</c:v>
                </c:pt>
                <c:pt idx="850">
                  <c:v>-8.5070984902111224</c:v>
                </c:pt>
                <c:pt idx="851">
                  <c:v>-8.507127681506752</c:v>
                </c:pt>
                <c:pt idx="852">
                  <c:v>-8.5071568724372728</c:v>
                </c:pt>
                <c:pt idx="853">
                  <c:v>-8.5071860630026848</c:v>
                </c:pt>
                <c:pt idx="854">
                  <c:v>-8.5072152532029897</c:v>
                </c:pt>
                <c:pt idx="855">
                  <c:v>-8.5072444430381928</c:v>
                </c:pt>
                <c:pt idx="856">
                  <c:v>-8.5072736325082978</c:v>
                </c:pt>
                <c:pt idx="857">
                  <c:v>-8.5073028216133011</c:v>
                </c:pt>
                <c:pt idx="858">
                  <c:v>-8.5073320103532097</c:v>
                </c:pt>
                <c:pt idx="859">
                  <c:v>-8.5073611987280273</c:v>
                </c:pt>
                <c:pt idx="860">
                  <c:v>-8.5073903867377521</c:v>
                </c:pt>
                <c:pt idx="861">
                  <c:v>-8.5074195743823893</c:v>
                </c:pt>
                <c:pt idx="862">
                  <c:v>-8.5074487616619425</c:v>
                </c:pt>
                <c:pt idx="863">
                  <c:v>-8.5074779485764136</c:v>
                </c:pt>
                <c:pt idx="864">
                  <c:v>-8.507507135125806</c:v>
                </c:pt>
                <c:pt idx="865">
                  <c:v>-8.5075363213101198</c:v>
                </c:pt>
                <c:pt idx="866">
                  <c:v>-8.5075655071293568</c:v>
                </c:pt>
                <c:pt idx="867">
                  <c:v>-8.5075946925835204</c:v>
                </c:pt>
                <c:pt idx="868">
                  <c:v>-8.5076238776726179</c:v>
                </c:pt>
                <c:pt idx="869">
                  <c:v>-8.5076530623966491</c:v>
                </c:pt>
                <c:pt idx="870">
                  <c:v>-8.5076822467556177</c:v>
                </c:pt>
                <c:pt idx="871">
                  <c:v>-8.5077114307495219</c:v>
                </c:pt>
                <c:pt idx="872">
                  <c:v>-8.5077406143783652</c:v>
                </c:pt>
                <c:pt idx="873">
                  <c:v>-8.5077697976421511</c:v>
                </c:pt>
                <c:pt idx="874">
                  <c:v>-8.5077989805408851</c:v>
                </c:pt>
                <c:pt idx="875">
                  <c:v>-8.5078281630745636</c:v>
                </c:pt>
                <c:pt idx="876">
                  <c:v>-8.5078573452431936</c:v>
                </c:pt>
                <c:pt idx="877">
                  <c:v>-8.5078865270467805</c:v>
                </c:pt>
                <c:pt idx="878">
                  <c:v>-8.507915708485319</c:v>
                </c:pt>
                <c:pt idx="879">
                  <c:v>-8.5079448895588214</c:v>
                </c:pt>
                <c:pt idx="880">
                  <c:v>-8.5079740702672826</c:v>
                </c:pt>
                <c:pt idx="881">
                  <c:v>-8.5080032506107042</c:v>
                </c:pt>
                <c:pt idx="882">
                  <c:v>-8.5080324305890951</c:v>
                </c:pt>
                <c:pt idx="883">
                  <c:v>-8.5080616102024518</c:v>
                </c:pt>
                <c:pt idx="884">
                  <c:v>-8.5080907894507778</c:v>
                </c:pt>
                <c:pt idx="885">
                  <c:v>-8.5081199683340838</c:v>
                </c:pt>
                <c:pt idx="886">
                  <c:v>-8.5081491468523645</c:v>
                </c:pt>
                <c:pt idx="887">
                  <c:v>-8.5081783250056251</c:v>
                </c:pt>
                <c:pt idx="888">
                  <c:v>-8.5082075027938622</c:v>
                </c:pt>
                <c:pt idx="889">
                  <c:v>-8.5082366802170863</c:v>
                </c:pt>
                <c:pt idx="890">
                  <c:v>-8.5082658572753012</c:v>
                </c:pt>
                <c:pt idx="891">
                  <c:v>-8.5082950339684995</c:v>
                </c:pt>
                <c:pt idx="892">
                  <c:v>-8.5083242102966921</c:v>
                </c:pt>
                <c:pt idx="893">
                  <c:v>-8.5083533862598806</c:v>
                </c:pt>
                <c:pt idx="894">
                  <c:v>-8.5083825618580615</c:v>
                </c:pt>
                <c:pt idx="895">
                  <c:v>-8.5084117370912402</c:v>
                </c:pt>
                <c:pt idx="896">
                  <c:v>-8.5084409119594291</c:v>
                </c:pt>
                <c:pt idx="897">
                  <c:v>-8.5084700864626193</c:v>
                </c:pt>
                <c:pt idx="898">
                  <c:v>-8.5084992606008125</c:v>
                </c:pt>
                <c:pt idx="899">
                  <c:v>-8.5085284343740177</c:v>
                </c:pt>
                <c:pt idx="900">
                  <c:v>-8.5085576077822385</c:v>
                </c:pt>
                <c:pt idx="901">
                  <c:v>-8.5085867808254694</c:v>
                </c:pt>
                <c:pt idx="902">
                  <c:v>-8.5086159535037211</c:v>
                </c:pt>
                <c:pt idx="903">
                  <c:v>-8.5086451258169866</c:v>
                </c:pt>
                <c:pt idx="904">
                  <c:v>-8.5086742977652801</c:v>
                </c:pt>
                <c:pt idx="905">
                  <c:v>-8.5087034693485997</c:v>
                </c:pt>
                <c:pt idx="906">
                  <c:v>-8.5087326405669454</c:v>
                </c:pt>
                <c:pt idx="907">
                  <c:v>-8.5087618114203192</c:v>
                </c:pt>
                <c:pt idx="908">
                  <c:v>-8.508790981908728</c:v>
                </c:pt>
                <c:pt idx="909">
                  <c:v>-8.5088201520321665</c:v>
                </c:pt>
                <c:pt idx="910">
                  <c:v>-8.5088493217906471</c:v>
                </c:pt>
                <c:pt idx="911">
                  <c:v>-8.5088784911841735</c:v>
                </c:pt>
                <c:pt idx="912">
                  <c:v>-8.5089076602127403</c:v>
                </c:pt>
                <c:pt idx="913">
                  <c:v>-8.5089368288763456</c:v>
                </c:pt>
                <c:pt idx="914">
                  <c:v>-8.5089659971750109</c:v>
                </c:pt>
                <c:pt idx="915">
                  <c:v>-8.5089951651087183</c:v>
                </c:pt>
                <c:pt idx="916">
                  <c:v>-8.5090243326774786</c:v>
                </c:pt>
                <c:pt idx="917">
                  <c:v>-8.5090534998812988</c:v>
                </c:pt>
                <c:pt idx="918">
                  <c:v>-8.5090826667201735</c:v>
                </c:pt>
                <c:pt idx="919">
                  <c:v>-8.5091118331941118</c:v>
                </c:pt>
                <c:pt idx="920">
                  <c:v>-8.5091409993031135</c:v>
                </c:pt>
                <c:pt idx="921">
                  <c:v>-8.5091701650471787</c:v>
                </c:pt>
                <c:pt idx="922">
                  <c:v>-8.5091993304263163</c:v>
                </c:pt>
                <c:pt idx="923">
                  <c:v>-8.5092284954405208</c:v>
                </c:pt>
                <c:pt idx="924">
                  <c:v>-8.5092576600898031</c:v>
                </c:pt>
                <c:pt idx="925">
                  <c:v>-8.5092868243741595</c:v>
                </c:pt>
                <c:pt idx="926">
                  <c:v>-8.5093159882936007</c:v>
                </c:pt>
                <c:pt idx="927">
                  <c:v>-8.5093451518481142</c:v>
                </c:pt>
                <c:pt idx="928">
                  <c:v>-8.5093743150377126</c:v>
                </c:pt>
                <c:pt idx="929">
                  <c:v>-8.5094034778624028</c:v>
                </c:pt>
                <c:pt idx="930">
                  <c:v>-8.5094326403221778</c:v>
                </c:pt>
                <c:pt idx="931">
                  <c:v>-8.5094618024170465</c:v>
                </c:pt>
                <c:pt idx="932">
                  <c:v>-8.5094909641470107</c:v>
                </c:pt>
                <c:pt idx="933">
                  <c:v>-8.5095201255120703</c:v>
                </c:pt>
                <c:pt idx="934">
                  <c:v>-8.5095492865122324</c:v>
                </c:pt>
                <c:pt idx="935">
                  <c:v>-8.5095784471474918</c:v>
                </c:pt>
                <c:pt idx="936">
                  <c:v>-8.509607607417859</c:v>
                </c:pt>
                <c:pt idx="937">
                  <c:v>-8.5096367673233306</c:v>
                </c:pt>
                <c:pt idx="938">
                  <c:v>-8.5096659268639137</c:v>
                </c:pt>
                <c:pt idx="939">
                  <c:v>-8.5096950860396063</c:v>
                </c:pt>
                <c:pt idx="940">
                  <c:v>-8.5097242448504105</c:v>
                </c:pt>
                <c:pt idx="941">
                  <c:v>-8.509753403296342</c:v>
                </c:pt>
                <c:pt idx="942">
                  <c:v>-8.5097825613773868</c:v>
                </c:pt>
                <c:pt idx="943">
                  <c:v>-8.5098117190935572</c:v>
                </c:pt>
                <c:pt idx="944">
                  <c:v>-8.5098408764448532</c:v>
                </c:pt>
                <c:pt idx="945">
                  <c:v>-8.5098700334312714</c:v>
                </c:pt>
                <c:pt idx="946">
                  <c:v>-8.509899190052824</c:v>
                </c:pt>
                <c:pt idx="947">
                  <c:v>-8.5099283463095095</c:v>
                </c:pt>
                <c:pt idx="948">
                  <c:v>-8.5099575022013294</c:v>
                </c:pt>
                <c:pt idx="949">
                  <c:v>-8.5099866577282874</c:v>
                </c:pt>
                <c:pt idx="950">
                  <c:v>-8.5100158128903836</c:v>
                </c:pt>
                <c:pt idx="951">
                  <c:v>-8.5100449676876266</c:v>
                </c:pt>
                <c:pt idx="952">
                  <c:v>-8.5100741221200131</c:v>
                </c:pt>
                <c:pt idx="953">
                  <c:v>-8.5101032761875448</c:v>
                </c:pt>
                <c:pt idx="954">
                  <c:v>-8.5101324298902306</c:v>
                </c:pt>
                <c:pt idx="955">
                  <c:v>-8.5101615832280686</c:v>
                </c:pt>
                <c:pt idx="956">
                  <c:v>-8.5101907362010643</c:v>
                </c:pt>
                <c:pt idx="957">
                  <c:v>-8.5102198888092158</c:v>
                </c:pt>
                <c:pt idx="958">
                  <c:v>-8.5102490410525267</c:v>
                </c:pt>
                <c:pt idx="959">
                  <c:v>-8.5102781929310005</c:v>
                </c:pt>
                <c:pt idx="960">
                  <c:v>-8.5103073444446462</c:v>
                </c:pt>
                <c:pt idx="961">
                  <c:v>-8.5103364955934566</c:v>
                </c:pt>
                <c:pt idx="962">
                  <c:v>-8.5103656463774389</c:v>
                </c:pt>
                <c:pt idx="963">
                  <c:v>-8.5103947967965929</c:v>
                </c:pt>
                <c:pt idx="964">
                  <c:v>-8.510423946850926</c:v>
                </c:pt>
                <c:pt idx="965">
                  <c:v>-8.5104530965404397</c:v>
                </c:pt>
                <c:pt idx="966">
                  <c:v>-8.5104822458651306</c:v>
                </c:pt>
                <c:pt idx="967">
                  <c:v>-8.510511394825004</c:v>
                </c:pt>
                <c:pt idx="968">
                  <c:v>-8.5105405434200705</c:v>
                </c:pt>
                <c:pt idx="969">
                  <c:v>-8.5105696916503248</c:v>
                </c:pt>
                <c:pt idx="970">
                  <c:v>-8.510598839515767</c:v>
                </c:pt>
                <c:pt idx="971">
                  <c:v>-8.5106279870164094</c:v>
                </c:pt>
                <c:pt idx="972">
                  <c:v>-8.510657134152245</c:v>
                </c:pt>
                <c:pt idx="973">
                  <c:v>-8.5106862809232791</c:v>
                </c:pt>
                <c:pt idx="974">
                  <c:v>-8.5107154273295169</c:v>
                </c:pt>
                <c:pt idx="975">
                  <c:v>-8.5107445733709568</c:v>
                </c:pt>
                <c:pt idx="976">
                  <c:v>-8.510773719047604</c:v>
                </c:pt>
                <c:pt idx="977">
                  <c:v>-8.5108028643594622</c:v>
                </c:pt>
                <c:pt idx="978">
                  <c:v>-8.5108320093065348</c:v>
                </c:pt>
                <c:pt idx="979">
                  <c:v>-8.5108611538888201</c:v>
                </c:pt>
                <c:pt idx="980">
                  <c:v>-8.5108902981063181</c:v>
                </c:pt>
                <c:pt idx="981">
                  <c:v>-8.5109194419590377</c:v>
                </c:pt>
                <c:pt idx="982">
                  <c:v>-8.510948585446986</c:v>
                </c:pt>
                <c:pt idx="983">
                  <c:v>-8.5109777285701504</c:v>
                </c:pt>
                <c:pt idx="984">
                  <c:v>-8.5110068713285489</c:v>
                </c:pt>
                <c:pt idx="985">
                  <c:v>-8.5110360137221761</c:v>
                </c:pt>
                <c:pt idx="986">
                  <c:v>-8.5110651557510355</c:v>
                </c:pt>
                <c:pt idx="987">
                  <c:v>-8.5110942974151307</c:v>
                </c:pt>
                <c:pt idx="988">
                  <c:v>-8.5111234387144652</c:v>
                </c:pt>
                <c:pt idx="989">
                  <c:v>-8.5111525796490408</c:v>
                </c:pt>
                <c:pt idx="990">
                  <c:v>-8.511181720218854</c:v>
                </c:pt>
                <c:pt idx="991">
                  <c:v>-8.5112108604239189</c:v>
                </c:pt>
                <c:pt idx="992">
                  <c:v>-8.511240000264225</c:v>
                </c:pt>
                <c:pt idx="993">
                  <c:v>-8.5112691397397899</c:v>
                </c:pt>
                <c:pt idx="994">
                  <c:v>-8.5112982788506013</c:v>
                </c:pt>
                <c:pt idx="995">
                  <c:v>-8.5113274175966716</c:v>
                </c:pt>
                <c:pt idx="996">
                  <c:v>-8.5113565559780007</c:v>
                </c:pt>
                <c:pt idx="997">
                  <c:v>-8.5113856939945833</c:v>
                </c:pt>
                <c:pt idx="998">
                  <c:v>-8.5114148316464409</c:v>
                </c:pt>
                <c:pt idx="999">
                  <c:v>-8.5114439689335573</c:v>
                </c:pt>
                <c:pt idx="1000">
                  <c:v>-8.5114731058559467</c:v>
                </c:pt>
              </c:numCache>
            </c:numRef>
          </c:yVal>
          <c:smooth val="0"/>
          <c:extLst>
            <c:ext xmlns:c16="http://schemas.microsoft.com/office/drawing/2014/chart" uri="{C3380CC4-5D6E-409C-BE32-E72D297353CC}">
              <c16:uniqueId val="{00000001-BDD6-4E9B-9AFA-2396233049A9}"/>
            </c:ext>
          </c:extLst>
        </c:ser>
        <c:dLbls>
          <c:showLegendKey val="0"/>
          <c:showVal val="0"/>
          <c:showCatName val="0"/>
          <c:showSerName val="0"/>
          <c:showPercent val="0"/>
          <c:showBubbleSize val="0"/>
        </c:dLbls>
        <c:axId val="149575168"/>
        <c:axId val="149577088"/>
      </c:scatterChart>
      <c:valAx>
        <c:axId val="149575168"/>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1"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577088"/>
        <c:crosses val="autoZero"/>
        <c:crossBetween val="midCat"/>
      </c:valAx>
      <c:valAx>
        <c:axId val="149577088"/>
        <c:scaling>
          <c:orientation val="minMax"/>
        </c:scaling>
        <c:delete val="0"/>
        <c:axPos val="l"/>
        <c:majorGridlines>
          <c:spPr>
            <a:ln w="3175">
              <a:solidFill>
                <a:srgbClr val="000000"/>
              </a:solidFill>
              <a:prstDash val="sysDash"/>
            </a:ln>
          </c:spPr>
        </c:majorGridlines>
        <c:title>
          <c:tx>
            <c:rich>
              <a:bodyPr/>
              <a:lstStyle/>
              <a:p>
                <a:pPr>
                  <a:defRPr sz="1000" b="1" i="0" u="none" strike="noStrike" baseline="0">
                    <a:solidFill>
                      <a:srgbClr val="000000"/>
                    </a:solidFill>
                    <a:latin typeface="Arial"/>
                    <a:ea typeface="Arial"/>
                    <a:cs typeface="Arial"/>
                  </a:defRPr>
                </a:pPr>
                <a:r>
                  <a:rPr lang="fr-FR"/>
                  <a:t>Accélérations [m/s²]_</a:t>
                </a:r>
              </a:p>
            </c:rich>
          </c:tx>
          <c:layout>
            <c:manualLayout>
              <c:xMode val="edge"/>
              <c:yMode val="edge"/>
              <c:x val="2.712264150943397E-2"/>
              <c:y val="0.2973865266841646"/>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575168"/>
        <c:crosses val="autoZero"/>
        <c:crossBetween val="midCat"/>
      </c:valAx>
      <c:spPr>
        <a:noFill/>
        <a:ln w="12700">
          <a:solidFill>
            <a:srgbClr val="808080"/>
          </a:solidFill>
          <a:prstDash val="solid"/>
        </a:ln>
      </c:spPr>
    </c:plotArea>
    <c:legend>
      <c:legendPos val="r"/>
      <c:layout>
        <c:manualLayout>
          <c:xMode val="edge"/>
          <c:yMode val="edge"/>
          <c:x val="0.66195018075570744"/>
          <c:y val="0.25777777777777783"/>
          <c:w val="0.30974867528351424"/>
          <c:h val="0.15777777777777779"/>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orientation="landscape" horizontalDpi="1200" verticalDpi="1200"/>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fr-FR"/>
              <a:t>Positions</a:t>
            </a:r>
          </a:p>
        </c:rich>
      </c:tx>
      <c:overlay val="1"/>
    </c:title>
    <c:autoTitleDeleted val="0"/>
    <c:plotArea>
      <c:layout>
        <c:manualLayout>
          <c:layoutTarget val="inner"/>
          <c:xMode val="edge"/>
          <c:yMode val="edge"/>
          <c:x val="0.11674528301886802"/>
          <c:y val="9.4771544282144501E-2"/>
          <c:w val="0.86438679245283023"/>
          <c:h val="0.73856444854360881"/>
        </c:manualLayout>
      </c:layout>
      <c:scatterChart>
        <c:scatterStyle val="lineMarker"/>
        <c:varyColors val="0"/>
        <c:ser>
          <c:idx val="0"/>
          <c:order val="0"/>
          <c:tx>
            <c:strRef>
              <c:f>Courbes!$B$144</c:f>
              <c:strCache>
                <c:ptCount val="1"/>
                <c:pt idx="0">
                  <c:v>Portée</c:v>
                </c:pt>
              </c:strCache>
            </c:strRef>
          </c:tx>
          <c:spPr>
            <a:ln w="25400">
              <a:solidFill>
                <a:srgbClr val="80000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1.1000000000000008</c:v>
                </c:pt>
                <c:pt idx="102">
                  <c:v>1.2000000000000008</c:v>
                </c:pt>
                <c:pt idx="103">
                  <c:v>1.3000000000000009</c:v>
                </c:pt>
                <c:pt idx="104">
                  <c:v>1.400000000000001</c:v>
                </c:pt>
                <c:pt idx="105">
                  <c:v>1.5000000000000011</c:v>
                </c:pt>
                <c:pt idx="106">
                  <c:v>1.6000000000000012</c:v>
                </c:pt>
                <c:pt idx="107">
                  <c:v>1.7000000000000013</c:v>
                </c:pt>
                <c:pt idx="108">
                  <c:v>1.8000000000000014</c:v>
                </c:pt>
                <c:pt idx="109">
                  <c:v>1.9000000000000015</c:v>
                </c:pt>
                <c:pt idx="110">
                  <c:v>2.0000000000000013</c:v>
                </c:pt>
                <c:pt idx="111">
                  <c:v>2.1000000000000014</c:v>
                </c:pt>
                <c:pt idx="112">
                  <c:v>2.2000000000000015</c:v>
                </c:pt>
                <c:pt idx="113">
                  <c:v>2.3000000000000016</c:v>
                </c:pt>
                <c:pt idx="114">
                  <c:v>2.4000000000000017</c:v>
                </c:pt>
                <c:pt idx="115">
                  <c:v>2.5000000000000018</c:v>
                </c:pt>
                <c:pt idx="116">
                  <c:v>2.6000000000000019</c:v>
                </c:pt>
                <c:pt idx="117">
                  <c:v>2.700000000000002</c:v>
                </c:pt>
                <c:pt idx="118">
                  <c:v>2.800000000000002</c:v>
                </c:pt>
                <c:pt idx="119">
                  <c:v>2.9000000000000021</c:v>
                </c:pt>
                <c:pt idx="120">
                  <c:v>3.0000000000000022</c:v>
                </c:pt>
                <c:pt idx="121">
                  <c:v>3.1000000000000023</c:v>
                </c:pt>
                <c:pt idx="122">
                  <c:v>3.2000000000000024</c:v>
                </c:pt>
                <c:pt idx="123">
                  <c:v>3.3000000000000025</c:v>
                </c:pt>
                <c:pt idx="124">
                  <c:v>3.4000000000000026</c:v>
                </c:pt>
                <c:pt idx="125">
                  <c:v>3.5000000000000027</c:v>
                </c:pt>
                <c:pt idx="126">
                  <c:v>3.6000000000000028</c:v>
                </c:pt>
                <c:pt idx="127">
                  <c:v>3.7000000000000028</c:v>
                </c:pt>
                <c:pt idx="128">
                  <c:v>3.8000000000000029</c:v>
                </c:pt>
                <c:pt idx="129">
                  <c:v>3.900000000000003</c:v>
                </c:pt>
                <c:pt idx="130">
                  <c:v>4.0000000000000027</c:v>
                </c:pt>
                <c:pt idx="131">
                  <c:v>4.1000000000000023</c:v>
                </c:pt>
                <c:pt idx="132">
                  <c:v>4.200000000000002</c:v>
                </c:pt>
                <c:pt idx="133">
                  <c:v>4.3000000000000016</c:v>
                </c:pt>
                <c:pt idx="134">
                  <c:v>4.4000000000000012</c:v>
                </c:pt>
                <c:pt idx="135">
                  <c:v>4.5000000000000009</c:v>
                </c:pt>
                <c:pt idx="136">
                  <c:v>4.6000000000000005</c:v>
                </c:pt>
                <c:pt idx="137">
                  <c:v>4.7</c:v>
                </c:pt>
                <c:pt idx="138">
                  <c:v>4.8</c:v>
                </c:pt>
                <c:pt idx="139">
                  <c:v>4.8999999999999995</c:v>
                </c:pt>
                <c:pt idx="140">
                  <c:v>4.9999999999999991</c:v>
                </c:pt>
                <c:pt idx="141">
                  <c:v>5.0999999999999988</c:v>
                </c:pt>
                <c:pt idx="142">
                  <c:v>5.1999999999999984</c:v>
                </c:pt>
                <c:pt idx="143">
                  <c:v>5.299999999999998</c:v>
                </c:pt>
                <c:pt idx="144">
                  <c:v>5.3999999999999977</c:v>
                </c:pt>
                <c:pt idx="145">
                  <c:v>5.4999999999999973</c:v>
                </c:pt>
                <c:pt idx="146">
                  <c:v>5.599999999999997</c:v>
                </c:pt>
                <c:pt idx="147">
                  <c:v>5.6999999999999966</c:v>
                </c:pt>
                <c:pt idx="148">
                  <c:v>5.7999999999999963</c:v>
                </c:pt>
                <c:pt idx="149">
                  <c:v>5.8999999999999959</c:v>
                </c:pt>
                <c:pt idx="150">
                  <c:v>5.9999999999999956</c:v>
                </c:pt>
                <c:pt idx="151">
                  <c:v>6.0999999999999952</c:v>
                </c:pt>
                <c:pt idx="152">
                  <c:v>6.1999999999999948</c:v>
                </c:pt>
                <c:pt idx="153">
                  <c:v>6.2999999999999945</c:v>
                </c:pt>
                <c:pt idx="154">
                  <c:v>6.3999999999999941</c:v>
                </c:pt>
                <c:pt idx="155">
                  <c:v>6.4999999999999938</c:v>
                </c:pt>
                <c:pt idx="156">
                  <c:v>6.5999999999999934</c:v>
                </c:pt>
                <c:pt idx="157">
                  <c:v>6.6999999999999931</c:v>
                </c:pt>
                <c:pt idx="158">
                  <c:v>6.7999999999999927</c:v>
                </c:pt>
                <c:pt idx="159">
                  <c:v>6.8999999999999924</c:v>
                </c:pt>
                <c:pt idx="160">
                  <c:v>6.999999999999992</c:v>
                </c:pt>
                <c:pt idx="161">
                  <c:v>7.0999999999999917</c:v>
                </c:pt>
                <c:pt idx="162">
                  <c:v>7.1999999999999913</c:v>
                </c:pt>
                <c:pt idx="163">
                  <c:v>7.2999999999999909</c:v>
                </c:pt>
                <c:pt idx="164">
                  <c:v>7.3999999999999906</c:v>
                </c:pt>
                <c:pt idx="165">
                  <c:v>7.4999999999999902</c:v>
                </c:pt>
                <c:pt idx="166">
                  <c:v>7.5999999999999899</c:v>
                </c:pt>
                <c:pt idx="167">
                  <c:v>7.6999999999999895</c:v>
                </c:pt>
                <c:pt idx="168">
                  <c:v>7.7999999999999892</c:v>
                </c:pt>
                <c:pt idx="169">
                  <c:v>7.8999999999999888</c:v>
                </c:pt>
                <c:pt idx="170">
                  <c:v>7.9999999999999885</c:v>
                </c:pt>
                <c:pt idx="171">
                  <c:v>8.099999999999989</c:v>
                </c:pt>
                <c:pt idx="172">
                  <c:v>8.1999999999999886</c:v>
                </c:pt>
                <c:pt idx="173">
                  <c:v>8.2999999999999883</c:v>
                </c:pt>
                <c:pt idx="174">
                  <c:v>8.3999999999999879</c:v>
                </c:pt>
                <c:pt idx="175">
                  <c:v>8.4999999999999876</c:v>
                </c:pt>
                <c:pt idx="176">
                  <c:v>8.5999999999999872</c:v>
                </c:pt>
                <c:pt idx="177">
                  <c:v>8.6999999999999869</c:v>
                </c:pt>
                <c:pt idx="178">
                  <c:v>8.7999999999999865</c:v>
                </c:pt>
                <c:pt idx="179">
                  <c:v>8.8999999999999861</c:v>
                </c:pt>
                <c:pt idx="180">
                  <c:v>8.9999999999999858</c:v>
                </c:pt>
                <c:pt idx="181">
                  <c:v>9.0999999999999854</c:v>
                </c:pt>
                <c:pt idx="182">
                  <c:v>9.1999999999999851</c:v>
                </c:pt>
                <c:pt idx="183">
                  <c:v>9.2999999999999847</c:v>
                </c:pt>
                <c:pt idx="184">
                  <c:v>9.3999999999999844</c:v>
                </c:pt>
                <c:pt idx="185">
                  <c:v>9.499999999999984</c:v>
                </c:pt>
                <c:pt idx="186">
                  <c:v>9.5999999999999837</c:v>
                </c:pt>
                <c:pt idx="187">
                  <c:v>9.6999999999999833</c:v>
                </c:pt>
                <c:pt idx="188">
                  <c:v>9.7999999999999829</c:v>
                </c:pt>
                <c:pt idx="189">
                  <c:v>9.8999999999999826</c:v>
                </c:pt>
                <c:pt idx="190">
                  <c:v>9.9999999999999822</c:v>
                </c:pt>
                <c:pt idx="191">
                  <c:v>10.099999999999982</c:v>
                </c:pt>
                <c:pt idx="192">
                  <c:v>10.199999999999982</c:v>
                </c:pt>
                <c:pt idx="193">
                  <c:v>10.299999999999981</c:v>
                </c:pt>
                <c:pt idx="194">
                  <c:v>10.399999999999981</c:v>
                </c:pt>
                <c:pt idx="195">
                  <c:v>10.49999999999998</c:v>
                </c:pt>
                <c:pt idx="196">
                  <c:v>10.59999999999998</c:v>
                </c:pt>
                <c:pt idx="197">
                  <c:v>10.69999999999998</c:v>
                </c:pt>
                <c:pt idx="198">
                  <c:v>10.799999999999979</c:v>
                </c:pt>
                <c:pt idx="199">
                  <c:v>10.899999999999979</c:v>
                </c:pt>
                <c:pt idx="200">
                  <c:v>10.999999999999979</c:v>
                </c:pt>
                <c:pt idx="201">
                  <c:v>11.099999999999978</c:v>
                </c:pt>
                <c:pt idx="202">
                  <c:v>11.199999999999978</c:v>
                </c:pt>
                <c:pt idx="203">
                  <c:v>11.299999999999978</c:v>
                </c:pt>
                <c:pt idx="204">
                  <c:v>11.399999999999977</c:v>
                </c:pt>
                <c:pt idx="205">
                  <c:v>11.499999999999977</c:v>
                </c:pt>
                <c:pt idx="206">
                  <c:v>11.599999999999977</c:v>
                </c:pt>
                <c:pt idx="207">
                  <c:v>11.699999999999976</c:v>
                </c:pt>
                <c:pt idx="208">
                  <c:v>11.799999999999976</c:v>
                </c:pt>
                <c:pt idx="209">
                  <c:v>11.899999999999975</c:v>
                </c:pt>
                <c:pt idx="210">
                  <c:v>11.999999999999975</c:v>
                </c:pt>
                <c:pt idx="211">
                  <c:v>12.099999999999975</c:v>
                </c:pt>
                <c:pt idx="212">
                  <c:v>12.199999999999974</c:v>
                </c:pt>
                <c:pt idx="213">
                  <c:v>12.299999999999974</c:v>
                </c:pt>
                <c:pt idx="214">
                  <c:v>12.399999999999974</c:v>
                </c:pt>
                <c:pt idx="215">
                  <c:v>12.499999999999973</c:v>
                </c:pt>
                <c:pt idx="216">
                  <c:v>12.599999999999973</c:v>
                </c:pt>
                <c:pt idx="217">
                  <c:v>12.699999999999973</c:v>
                </c:pt>
                <c:pt idx="218">
                  <c:v>12.799999999999972</c:v>
                </c:pt>
                <c:pt idx="219">
                  <c:v>12.899999999999972</c:v>
                </c:pt>
                <c:pt idx="220">
                  <c:v>12.999999999999972</c:v>
                </c:pt>
                <c:pt idx="221">
                  <c:v>13.099999999999971</c:v>
                </c:pt>
                <c:pt idx="222">
                  <c:v>13.199999999999971</c:v>
                </c:pt>
                <c:pt idx="223">
                  <c:v>13.299999999999971</c:v>
                </c:pt>
                <c:pt idx="224">
                  <c:v>13.39999999999997</c:v>
                </c:pt>
                <c:pt idx="225">
                  <c:v>13.49999999999997</c:v>
                </c:pt>
                <c:pt idx="226">
                  <c:v>13.599999999999969</c:v>
                </c:pt>
                <c:pt idx="227">
                  <c:v>13.699999999999969</c:v>
                </c:pt>
                <c:pt idx="228">
                  <c:v>13.799999999999969</c:v>
                </c:pt>
                <c:pt idx="229">
                  <c:v>13.899999999999968</c:v>
                </c:pt>
                <c:pt idx="230">
                  <c:v>13.999999999999968</c:v>
                </c:pt>
                <c:pt idx="231">
                  <c:v>14.099999999999968</c:v>
                </c:pt>
                <c:pt idx="232">
                  <c:v>14.199999999999967</c:v>
                </c:pt>
                <c:pt idx="233">
                  <c:v>14.299999999999967</c:v>
                </c:pt>
                <c:pt idx="234">
                  <c:v>14.399999999999967</c:v>
                </c:pt>
                <c:pt idx="235">
                  <c:v>14.499999999999966</c:v>
                </c:pt>
                <c:pt idx="236">
                  <c:v>14.599999999999966</c:v>
                </c:pt>
                <c:pt idx="237">
                  <c:v>14.699999999999966</c:v>
                </c:pt>
                <c:pt idx="238">
                  <c:v>14.799999999999965</c:v>
                </c:pt>
                <c:pt idx="239">
                  <c:v>14.899999999999965</c:v>
                </c:pt>
                <c:pt idx="240">
                  <c:v>14.999999999999964</c:v>
                </c:pt>
                <c:pt idx="241">
                  <c:v>15.099999999999964</c:v>
                </c:pt>
                <c:pt idx="242">
                  <c:v>15.199999999999964</c:v>
                </c:pt>
                <c:pt idx="243">
                  <c:v>15.299999999999963</c:v>
                </c:pt>
                <c:pt idx="244">
                  <c:v>15.399999999999963</c:v>
                </c:pt>
                <c:pt idx="245">
                  <c:v>15.499999999999963</c:v>
                </c:pt>
                <c:pt idx="246">
                  <c:v>15.599999999999962</c:v>
                </c:pt>
                <c:pt idx="247">
                  <c:v>15.699999999999962</c:v>
                </c:pt>
                <c:pt idx="248">
                  <c:v>15.799999999999962</c:v>
                </c:pt>
                <c:pt idx="249">
                  <c:v>15.899999999999961</c:v>
                </c:pt>
                <c:pt idx="250">
                  <c:v>15.999999999999961</c:v>
                </c:pt>
                <c:pt idx="251">
                  <c:v>16.099999999999962</c:v>
                </c:pt>
                <c:pt idx="252">
                  <c:v>16.199999999999964</c:v>
                </c:pt>
                <c:pt idx="253">
                  <c:v>16.299999999999965</c:v>
                </c:pt>
                <c:pt idx="254">
                  <c:v>16.399999999999967</c:v>
                </c:pt>
                <c:pt idx="255">
                  <c:v>16.499999999999968</c:v>
                </c:pt>
                <c:pt idx="256">
                  <c:v>16.599999999999969</c:v>
                </c:pt>
                <c:pt idx="257">
                  <c:v>16.699999999999971</c:v>
                </c:pt>
                <c:pt idx="258">
                  <c:v>16.799999999999972</c:v>
                </c:pt>
                <c:pt idx="259">
                  <c:v>16.899999999999974</c:v>
                </c:pt>
                <c:pt idx="260">
                  <c:v>16.999999999999975</c:v>
                </c:pt>
                <c:pt idx="261">
                  <c:v>17.099999999999977</c:v>
                </c:pt>
                <c:pt idx="262">
                  <c:v>17.199999999999978</c:v>
                </c:pt>
                <c:pt idx="263">
                  <c:v>17.299999999999979</c:v>
                </c:pt>
                <c:pt idx="264">
                  <c:v>17.399999999999981</c:v>
                </c:pt>
                <c:pt idx="265">
                  <c:v>17.499999999999982</c:v>
                </c:pt>
                <c:pt idx="266">
                  <c:v>17.599999999999984</c:v>
                </c:pt>
                <c:pt idx="267">
                  <c:v>17.699999999999985</c:v>
                </c:pt>
                <c:pt idx="268">
                  <c:v>17.799999999999986</c:v>
                </c:pt>
                <c:pt idx="269">
                  <c:v>17.899999999999988</c:v>
                </c:pt>
                <c:pt idx="270">
                  <c:v>17.999999999999989</c:v>
                </c:pt>
                <c:pt idx="271">
                  <c:v>18.099999999999991</c:v>
                </c:pt>
                <c:pt idx="272">
                  <c:v>18.199999999999992</c:v>
                </c:pt>
                <c:pt idx="273">
                  <c:v>18.299999999999994</c:v>
                </c:pt>
                <c:pt idx="274">
                  <c:v>18.399999999999995</c:v>
                </c:pt>
                <c:pt idx="275">
                  <c:v>18.499999999999996</c:v>
                </c:pt>
                <c:pt idx="276">
                  <c:v>18.599999999999998</c:v>
                </c:pt>
                <c:pt idx="277">
                  <c:v>18.7</c:v>
                </c:pt>
                <c:pt idx="278">
                  <c:v>18.8</c:v>
                </c:pt>
                <c:pt idx="279">
                  <c:v>18.900000000000002</c:v>
                </c:pt>
                <c:pt idx="280">
                  <c:v>19.000000000000004</c:v>
                </c:pt>
                <c:pt idx="281">
                  <c:v>19.100000000000005</c:v>
                </c:pt>
                <c:pt idx="282">
                  <c:v>19.200000000000006</c:v>
                </c:pt>
                <c:pt idx="283">
                  <c:v>19.300000000000008</c:v>
                </c:pt>
                <c:pt idx="284">
                  <c:v>19.400000000000009</c:v>
                </c:pt>
                <c:pt idx="285">
                  <c:v>19.500000000000011</c:v>
                </c:pt>
                <c:pt idx="286">
                  <c:v>19.600000000000012</c:v>
                </c:pt>
                <c:pt idx="287">
                  <c:v>19.700000000000014</c:v>
                </c:pt>
                <c:pt idx="288">
                  <c:v>19.800000000000015</c:v>
                </c:pt>
                <c:pt idx="289">
                  <c:v>19.900000000000016</c:v>
                </c:pt>
                <c:pt idx="290">
                  <c:v>20.000000000000018</c:v>
                </c:pt>
                <c:pt idx="291">
                  <c:v>20.100000000000019</c:v>
                </c:pt>
                <c:pt idx="292">
                  <c:v>20.200000000000021</c:v>
                </c:pt>
                <c:pt idx="293">
                  <c:v>20.300000000000022</c:v>
                </c:pt>
                <c:pt idx="294">
                  <c:v>20.400000000000023</c:v>
                </c:pt>
                <c:pt idx="295">
                  <c:v>20.500000000000025</c:v>
                </c:pt>
                <c:pt idx="296">
                  <c:v>20.600000000000026</c:v>
                </c:pt>
                <c:pt idx="297">
                  <c:v>20.700000000000028</c:v>
                </c:pt>
                <c:pt idx="298">
                  <c:v>20.800000000000029</c:v>
                </c:pt>
                <c:pt idx="299">
                  <c:v>20.900000000000031</c:v>
                </c:pt>
                <c:pt idx="300">
                  <c:v>21.000000000000032</c:v>
                </c:pt>
                <c:pt idx="301">
                  <c:v>21.100000000000033</c:v>
                </c:pt>
                <c:pt idx="302">
                  <c:v>21.200000000000035</c:v>
                </c:pt>
                <c:pt idx="303">
                  <c:v>21.300000000000036</c:v>
                </c:pt>
                <c:pt idx="304">
                  <c:v>21.400000000000038</c:v>
                </c:pt>
                <c:pt idx="305">
                  <c:v>21.500000000000039</c:v>
                </c:pt>
                <c:pt idx="306">
                  <c:v>21.600000000000041</c:v>
                </c:pt>
                <c:pt idx="307">
                  <c:v>21.700000000000042</c:v>
                </c:pt>
                <c:pt idx="308">
                  <c:v>21.800000000000043</c:v>
                </c:pt>
                <c:pt idx="309">
                  <c:v>21.900000000000045</c:v>
                </c:pt>
                <c:pt idx="310">
                  <c:v>22.000000000000046</c:v>
                </c:pt>
                <c:pt idx="311">
                  <c:v>22.100000000000048</c:v>
                </c:pt>
                <c:pt idx="312">
                  <c:v>22.200000000000049</c:v>
                </c:pt>
                <c:pt idx="313">
                  <c:v>22.30000000000005</c:v>
                </c:pt>
                <c:pt idx="314">
                  <c:v>22.400000000000052</c:v>
                </c:pt>
                <c:pt idx="315">
                  <c:v>22.500000000000053</c:v>
                </c:pt>
                <c:pt idx="316">
                  <c:v>22.600000000000055</c:v>
                </c:pt>
                <c:pt idx="317">
                  <c:v>22.700000000000056</c:v>
                </c:pt>
                <c:pt idx="318">
                  <c:v>22.800000000000058</c:v>
                </c:pt>
                <c:pt idx="319">
                  <c:v>22.900000000000059</c:v>
                </c:pt>
                <c:pt idx="320">
                  <c:v>23.00000000000006</c:v>
                </c:pt>
                <c:pt idx="321">
                  <c:v>23.100000000000062</c:v>
                </c:pt>
                <c:pt idx="322">
                  <c:v>23.200000000000063</c:v>
                </c:pt>
                <c:pt idx="323">
                  <c:v>23.300000000000065</c:v>
                </c:pt>
                <c:pt idx="324">
                  <c:v>23.400000000000066</c:v>
                </c:pt>
                <c:pt idx="325">
                  <c:v>23.500000000000068</c:v>
                </c:pt>
                <c:pt idx="326">
                  <c:v>23.600000000000069</c:v>
                </c:pt>
                <c:pt idx="327">
                  <c:v>23.70000000000007</c:v>
                </c:pt>
                <c:pt idx="328">
                  <c:v>23.800000000000072</c:v>
                </c:pt>
                <c:pt idx="329">
                  <c:v>23.900000000000073</c:v>
                </c:pt>
                <c:pt idx="330">
                  <c:v>24.000000000000075</c:v>
                </c:pt>
                <c:pt idx="331">
                  <c:v>24.100000000000076</c:v>
                </c:pt>
                <c:pt idx="332">
                  <c:v>24.200000000000077</c:v>
                </c:pt>
                <c:pt idx="333">
                  <c:v>24.300000000000079</c:v>
                </c:pt>
                <c:pt idx="334">
                  <c:v>24.40000000000008</c:v>
                </c:pt>
                <c:pt idx="335">
                  <c:v>24.500000000000082</c:v>
                </c:pt>
                <c:pt idx="336">
                  <c:v>24.600000000000083</c:v>
                </c:pt>
                <c:pt idx="337">
                  <c:v>24.700000000000085</c:v>
                </c:pt>
                <c:pt idx="338">
                  <c:v>24.800000000000086</c:v>
                </c:pt>
                <c:pt idx="339">
                  <c:v>24.900000000000087</c:v>
                </c:pt>
                <c:pt idx="340">
                  <c:v>25.000000000000089</c:v>
                </c:pt>
                <c:pt idx="341">
                  <c:v>25.10000000000009</c:v>
                </c:pt>
                <c:pt idx="342">
                  <c:v>25.200000000000092</c:v>
                </c:pt>
                <c:pt idx="343">
                  <c:v>25.300000000000093</c:v>
                </c:pt>
                <c:pt idx="344">
                  <c:v>25.400000000000095</c:v>
                </c:pt>
                <c:pt idx="345">
                  <c:v>25.500000000000096</c:v>
                </c:pt>
                <c:pt idx="346">
                  <c:v>25.600000000000097</c:v>
                </c:pt>
                <c:pt idx="347">
                  <c:v>25.700000000000099</c:v>
                </c:pt>
                <c:pt idx="348">
                  <c:v>25.8000000000001</c:v>
                </c:pt>
                <c:pt idx="349">
                  <c:v>25.900000000000102</c:v>
                </c:pt>
                <c:pt idx="350">
                  <c:v>26.000000000000103</c:v>
                </c:pt>
                <c:pt idx="351">
                  <c:v>26.100000000000104</c:v>
                </c:pt>
                <c:pt idx="352">
                  <c:v>26.200000000000106</c:v>
                </c:pt>
                <c:pt idx="353">
                  <c:v>26.300000000000107</c:v>
                </c:pt>
                <c:pt idx="354">
                  <c:v>26.400000000000109</c:v>
                </c:pt>
                <c:pt idx="355">
                  <c:v>26.50000000000011</c:v>
                </c:pt>
                <c:pt idx="356">
                  <c:v>26.600000000000112</c:v>
                </c:pt>
                <c:pt idx="357">
                  <c:v>26.700000000000113</c:v>
                </c:pt>
                <c:pt idx="358">
                  <c:v>26.800000000000114</c:v>
                </c:pt>
                <c:pt idx="359">
                  <c:v>26.900000000000116</c:v>
                </c:pt>
                <c:pt idx="360">
                  <c:v>27.000000000000117</c:v>
                </c:pt>
                <c:pt idx="361">
                  <c:v>27.100000000000119</c:v>
                </c:pt>
                <c:pt idx="362">
                  <c:v>27.20000000000012</c:v>
                </c:pt>
                <c:pt idx="363">
                  <c:v>27.300000000000122</c:v>
                </c:pt>
                <c:pt idx="364">
                  <c:v>27.400000000000123</c:v>
                </c:pt>
                <c:pt idx="365">
                  <c:v>27.500000000000124</c:v>
                </c:pt>
                <c:pt idx="366">
                  <c:v>27.600000000000126</c:v>
                </c:pt>
                <c:pt idx="367">
                  <c:v>27.700000000000127</c:v>
                </c:pt>
                <c:pt idx="368">
                  <c:v>27.800000000000129</c:v>
                </c:pt>
                <c:pt idx="369">
                  <c:v>27.90000000000013</c:v>
                </c:pt>
                <c:pt idx="370">
                  <c:v>28.000000000000131</c:v>
                </c:pt>
                <c:pt idx="371">
                  <c:v>28.100000000000133</c:v>
                </c:pt>
                <c:pt idx="372">
                  <c:v>28.200000000000134</c:v>
                </c:pt>
                <c:pt idx="373">
                  <c:v>28.300000000000136</c:v>
                </c:pt>
                <c:pt idx="374">
                  <c:v>28.400000000000137</c:v>
                </c:pt>
                <c:pt idx="375">
                  <c:v>28.500000000000139</c:v>
                </c:pt>
                <c:pt idx="376">
                  <c:v>28.60000000000014</c:v>
                </c:pt>
                <c:pt idx="377">
                  <c:v>28.700000000000141</c:v>
                </c:pt>
                <c:pt idx="378">
                  <c:v>28.800000000000143</c:v>
                </c:pt>
                <c:pt idx="379">
                  <c:v>28.900000000000144</c:v>
                </c:pt>
                <c:pt idx="380">
                  <c:v>29.000000000000146</c:v>
                </c:pt>
                <c:pt idx="381">
                  <c:v>29.100000000000147</c:v>
                </c:pt>
                <c:pt idx="382">
                  <c:v>29.200000000000149</c:v>
                </c:pt>
                <c:pt idx="383">
                  <c:v>29.200100000000148</c:v>
                </c:pt>
                <c:pt idx="384">
                  <c:v>29.200200000000148</c:v>
                </c:pt>
                <c:pt idx="385">
                  <c:v>29.200300000000148</c:v>
                </c:pt>
                <c:pt idx="386">
                  <c:v>29.200400000000148</c:v>
                </c:pt>
                <c:pt idx="387">
                  <c:v>29.200500000000147</c:v>
                </c:pt>
                <c:pt idx="388">
                  <c:v>29.200600000000147</c:v>
                </c:pt>
                <c:pt idx="389">
                  <c:v>29.200700000000147</c:v>
                </c:pt>
                <c:pt idx="390">
                  <c:v>29.200800000000147</c:v>
                </c:pt>
                <c:pt idx="391">
                  <c:v>29.200900000000146</c:v>
                </c:pt>
                <c:pt idx="392">
                  <c:v>29.201000000000146</c:v>
                </c:pt>
                <c:pt idx="393">
                  <c:v>29.201100000000146</c:v>
                </c:pt>
                <c:pt idx="394">
                  <c:v>29.201200000000146</c:v>
                </c:pt>
                <c:pt idx="395">
                  <c:v>29.201300000000145</c:v>
                </c:pt>
                <c:pt idx="396">
                  <c:v>29.201400000000145</c:v>
                </c:pt>
                <c:pt idx="397">
                  <c:v>29.201500000000145</c:v>
                </c:pt>
                <c:pt idx="398">
                  <c:v>29.201600000000145</c:v>
                </c:pt>
                <c:pt idx="399">
                  <c:v>29.201700000000145</c:v>
                </c:pt>
                <c:pt idx="400">
                  <c:v>29.201800000000144</c:v>
                </c:pt>
                <c:pt idx="401">
                  <c:v>29.201900000000144</c:v>
                </c:pt>
                <c:pt idx="402">
                  <c:v>29.202000000000144</c:v>
                </c:pt>
                <c:pt idx="403">
                  <c:v>29.202100000000144</c:v>
                </c:pt>
                <c:pt idx="404">
                  <c:v>29.202200000000143</c:v>
                </c:pt>
                <c:pt idx="405">
                  <c:v>29.202300000000143</c:v>
                </c:pt>
                <c:pt idx="406">
                  <c:v>29.202400000000143</c:v>
                </c:pt>
                <c:pt idx="407">
                  <c:v>29.202500000000143</c:v>
                </c:pt>
                <c:pt idx="408">
                  <c:v>29.202600000000142</c:v>
                </c:pt>
                <c:pt idx="409">
                  <c:v>29.202700000000142</c:v>
                </c:pt>
                <c:pt idx="410">
                  <c:v>29.202800000000142</c:v>
                </c:pt>
                <c:pt idx="411">
                  <c:v>29.202900000000142</c:v>
                </c:pt>
                <c:pt idx="412">
                  <c:v>29.203000000000142</c:v>
                </c:pt>
                <c:pt idx="413">
                  <c:v>29.203100000000141</c:v>
                </c:pt>
                <c:pt idx="414">
                  <c:v>29.203200000000141</c:v>
                </c:pt>
                <c:pt idx="415">
                  <c:v>29.203300000000141</c:v>
                </c:pt>
                <c:pt idx="416">
                  <c:v>29.203400000000141</c:v>
                </c:pt>
                <c:pt idx="417">
                  <c:v>29.20350000000014</c:v>
                </c:pt>
                <c:pt idx="418">
                  <c:v>29.20360000000014</c:v>
                </c:pt>
                <c:pt idx="419">
                  <c:v>29.20370000000014</c:v>
                </c:pt>
                <c:pt idx="420">
                  <c:v>29.20380000000014</c:v>
                </c:pt>
                <c:pt idx="421">
                  <c:v>29.203900000000139</c:v>
                </c:pt>
                <c:pt idx="422">
                  <c:v>29.204000000000139</c:v>
                </c:pt>
                <c:pt idx="423">
                  <c:v>29.204100000000139</c:v>
                </c:pt>
                <c:pt idx="424">
                  <c:v>29.204200000000139</c:v>
                </c:pt>
                <c:pt idx="425">
                  <c:v>29.204300000000138</c:v>
                </c:pt>
                <c:pt idx="426">
                  <c:v>29.204400000000138</c:v>
                </c:pt>
                <c:pt idx="427">
                  <c:v>29.204500000000138</c:v>
                </c:pt>
                <c:pt idx="428">
                  <c:v>29.204600000000138</c:v>
                </c:pt>
                <c:pt idx="429">
                  <c:v>29.204700000000138</c:v>
                </c:pt>
                <c:pt idx="430">
                  <c:v>29.204800000000137</c:v>
                </c:pt>
                <c:pt idx="431">
                  <c:v>29.204900000000137</c:v>
                </c:pt>
                <c:pt idx="432">
                  <c:v>29.205000000000137</c:v>
                </c:pt>
                <c:pt idx="433">
                  <c:v>29.205100000000137</c:v>
                </c:pt>
                <c:pt idx="434">
                  <c:v>29.205200000000136</c:v>
                </c:pt>
                <c:pt idx="435">
                  <c:v>29.205300000000136</c:v>
                </c:pt>
                <c:pt idx="436">
                  <c:v>29.205400000000136</c:v>
                </c:pt>
                <c:pt idx="437">
                  <c:v>29.205500000000136</c:v>
                </c:pt>
                <c:pt idx="438">
                  <c:v>29.205600000000135</c:v>
                </c:pt>
                <c:pt idx="439">
                  <c:v>29.205700000000135</c:v>
                </c:pt>
                <c:pt idx="440">
                  <c:v>29.205800000000135</c:v>
                </c:pt>
                <c:pt idx="441">
                  <c:v>29.205900000000135</c:v>
                </c:pt>
                <c:pt idx="442">
                  <c:v>29.206000000000135</c:v>
                </c:pt>
                <c:pt idx="443">
                  <c:v>29.206100000000134</c:v>
                </c:pt>
                <c:pt idx="444">
                  <c:v>29.206200000000134</c:v>
                </c:pt>
                <c:pt idx="445">
                  <c:v>29.206300000000134</c:v>
                </c:pt>
                <c:pt idx="446">
                  <c:v>29.206400000000134</c:v>
                </c:pt>
                <c:pt idx="447">
                  <c:v>29.206500000000133</c:v>
                </c:pt>
                <c:pt idx="448">
                  <c:v>29.206600000000133</c:v>
                </c:pt>
                <c:pt idx="449">
                  <c:v>29.206700000000133</c:v>
                </c:pt>
                <c:pt idx="450">
                  <c:v>29.206800000000133</c:v>
                </c:pt>
                <c:pt idx="451">
                  <c:v>29.206900000000132</c:v>
                </c:pt>
                <c:pt idx="452">
                  <c:v>29.207000000000132</c:v>
                </c:pt>
                <c:pt idx="453">
                  <c:v>29.207100000000132</c:v>
                </c:pt>
                <c:pt idx="454">
                  <c:v>29.207200000000132</c:v>
                </c:pt>
                <c:pt idx="455">
                  <c:v>29.207300000000131</c:v>
                </c:pt>
                <c:pt idx="456">
                  <c:v>29.207400000000131</c:v>
                </c:pt>
                <c:pt idx="457">
                  <c:v>29.207500000000131</c:v>
                </c:pt>
                <c:pt idx="458">
                  <c:v>29.207600000000131</c:v>
                </c:pt>
                <c:pt idx="459">
                  <c:v>29.207700000000131</c:v>
                </c:pt>
                <c:pt idx="460">
                  <c:v>29.20780000000013</c:v>
                </c:pt>
                <c:pt idx="461">
                  <c:v>29.20790000000013</c:v>
                </c:pt>
                <c:pt idx="462">
                  <c:v>29.20800000000013</c:v>
                </c:pt>
                <c:pt idx="463">
                  <c:v>29.20810000000013</c:v>
                </c:pt>
                <c:pt idx="464">
                  <c:v>29.208200000000129</c:v>
                </c:pt>
                <c:pt idx="465">
                  <c:v>29.208300000000129</c:v>
                </c:pt>
                <c:pt idx="466">
                  <c:v>29.208400000000129</c:v>
                </c:pt>
                <c:pt idx="467">
                  <c:v>29.208500000000129</c:v>
                </c:pt>
                <c:pt idx="468">
                  <c:v>29.208600000000128</c:v>
                </c:pt>
                <c:pt idx="469">
                  <c:v>29.208700000000128</c:v>
                </c:pt>
                <c:pt idx="470">
                  <c:v>29.208800000000128</c:v>
                </c:pt>
                <c:pt idx="471">
                  <c:v>29.208900000000128</c:v>
                </c:pt>
                <c:pt idx="472">
                  <c:v>29.209000000000128</c:v>
                </c:pt>
                <c:pt idx="473">
                  <c:v>29.209100000000127</c:v>
                </c:pt>
                <c:pt idx="474">
                  <c:v>29.209200000000127</c:v>
                </c:pt>
                <c:pt idx="475">
                  <c:v>29.209300000000127</c:v>
                </c:pt>
                <c:pt idx="476">
                  <c:v>29.209400000000127</c:v>
                </c:pt>
                <c:pt idx="477">
                  <c:v>29.209500000000126</c:v>
                </c:pt>
                <c:pt idx="478">
                  <c:v>29.209600000000126</c:v>
                </c:pt>
                <c:pt idx="479">
                  <c:v>29.209700000000126</c:v>
                </c:pt>
                <c:pt idx="480">
                  <c:v>29.209800000000126</c:v>
                </c:pt>
                <c:pt idx="481">
                  <c:v>29.209900000000125</c:v>
                </c:pt>
                <c:pt idx="482">
                  <c:v>29.210000000000125</c:v>
                </c:pt>
                <c:pt idx="483">
                  <c:v>29.210100000000125</c:v>
                </c:pt>
                <c:pt idx="484">
                  <c:v>29.210200000000125</c:v>
                </c:pt>
                <c:pt idx="485">
                  <c:v>29.210300000000124</c:v>
                </c:pt>
                <c:pt idx="486">
                  <c:v>29.210400000000124</c:v>
                </c:pt>
                <c:pt idx="487">
                  <c:v>29.210500000000124</c:v>
                </c:pt>
                <c:pt idx="488">
                  <c:v>29.210600000000124</c:v>
                </c:pt>
                <c:pt idx="489">
                  <c:v>29.210700000000124</c:v>
                </c:pt>
                <c:pt idx="490">
                  <c:v>29.210800000000123</c:v>
                </c:pt>
                <c:pt idx="491">
                  <c:v>29.210900000000123</c:v>
                </c:pt>
                <c:pt idx="492">
                  <c:v>29.211000000000123</c:v>
                </c:pt>
                <c:pt idx="493">
                  <c:v>29.211100000000123</c:v>
                </c:pt>
                <c:pt idx="494">
                  <c:v>29.211200000000122</c:v>
                </c:pt>
                <c:pt idx="495">
                  <c:v>29.211300000000122</c:v>
                </c:pt>
                <c:pt idx="496">
                  <c:v>29.211400000000122</c:v>
                </c:pt>
                <c:pt idx="497">
                  <c:v>29.211500000000122</c:v>
                </c:pt>
                <c:pt idx="498">
                  <c:v>29.211600000000121</c:v>
                </c:pt>
                <c:pt idx="499">
                  <c:v>29.211700000000121</c:v>
                </c:pt>
                <c:pt idx="500">
                  <c:v>29.211800000000121</c:v>
                </c:pt>
                <c:pt idx="501">
                  <c:v>29.211900000000121</c:v>
                </c:pt>
                <c:pt idx="502">
                  <c:v>29.212000000000121</c:v>
                </c:pt>
                <c:pt idx="503">
                  <c:v>29.21210000000012</c:v>
                </c:pt>
                <c:pt idx="504">
                  <c:v>29.21220000000012</c:v>
                </c:pt>
                <c:pt idx="505">
                  <c:v>29.21230000000012</c:v>
                </c:pt>
                <c:pt idx="506">
                  <c:v>29.21240000000012</c:v>
                </c:pt>
                <c:pt idx="507">
                  <c:v>29.212500000000119</c:v>
                </c:pt>
                <c:pt idx="508">
                  <c:v>29.212600000000119</c:v>
                </c:pt>
                <c:pt idx="509">
                  <c:v>29.212700000000119</c:v>
                </c:pt>
                <c:pt idx="510">
                  <c:v>29.212800000000119</c:v>
                </c:pt>
                <c:pt idx="511">
                  <c:v>29.212900000000118</c:v>
                </c:pt>
                <c:pt idx="512">
                  <c:v>29.213000000000118</c:v>
                </c:pt>
                <c:pt idx="513">
                  <c:v>29.213100000000118</c:v>
                </c:pt>
                <c:pt idx="514">
                  <c:v>29.213200000000118</c:v>
                </c:pt>
                <c:pt idx="515">
                  <c:v>29.213300000000118</c:v>
                </c:pt>
                <c:pt idx="516">
                  <c:v>29.213400000000117</c:v>
                </c:pt>
                <c:pt idx="517">
                  <c:v>29.213500000000117</c:v>
                </c:pt>
                <c:pt idx="518">
                  <c:v>29.213600000000117</c:v>
                </c:pt>
                <c:pt idx="519">
                  <c:v>29.213700000000117</c:v>
                </c:pt>
                <c:pt idx="520">
                  <c:v>29.213800000000116</c:v>
                </c:pt>
                <c:pt idx="521">
                  <c:v>29.213900000000116</c:v>
                </c:pt>
                <c:pt idx="522">
                  <c:v>29.214000000000116</c:v>
                </c:pt>
                <c:pt idx="523">
                  <c:v>29.214100000000116</c:v>
                </c:pt>
                <c:pt idx="524">
                  <c:v>29.214200000000115</c:v>
                </c:pt>
                <c:pt idx="525">
                  <c:v>29.214300000000115</c:v>
                </c:pt>
                <c:pt idx="526">
                  <c:v>29.214400000000115</c:v>
                </c:pt>
                <c:pt idx="527">
                  <c:v>29.214500000000115</c:v>
                </c:pt>
                <c:pt idx="528">
                  <c:v>29.214600000000114</c:v>
                </c:pt>
                <c:pt idx="529">
                  <c:v>29.214700000000114</c:v>
                </c:pt>
                <c:pt idx="530">
                  <c:v>29.214800000000114</c:v>
                </c:pt>
                <c:pt idx="531">
                  <c:v>29.214900000000114</c:v>
                </c:pt>
                <c:pt idx="532">
                  <c:v>29.215000000000114</c:v>
                </c:pt>
                <c:pt idx="533">
                  <c:v>29.215100000000113</c:v>
                </c:pt>
                <c:pt idx="534">
                  <c:v>29.215200000000113</c:v>
                </c:pt>
                <c:pt idx="535">
                  <c:v>29.215300000000113</c:v>
                </c:pt>
                <c:pt idx="536">
                  <c:v>29.215400000000113</c:v>
                </c:pt>
                <c:pt idx="537">
                  <c:v>29.215500000000112</c:v>
                </c:pt>
                <c:pt idx="538">
                  <c:v>29.215600000000112</c:v>
                </c:pt>
                <c:pt idx="539">
                  <c:v>29.215700000000112</c:v>
                </c:pt>
                <c:pt idx="540">
                  <c:v>29.215800000000112</c:v>
                </c:pt>
                <c:pt idx="541">
                  <c:v>29.215900000000111</c:v>
                </c:pt>
                <c:pt idx="542">
                  <c:v>29.216000000000111</c:v>
                </c:pt>
                <c:pt idx="543">
                  <c:v>29.216100000000111</c:v>
                </c:pt>
                <c:pt idx="544">
                  <c:v>29.216200000000111</c:v>
                </c:pt>
                <c:pt idx="545">
                  <c:v>29.216300000000111</c:v>
                </c:pt>
                <c:pt idx="546">
                  <c:v>29.21640000000011</c:v>
                </c:pt>
                <c:pt idx="547">
                  <c:v>29.21650000000011</c:v>
                </c:pt>
                <c:pt idx="548">
                  <c:v>29.21660000000011</c:v>
                </c:pt>
                <c:pt idx="549">
                  <c:v>29.21670000000011</c:v>
                </c:pt>
                <c:pt idx="550">
                  <c:v>29.216800000000109</c:v>
                </c:pt>
                <c:pt idx="551">
                  <c:v>29.216900000000109</c:v>
                </c:pt>
                <c:pt idx="552">
                  <c:v>29.217000000000109</c:v>
                </c:pt>
                <c:pt idx="553">
                  <c:v>29.217100000000109</c:v>
                </c:pt>
                <c:pt idx="554">
                  <c:v>29.217200000000108</c:v>
                </c:pt>
                <c:pt idx="555">
                  <c:v>29.217300000000108</c:v>
                </c:pt>
                <c:pt idx="556">
                  <c:v>29.217400000000108</c:v>
                </c:pt>
                <c:pt idx="557">
                  <c:v>29.217500000000108</c:v>
                </c:pt>
                <c:pt idx="558">
                  <c:v>29.217600000000107</c:v>
                </c:pt>
                <c:pt idx="559">
                  <c:v>29.217700000000107</c:v>
                </c:pt>
                <c:pt idx="560">
                  <c:v>29.217800000000107</c:v>
                </c:pt>
                <c:pt idx="561">
                  <c:v>29.217900000000107</c:v>
                </c:pt>
                <c:pt idx="562">
                  <c:v>29.218000000000107</c:v>
                </c:pt>
                <c:pt idx="563">
                  <c:v>29.218100000000106</c:v>
                </c:pt>
                <c:pt idx="564">
                  <c:v>29.218200000000106</c:v>
                </c:pt>
                <c:pt idx="565">
                  <c:v>29.218300000000106</c:v>
                </c:pt>
                <c:pt idx="566">
                  <c:v>29.218400000000106</c:v>
                </c:pt>
                <c:pt idx="567">
                  <c:v>29.218500000000105</c:v>
                </c:pt>
                <c:pt idx="568">
                  <c:v>29.218600000000105</c:v>
                </c:pt>
                <c:pt idx="569">
                  <c:v>29.218700000000105</c:v>
                </c:pt>
                <c:pt idx="570">
                  <c:v>29.218800000000105</c:v>
                </c:pt>
                <c:pt idx="571">
                  <c:v>29.218900000000104</c:v>
                </c:pt>
                <c:pt idx="572">
                  <c:v>29.219000000000104</c:v>
                </c:pt>
                <c:pt idx="573">
                  <c:v>29.219100000000104</c:v>
                </c:pt>
                <c:pt idx="574">
                  <c:v>29.219200000000104</c:v>
                </c:pt>
                <c:pt idx="575">
                  <c:v>29.219300000000104</c:v>
                </c:pt>
                <c:pt idx="576">
                  <c:v>29.219400000000103</c:v>
                </c:pt>
                <c:pt idx="577">
                  <c:v>29.219500000000103</c:v>
                </c:pt>
                <c:pt idx="578">
                  <c:v>29.219600000000103</c:v>
                </c:pt>
                <c:pt idx="579">
                  <c:v>29.219700000000103</c:v>
                </c:pt>
                <c:pt idx="580">
                  <c:v>29.219800000000102</c:v>
                </c:pt>
                <c:pt idx="581">
                  <c:v>29.219900000000102</c:v>
                </c:pt>
                <c:pt idx="582">
                  <c:v>29.220000000000102</c:v>
                </c:pt>
                <c:pt idx="583">
                  <c:v>29.220100000000102</c:v>
                </c:pt>
                <c:pt idx="584">
                  <c:v>29.220200000000101</c:v>
                </c:pt>
                <c:pt idx="585">
                  <c:v>29.220300000000101</c:v>
                </c:pt>
                <c:pt idx="586">
                  <c:v>29.220400000000101</c:v>
                </c:pt>
                <c:pt idx="587">
                  <c:v>29.220500000000101</c:v>
                </c:pt>
                <c:pt idx="588">
                  <c:v>29.2206000000001</c:v>
                </c:pt>
                <c:pt idx="589">
                  <c:v>29.2207000000001</c:v>
                </c:pt>
                <c:pt idx="590">
                  <c:v>29.2208000000001</c:v>
                </c:pt>
                <c:pt idx="591">
                  <c:v>29.2209000000001</c:v>
                </c:pt>
                <c:pt idx="592">
                  <c:v>29.2210000000001</c:v>
                </c:pt>
                <c:pt idx="593">
                  <c:v>29.221100000000099</c:v>
                </c:pt>
                <c:pt idx="594">
                  <c:v>29.221200000000099</c:v>
                </c:pt>
                <c:pt idx="595">
                  <c:v>29.221300000000099</c:v>
                </c:pt>
                <c:pt idx="596">
                  <c:v>29.221400000000099</c:v>
                </c:pt>
                <c:pt idx="597">
                  <c:v>29.221500000000098</c:v>
                </c:pt>
                <c:pt idx="598">
                  <c:v>29.221600000000098</c:v>
                </c:pt>
                <c:pt idx="599">
                  <c:v>29.221700000000098</c:v>
                </c:pt>
                <c:pt idx="600">
                  <c:v>29.221800000000098</c:v>
                </c:pt>
                <c:pt idx="601">
                  <c:v>29.221900000000097</c:v>
                </c:pt>
                <c:pt idx="602">
                  <c:v>29.222000000000097</c:v>
                </c:pt>
                <c:pt idx="603">
                  <c:v>29.222100000000097</c:v>
                </c:pt>
                <c:pt idx="604">
                  <c:v>29.222200000000097</c:v>
                </c:pt>
                <c:pt idx="605">
                  <c:v>29.222300000000097</c:v>
                </c:pt>
                <c:pt idx="606">
                  <c:v>29.222400000000096</c:v>
                </c:pt>
                <c:pt idx="607">
                  <c:v>29.222500000000096</c:v>
                </c:pt>
                <c:pt idx="608">
                  <c:v>29.222600000000096</c:v>
                </c:pt>
                <c:pt idx="609">
                  <c:v>29.222700000000096</c:v>
                </c:pt>
                <c:pt idx="610">
                  <c:v>29.222800000000095</c:v>
                </c:pt>
                <c:pt idx="611">
                  <c:v>29.222900000000095</c:v>
                </c:pt>
                <c:pt idx="612">
                  <c:v>29.223000000000095</c:v>
                </c:pt>
                <c:pt idx="613">
                  <c:v>29.223100000000095</c:v>
                </c:pt>
                <c:pt idx="614">
                  <c:v>29.223200000000094</c:v>
                </c:pt>
                <c:pt idx="615">
                  <c:v>29.223300000000094</c:v>
                </c:pt>
                <c:pt idx="616">
                  <c:v>29.223400000000094</c:v>
                </c:pt>
                <c:pt idx="617">
                  <c:v>29.223500000000094</c:v>
                </c:pt>
                <c:pt idx="618">
                  <c:v>29.223600000000094</c:v>
                </c:pt>
                <c:pt idx="619">
                  <c:v>29.223700000000093</c:v>
                </c:pt>
                <c:pt idx="620">
                  <c:v>29.223800000000093</c:v>
                </c:pt>
                <c:pt idx="621">
                  <c:v>29.223900000000093</c:v>
                </c:pt>
                <c:pt idx="622">
                  <c:v>29.224000000000093</c:v>
                </c:pt>
                <c:pt idx="623">
                  <c:v>29.224100000000092</c:v>
                </c:pt>
                <c:pt idx="624">
                  <c:v>29.224200000000092</c:v>
                </c:pt>
                <c:pt idx="625">
                  <c:v>29.224300000000092</c:v>
                </c:pt>
                <c:pt idx="626">
                  <c:v>29.224400000000092</c:v>
                </c:pt>
                <c:pt idx="627">
                  <c:v>29.224500000000091</c:v>
                </c:pt>
                <c:pt idx="628">
                  <c:v>29.224600000000091</c:v>
                </c:pt>
                <c:pt idx="629">
                  <c:v>29.224700000000091</c:v>
                </c:pt>
                <c:pt idx="630">
                  <c:v>29.224800000000091</c:v>
                </c:pt>
                <c:pt idx="631">
                  <c:v>29.22490000000009</c:v>
                </c:pt>
                <c:pt idx="632">
                  <c:v>29.22500000000009</c:v>
                </c:pt>
                <c:pt idx="633">
                  <c:v>29.22510000000009</c:v>
                </c:pt>
                <c:pt idx="634">
                  <c:v>29.22520000000009</c:v>
                </c:pt>
                <c:pt idx="635">
                  <c:v>29.22530000000009</c:v>
                </c:pt>
                <c:pt idx="636">
                  <c:v>29.225400000000089</c:v>
                </c:pt>
                <c:pt idx="637">
                  <c:v>29.225500000000089</c:v>
                </c:pt>
                <c:pt idx="638">
                  <c:v>29.225600000000089</c:v>
                </c:pt>
                <c:pt idx="639">
                  <c:v>29.225700000000089</c:v>
                </c:pt>
                <c:pt idx="640">
                  <c:v>29.225800000000088</c:v>
                </c:pt>
                <c:pt idx="641">
                  <c:v>29.225900000000088</c:v>
                </c:pt>
                <c:pt idx="642">
                  <c:v>29.226000000000088</c:v>
                </c:pt>
                <c:pt idx="643">
                  <c:v>29.226100000000088</c:v>
                </c:pt>
                <c:pt idx="644">
                  <c:v>29.226200000000087</c:v>
                </c:pt>
                <c:pt idx="645">
                  <c:v>29.226300000000087</c:v>
                </c:pt>
                <c:pt idx="646">
                  <c:v>29.226400000000087</c:v>
                </c:pt>
                <c:pt idx="647">
                  <c:v>29.226500000000087</c:v>
                </c:pt>
                <c:pt idx="648">
                  <c:v>29.226600000000087</c:v>
                </c:pt>
                <c:pt idx="649">
                  <c:v>29.226700000000086</c:v>
                </c:pt>
                <c:pt idx="650">
                  <c:v>29.226800000000086</c:v>
                </c:pt>
                <c:pt idx="651">
                  <c:v>29.226900000000086</c:v>
                </c:pt>
                <c:pt idx="652">
                  <c:v>29.227000000000086</c:v>
                </c:pt>
                <c:pt idx="653">
                  <c:v>29.227100000000085</c:v>
                </c:pt>
                <c:pt idx="654">
                  <c:v>29.227200000000085</c:v>
                </c:pt>
                <c:pt idx="655">
                  <c:v>29.227300000000085</c:v>
                </c:pt>
                <c:pt idx="656">
                  <c:v>29.227400000000085</c:v>
                </c:pt>
                <c:pt idx="657">
                  <c:v>29.227500000000084</c:v>
                </c:pt>
                <c:pt idx="658">
                  <c:v>29.227600000000084</c:v>
                </c:pt>
                <c:pt idx="659">
                  <c:v>29.227700000000084</c:v>
                </c:pt>
                <c:pt idx="660">
                  <c:v>29.227800000000084</c:v>
                </c:pt>
                <c:pt idx="661">
                  <c:v>29.227900000000083</c:v>
                </c:pt>
                <c:pt idx="662">
                  <c:v>29.228000000000083</c:v>
                </c:pt>
                <c:pt idx="663">
                  <c:v>29.228100000000083</c:v>
                </c:pt>
                <c:pt idx="664">
                  <c:v>29.228200000000083</c:v>
                </c:pt>
                <c:pt idx="665">
                  <c:v>29.228300000000083</c:v>
                </c:pt>
                <c:pt idx="666">
                  <c:v>29.228400000000082</c:v>
                </c:pt>
                <c:pt idx="667">
                  <c:v>29.228500000000082</c:v>
                </c:pt>
                <c:pt idx="668">
                  <c:v>29.228600000000082</c:v>
                </c:pt>
                <c:pt idx="669">
                  <c:v>29.228700000000082</c:v>
                </c:pt>
                <c:pt idx="670">
                  <c:v>29.228800000000081</c:v>
                </c:pt>
                <c:pt idx="671">
                  <c:v>29.228900000000081</c:v>
                </c:pt>
                <c:pt idx="672">
                  <c:v>29.229000000000081</c:v>
                </c:pt>
                <c:pt idx="673">
                  <c:v>29.229100000000081</c:v>
                </c:pt>
                <c:pt idx="674">
                  <c:v>29.22920000000008</c:v>
                </c:pt>
                <c:pt idx="675">
                  <c:v>29.22930000000008</c:v>
                </c:pt>
                <c:pt idx="676">
                  <c:v>29.22940000000008</c:v>
                </c:pt>
                <c:pt idx="677">
                  <c:v>29.22950000000008</c:v>
                </c:pt>
                <c:pt idx="678">
                  <c:v>29.22960000000008</c:v>
                </c:pt>
                <c:pt idx="679">
                  <c:v>29.229700000000079</c:v>
                </c:pt>
                <c:pt idx="680">
                  <c:v>29.229800000000079</c:v>
                </c:pt>
                <c:pt idx="681">
                  <c:v>29.229900000000079</c:v>
                </c:pt>
                <c:pt idx="682">
                  <c:v>29.230000000000079</c:v>
                </c:pt>
                <c:pt idx="683">
                  <c:v>29.230100000000078</c:v>
                </c:pt>
                <c:pt idx="684">
                  <c:v>29.230200000000078</c:v>
                </c:pt>
                <c:pt idx="685">
                  <c:v>29.230300000000078</c:v>
                </c:pt>
                <c:pt idx="686">
                  <c:v>29.230400000000078</c:v>
                </c:pt>
                <c:pt idx="687">
                  <c:v>29.230500000000077</c:v>
                </c:pt>
                <c:pt idx="688">
                  <c:v>29.230600000000077</c:v>
                </c:pt>
                <c:pt idx="689">
                  <c:v>29.230700000000077</c:v>
                </c:pt>
                <c:pt idx="690">
                  <c:v>29.230800000000077</c:v>
                </c:pt>
                <c:pt idx="691">
                  <c:v>29.230900000000076</c:v>
                </c:pt>
                <c:pt idx="692">
                  <c:v>29.231000000000076</c:v>
                </c:pt>
                <c:pt idx="693">
                  <c:v>29.231100000000076</c:v>
                </c:pt>
                <c:pt idx="694">
                  <c:v>29.231200000000076</c:v>
                </c:pt>
                <c:pt idx="695">
                  <c:v>29.231300000000076</c:v>
                </c:pt>
                <c:pt idx="696">
                  <c:v>29.231400000000075</c:v>
                </c:pt>
                <c:pt idx="697">
                  <c:v>29.231500000000075</c:v>
                </c:pt>
                <c:pt idx="698">
                  <c:v>29.231600000000075</c:v>
                </c:pt>
                <c:pt idx="699">
                  <c:v>29.231700000000075</c:v>
                </c:pt>
                <c:pt idx="700">
                  <c:v>29.231800000000074</c:v>
                </c:pt>
                <c:pt idx="701">
                  <c:v>29.231900000000074</c:v>
                </c:pt>
                <c:pt idx="702">
                  <c:v>29.232000000000074</c:v>
                </c:pt>
                <c:pt idx="703">
                  <c:v>29.232100000000074</c:v>
                </c:pt>
                <c:pt idx="704">
                  <c:v>29.232200000000073</c:v>
                </c:pt>
                <c:pt idx="705">
                  <c:v>29.232300000000073</c:v>
                </c:pt>
                <c:pt idx="706">
                  <c:v>29.232400000000073</c:v>
                </c:pt>
                <c:pt idx="707">
                  <c:v>29.232500000000073</c:v>
                </c:pt>
                <c:pt idx="708">
                  <c:v>29.232600000000073</c:v>
                </c:pt>
                <c:pt idx="709">
                  <c:v>29.232700000000072</c:v>
                </c:pt>
                <c:pt idx="710">
                  <c:v>29.232800000000072</c:v>
                </c:pt>
                <c:pt idx="711">
                  <c:v>29.232900000000072</c:v>
                </c:pt>
                <c:pt idx="712">
                  <c:v>29.233000000000072</c:v>
                </c:pt>
                <c:pt idx="713">
                  <c:v>29.233100000000071</c:v>
                </c:pt>
                <c:pt idx="714">
                  <c:v>29.233200000000071</c:v>
                </c:pt>
                <c:pt idx="715">
                  <c:v>29.233300000000071</c:v>
                </c:pt>
                <c:pt idx="716">
                  <c:v>29.233400000000071</c:v>
                </c:pt>
                <c:pt idx="717">
                  <c:v>29.23350000000007</c:v>
                </c:pt>
                <c:pt idx="718">
                  <c:v>29.23360000000007</c:v>
                </c:pt>
                <c:pt idx="719">
                  <c:v>29.23370000000007</c:v>
                </c:pt>
                <c:pt idx="720">
                  <c:v>29.23380000000007</c:v>
                </c:pt>
                <c:pt idx="721">
                  <c:v>29.233900000000069</c:v>
                </c:pt>
                <c:pt idx="722">
                  <c:v>29.234000000000069</c:v>
                </c:pt>
                <c:pt idx="723">
                  <c:v>29.234100000000069</c:v>
                </c:pt>
                <c:pt idx="724">
                  <c:v>29.234200000000069</c:v>
                </c:pt>
                <c:pt idx="725">
                  <c:v>29.234300000000069</c:v>
                </c:pt>
                <c:pt idx="726">
                  <c:v>29.234400000000068</c:v>
                </c:pt>
                <c:pt idx="727">
                  <c:v>29.234500000000068</c:v>
                </c:pt>
                <c:pt idx="728">
                  <c:v>29.234600000000068</c:v>
                </c:pt>
                <c:pt idx="729">
                  <c:v>29.234700000000068</c:v>
                </c:pt>
                <c:pt idx="730">
                  <c:v>29.234800000000067</c:v>
                </c:pt>
                <c:pt idx="731">
                  <c:v>29.234900000000067</c:v>
                </c:pt>
                <c:pt idx="732">
                  <c:v>29.235000000000067</c:v>
                </c:pt>
                <c:pt idx="733">
                  <c:v>29.235100000000067</c:v>
                </c:pt>
                <c:pt idx="734">
                  <c:v>29.235200000000066</c:v>
                </c:pt>
                <c:pt idx="735">
                  <c:v>29.235300000000066</c:v>
                </c:pt>
                <c:pt idx="736">
                  <c:v>29.235400000000066</c:v>
                </c:pt>
                <c:pt idx="737">
                  <c:v>29.235500000000066</c:v>
                </c:pt>
                <c:pt idx="738">
                  <c:v>29.235600000000066</c:v>
                </c:pt>
                <c:pt idx="739">
                  <c:v>29.235700000000065</c:v>
                </c:pt>
                <c:pt idx="740">
                  <c:v>29.235800000000065</c:v>
                </c:pt>
                <c:pt idx="741">
                  <c:v>29.235900000000065</c:v>
                </c:pt>
                <c:pt idx="742">
                  <c:v>29.236000000000065</c:v>
                </c:pt>
                <c:pt idx="743">
                  <c:v>29.236100000000064</c:v>
                </c:pt>
                <c:pt idx="744">
                  <c:v>29.236200000000064</c:v>
                </c:pt>
                <c:pt idx="745">
                  <c:v>29.236300000000064</c:v>
                </c:pt>
                <c:pt idx="746">
                  <c:v>29.236400000000064</c:v>
                </c:pt>
                <c:pt idx="747">
                  <c:v>29.236500000000063</c:v>
                </c:pt>
                <c:pt idx="748">
                  <c:v>29.236600000000063</c:v>
                </c:pt>
                <c:pt idx="749">
                  <c:v>29.236700000000063</c:v>
                </c:pt>
                <c:pt idx="750">
                  <c:v>29.236800000000063</c:v>
                </c:pt>
                <c:pt idx="751">
                  <c:v>29.236900000000063</c:v>
                </c:pt>
                <c:pt idx="752">
                  <c:v>29.237000000000062</c:v>
                </c:pt>
                <c:pt idx="753">
                  <c:v>29.237100000000062</c:v>
                </c:pt>
                <c:pt idx="754">
                  <c:v>29.237200000000062</c:v>
                </c:pt>
                <c:pt idx="755">
                  <c:v>29.237300000000062</c:v>
                </c:pt>
                <c:pt idx="756">
                  <c:v>29.237400000000061</c:v>
                </c:pt>
                <c:pt idx="757">
                  <c:v>29.237500000000061</c:v>
                </c:pt>
                <c:pt idx="758">
                  <c:v>29.237600000000061</c:v>
                </c:pt>
                <c:pt idx="759">
                  <c:v>29.237700000000061</c:v>
                </c:pt>
                <c:pt idx="760">
                  <c:v>29.23780000000006</c:v>
                </c:pt>
                <c:pt idx="761">
                  <c:v>29.23790000000006</c:v>
                </c:pt>
                <c:pt idx="762">
                  <c:v>29.23800000000006</c:v>
                </c:pt>
                <c:pt idx="763">
                  <c:v>29.23810000000006</c:v>
                </c:pt>
                <c:pt idx="764">
                  <c:v>29.238200000000059</c:v>
                </c:pt>
                <c:pt idx="765">
                  <c:v>29.238300000000059</c:v>
                </c:pt>
                <c:pt idx="766">
                  <c:v>29.238400000000059</c:v>
                </c:pt>
                <c:pt idx="767">
                  <c:v>29.238500000000059</c:v>
                </c:pt>
                <c:pt idx="768">
                  <c:v>29.238600000000059</c:v>
                </c:pt>
                <c:pt idx="769">
                  <c:v>29.238700000000058</c:v>
                </c:pt>
                <c:pt idx="770">
                  <c:v>29.238800000000058</c:v>
                </c:pt>
                <c:pt idx="771">
                  <c:v>29.238900000000058</c:v>
                </c:pt>
                <c:pt idx="772">
                  <c:v>29.239000000000058</c:v>
                </c:pt>
                <c:pt idx="773">
                  <c:v>29.239100000000057</c:v>
                </c:pt>
                <c:pt idx="774">
                  <c:v>29.239200000000057</c:v>
                </c:pt>
                <c:pt idx="775">
                  <c:v>29.239300000000057</c:v>
                </c:pt>
                <c:pt idx="776">
                  <c:v>29.239400000000057</c:v>
                </c:pt>
                <c:pt idx="777">
                  <c:v>29.239500000000056</c:v>
                </c:pt>
                <c:pt idx="778">
                  <c:v>29.239600000000056</c:v>
                </c:pt>
                <c:pt idx="779">
                  <c:v>29.239700000000056</c:v>
                </c:pt>
                <c:pt idx="780">
                  <c:v>29.239800000000056</c:v>
                </c:pt>
                <c:pt idx="781">
                  <c:v>29.239900000000056</c:v>
                </c:pt>
                <c:pt idx="782">
                  <c:v>29.240000000000055</c:v>
                </c:pt>
                <c:pt idx="783">
                  <c:v>29.240100000000055</c:v>
                </c:pt>
                <c:pt idx="784">
                  <c:v>29.240200000000055</c:v>
                </c:pt>
                <c:pt idx="785">
                  <c:v>29.240300000000055</c:v>
                </c:pt>
                <c:pt idx="786">
                  <c:v>29.240400000000054</c:v>
                </c:pt>
                <c:pt idx="787">
                  <c:v>29.240500000000054</c:v>
                </c:pt>
                <c:pt idx="788">
                  <c:v>29.240600000000054</c:v>
                </c:pt>
                <c:pt idx="789">
                  <c:v>29.240700000000054</c:v>
                </c:pt>
                <c:pt idx="790">
                  <c:v>29.240800000000053</c:v>
                </c:pt>
                <c:pt idx="791">
                  <c:v>29.240900000000053</c:v>
                </c:pt>
                <c:pt idx="792">
                  <c:v>29.241000000000053</c:v>
                </c:pt>
                <c:pt idx="793">
                  <c:v>29.241100000000053</c:v>
                </c:pt>
                <c:pt idx="794">
                  <c:v>29.241200000000052</c:v>
                </c:pt>
                <c:pt idx="795">
                  <c:v>29.241300000000052</c:v>
                </c:pt>
                <c:pt idx="796">
                  <c:v>29.241400000000052</c:v>
                </c:pt>
                <c:pt idx="797">
                  <c:v>29.241500000000052</c:v>
                </c:pt>
                <c:pt idx="798">
                  <c:v>29.241600000000052</c:v>
                </c:pt>
                <c:pt idx="799">
                  <c:v>29.241700000000051</c:v>
                </c:pt>
                <c:pt idx="800">
                  <c:v>29.241800000000051</c:v>
                </c:pt>
                <c:pt idx="801">
                  <c:v>29.241900000000051</c:v>
                </c:pt>
                <c:pt idx="802">
                  <c:v>29.242000000000051</c:v>
                </c:pt>
                <c:pt idx="803">
                  <c:v>29.24210000000005</c:v>
                </c:pt>
                <c:pt idx="804">
                  <c:v>29.24220000000005</c:v>
                </c:pt>
                <c:pt idx="805">
                  <c:v>29.24230000000005</c:v>
                </c:pt>
                <c:pt idx="806">
                  <c:v>29.24240000000005</c:v>
                </c:pt>
                <c:pt idx="807">
                  <c:v>29.242500000000049</c:v>
                </c:pt>
                <c:pt idx="808">
                  <c:v>29.242600000000049</c:v>
                </c:pt>
                <c:pt idx="809">
                  <c:v>29.242700000000049</c:v>
                </c:pt>
                <c:pt idx="810">
                  <c:v>29.242800000000049</c:v>
                </c:pt>
                <c:pt idx="811">
                  <c:v>29.242900000000049</c:v>
                </c:pt>
                <c:pt idx="812">
                  <c:v>29.243000000000048</c:v>
                </c:pt>
                <c:pt idx="813">
                  <c:v>29.243100000000048</c:v>
                </c:pt>
                <c:pt idx="814">
                  <c:v>29.243200000000048</c:v>
                </c:pt>
                <c:pt idx="815">
                  <c:v>29.243300000000048</c:v>
                </c:pt>
                <c:pt idx="816">
                  <c:v>29.243400000000047</c:v>
                </c:pt>
                <c:pt idx="817">
                  <c:v>29.243500000000047</c:v>
                </c:pt>
                <c:pt idx="818">
                  <c:v>29.243600000000047</c:v>
                </c:pt>
                <c:pt idx="819">
                  <c:v>29.243700000000047</c:v>
                </c:pt>
                <c:pt idx="820">
                  <c:v>29.243800000000046</c:v>
                </c:pt>
                <c:pt idx="821">
                  <c:v>29.243900000000046</c:v>
                </c:pt>
                <c:pt idx="822">
                  <c:v>29.244000000000046</c:v>
                </c:pt>
                <c:pt idx="823">
                  <c:v>29.244100000000046</c:v>
                </c:pt>
                <c:pt idx="824">
                  <c:v>29.244200000000045</c:v>
                </c:pt>
                <c:pt idx="825">
                  <c:v>29.244300000000045</c:v>
                </c:pt>
                <c:pt idx="826">
                  <c:v>29.244400000000045</c:v>
                </c:pt>
                <c:pt idx="827">
                  <c:v>29.244500000000045</c:v>
                </c:pt>
                <c:pt idx="828">
                  <c:v>29.244600000000045</c:v>
                </c:pt>
                <c:pt idx="829">
                  <c:v>29.244700000000044</c:v>
                </c:pt>
                <c:pt idx="830">
                  <c:v>29.244800000000044</c:v>
                </c:pt>
                <c:pt idx="831">
                  <c:v>29.244900000000044</c:v>
                </c:pt>
                <c:pt idx="832">
                  <c:v>29.245000000000044</c:v>
                </c:pt>
                <c:pt idx="833">
                  <c:v>29.245100000000043</c:v>
                </c:pt>
                <c:pt idx="834">
                  <c:v>29.245200000000043</c:v>
                </c:pt>
                <c:pt idx="835">
                  <c:v>29.245300000000043</c:v>
                </c:pt>
                <c:pt idx="836">
                  <c:v>29.245400000000043</c:v>
                </c:pt>
                <c:pt idx="837">
                  <c:v>29.245500000000042</c:v>
                </c:pt>
                <c:pt idx="838">
                  <c:v>29.245600000000042</c:v>
                </c:pt>
                <c:pt idx="839">
                  <c:v>29.245700000000042</c:v>
                </c:pt>
                <c:pt idx="840">
                  <c:v>29.245800000000042</c:v>
                </c:pt>
                <c:pt idx="841">
                  <c:v>29.245900000000042</c:v>
                </c:pt>
                <c:pt idx="842">
                  <c:v>29.246000000000041</c:v>
                </c:pt>
                <c:pt idx="843">
                  <c:v>29.246100000000041</c:v>
                </c:pt>
                <c:pt idx="844">
                  <c:v>29.246200000000041</c:v>
                </c:pt>
                <c:pt idx="845">
                  <c:v>29.246300000000041</c:v>
                </c:pt>
                <c:pt idx="846">
                  <c:v>29.24640000000004</c:v>
                </c:pt>
                <c:pt idx="847">
                  <c:v>29.24650000000004</c:v>
                </c:pt>
                <c:pt idx="848">
                  <c:v>29.24660000000004</c:v>
                </c:pt>
                <c:pt idx="849">
                  <c:v>29.24670000000004</c:v>
                </c:pt>
                <c:pt idx="850">
                  <c:v>29.246800000000039</c:v>
                </c:pt>
                <c:pt idx="851">
                  <c:v>29.246900000000039</c:v>
                </c:pt>
                <c:pt idx="852">
                  <c:v>29.247000000000039</c:v>
                </c:pt>
                <c:pt idx="853">
                  <c:v>29.247100000000039</c:v>
                </c:pt>
                <c:pt idx="854">
                  <c:v>29.247200000000039</c:v>
                </c:pt>
                <c:pt idx="855">
                  <c:v>29.247300000000038</c:v>
                </c:pt>
                <c:pt idx="856">
                  <c:v>29.247400000000038</c:v>
                </c:pt>
                <c:pt idx="857">
                  <c:v>29.247500000000038</c:v>
                </c:pt>
                <c:pt idx="858">
                  <c:v>29.247600000000038</c:v>
                </c:pt>
                <c:pt idx="859">
                  <c:v>29.247700000000037</c:v>
                </c:pt>
                <c:pt idx="860">
                  <c:v>29.247800000000037</c:v>
                </c:pt>
                <c:pt idx="861">
                  <c:v>29.247900000000037</c:v>
                </c:pt>
                <c:pt idx="862">
                  <c:v>29.248000000000037</c:v>
                </c:pt>
                <c:pt idx="863">
                  <c:v>29.248100000000036</c:v>
                </c:pt>
                <c:pt idx="864">
                  <c:v>29.248200000000036</c:v>
                </c:pt>
                <c:pt idx="865">
                  <c:v>29.248300000000036</c:v>
                </c:pt>
                <c:pt idx="866">
                  <c:v>29.248400000000036</c:v>
                </c:pt>
                <c:pt idx="867">
                  <c:v>29.248500000000035</c:v>
                </c:pt>
                <c:pt idx="868">
                  <c:v>29.248600000000035</c:v>
                </c:pt>
                <c:pt idx="869">
                  <c:v>29.248700000000035</c:v>
                </c:pt>
                <c:pt idx="870">
                  <c:v>29.248800000000035</c:v>
                </c:pt>
                <c:pt idx="871">
                  <c:v>29.248900000000035</c:v>
                </c:pt>
                <c:pt idx="872">
                  <c:v>29.249000000000034</c:v>
                </c:pt>
                <c:pt idx="873">
                  <c:v>29.249100000000034</c:v>
                </c:pt>
                <c:pt idx="874">
                  <c:v>29.249200000000034</c:v>
                </c:pt>
                <c:pt idx="875">
                  <c:v>29.249300000000034</c:v>
                </c:pt>
                <c:pt idx="876">
                  <c:v>29.249400000000033</c:v>
                </c:pt>
                <c:pt idx="877">
                  <c:v>29.249500000000033</c:v>
                </c:pt>
                <c:pt idx="878">
                  <c:v>29.249600000000033</c:v>
                </c:pt>
                <c:pt idx="879">
                  <c:v>29.249700000000033</c:v>
                </c:pt>
                <c:pt idx="880">
                  <c:v>29.249800000000032</c:v>
                </c:pt>
                <c:pt idx="881">
                  <c:v>29.249900000000032</c:v>
                </c:pt>
                <c:pt idx="882">
                  <c:v>29.250000000000032</c:v>
                </c:pt>
                <c:pt idx="883">
                  <c:v>29.250100000000032</c:v>
                </c:pt>
                <c:pt idx="884">
                  <c:v>29.250200000000032</c:v>
                </c:pt>
                <c:pt idx="885">
                  <c:v>29.250300000000031</c:v>
                </c:pt>
                <c:pt idx="886">
                  <c:v>29.250400000000031</c:v>
                </c:pt>
                <c:pt idx="887">
                  <c:v>29.250500000000031</c:v>
                </c:pt>
                <c:pt idx="888">
                  <c:v>29.250600000000031</c:v>
                </c:pt>
                <c:pt idx="889">
                  <c:v>29.25070000000003</c:v>
                </c:pt>
                <c:pt idx="890">
                  <c:v>29.25080000000003</c:v>
                </c:pt>
                <c:pt idx="891">
                  <c:v>29.25090000000003</c:v>
                </c:pt>
                <c:pt idx="892">
                  <c:v>29.25100000000003</c:v>
                </c:pt>
                <c:pt idx="893">
                  <c:v>29.251100000000029</c:v>
                </c:pt>
                <c:pt idx="894">
                  <c:v>29.251200000000029</c:v>
                </c:pt>
                <c:pt idx="895">
                  <c:v>29.251300000000029</c:v>
                </c:pt>
                <c:pt idx="896">
                  <c:v>29.251400000000029</c:v>
                </c:pt>
                <c:pt idx="897">
                  <c:v>29.251500000000028</c:v>
                </c:pt>
                <c:pt idx="898">
                  <c:v>29.251600000000028</c:v>
                </c:pt>
                <c:pt idx="899">
                  <c:v>29.251700000000028</c:v>
                </c:pt>
                <c:pt idx="900">
                  <c:v>29.251800000000028</c:v>
                </c:pt>
                <c:pt idx="901">
                  <c:v>29.251900000000028</c:v>
                </c:pt>
                <c:pt idx="902">
                  <c:v>29.252000000000027</c:v>
                </c:pt>
                <c:pt idx="903">
                  <c:v>29.252100000000027</c:v>
                </c:pt>
                <c:pt idx="904">
                  <c:v>29.252200000000027</c:v>
                </c:pt>
                <c:pt idx="905">
                  <c:v>29.252300000000027</c:v>
                </c:pt>
                <c:pt idx="906">
                  <c:v>29.252400000000026</c:v>
                </c:pt>
                <c:pt idx="907">
                  <c:v>29.252500000000026</c:v>
                </c:pt>
                <c:pt idx="908">
                  <c:v>29.252600000000026</c:v>
                </c:pt>
                <c:pt idx="909">
                  <c:v>29.252700000000026</c:v>
                </c:pt>
                <c:pt idx="910">
                  <c:v>29.252800000000025</c:v>
                </c:pt>
                <c:pt idx="911">
                  <c:v>29.252900000000025</c:v>
                </c:pt>
                <c:pt idx="912">
                  <c:v>29.253000000000025</c:v>
                </c:pt>
                <c:pt idx="913">
                  <c:v>29.253100000000025</c:v>
                </c:pt>
                <c:pt idx="914">
                  <c:v>29.253200000000025</c:v>
                </c:pt>
                <c:pt idx="915">
                  <c:v>29.253300000000024</c:v>
                </c:pt>
                <c:pt idx="916">
                  <c:v>29.253400000000024</c:v>
                </c:pt>
                <c:pt idx="917">
                  <c:v>29.253500000000024</c:v>
                </c:pt>
                <c:pt idx="918">
                  <c:v>29.253600000000024</c:v>
                </c:pt>
                <c:pt idx="919">
                  <c:v>29.253700000000023</c:v>
                </c:pt>
                <c:pt idx="920">
                  <c:v>29.253800000000023</c:v>
                </c:pt>
                <c:pt idx="921">
                  <c:v>29.253900000000023</c:v>
                </c:pt>
                <c:pt idx="922">
                  <c:v>29.254000000000023</c:v>
                </c:pt>
                <c:pt idx="923">
                  <c:v>29.254100000000022</c:v>
                </c:pt>
                <c:pt idx="924">
                  <c:v>29.254200000000022</c:v>
                </c:pt>
                <c:pt idx="925">
                  <c:v>29.254300000000022</c:v>
                </c:pt>
                <c:pt idx="926">
                  <c:v>29.254400000000022</c:v>
                </c:pt>
                <c:pt idx="927">
                  <c:v>29.254500000000021</c:v>
                </c:pt>
                <c:pt idx="928">
                  <c:v>29.254600000000021</c:v>
                </c:pt>
                <c:pt idx="929">
                  <c:v>29.254700000000021</c:v>
                </c:pt>
                <c:pt idx="930">
                  <c:v>29.254800000000021</c:v>
                </c:pt>
                <c:pt idx="931">
                  <c:v>29.254900000000021</c:v>
                </c:pt>
                <c:pt idx="932">
                  <c:v>29.25500000000002</c:v>
                </c:pt>
                <c:pt idx="933">
                  <c:v>29.25510000000002</c:v>
                </c:pt>
                <c:pt idx="934">
                  <c:v>29.25520000000002</c:v>
                </c:pt>
                <c:pt idx="935">
                  <c:v>29.25530000000002</c:v>
                </c:pt>
                <c:pt idx="936">
                  <c:v>29.255400000000019</c:v>
                </c:pt>
                <c:pt idx="937">
                  <c:v>29.255500000000019</c:v>
                </c:pt>
                <c:pt idx="938">
                  <c:v>29.255600000000019</c:v>
                </c:pt>
                <c:pt idx="939">
                  <c:v>29.255700000000019</c:v>
                </c:pt>
                <c:pt idx="940">
                  <c:v>29.255800000000018</c:v>
                </c:pt>
                <c:pt idx="941">
                  <c:v>29.255900000000018</c:v>
                </c:pt>
                <c:pt idx="942">
                  <c:v>29.256000000000018</c:v>
                </c:pt>
                <c:pt idx="943">
                  <c:v>29.256100000000018</c:v>
                </c:pt>
                <c:pt idx="944">
                  <c:v>29.256200000000018</c:v>
                </c:pt>
                <c:pt idx="945">
                  <c:v>29.256300000000017</c:v>
                </c:pt>
                <c:pt idx="946">
                  <c:v>29.256400000000017</c:v>
                </c:pt>
                <c:pt idx="947">
                  <c:v>29.256500000000017</c:v>
                </c:pt>
                <c:pt idx="948">
                  <c:v>29.256600000000017</c:v>
                </c:pt>
                <c:pt idx="949">
                  <c:v>29.256700000000016</c:v>
                </c:pt>
                <c:pt idx="950">
                  <c:v>29.256800000000016</c:v>
                </c:pt>
                <c:pt idx="951">
                  <c:v>29.256900000000016</c:v>
                </c:pt>
                <c:pt idx="952">
                  <c:v>29.257000000000016</c:v>
                </c:pt>
                <c:pt idx="953">
                  <c:v>29.257100000000015</c:v>
                </c:pt>
                <c:pt idx="954">
                  <c:v>29.257200000000015</c:v>
                </c:pt>
                <c:pt idx="955">
                  <c:v>29.257300000000015</c:v>
                </c:pt>
                <c:pt idx="956">
                  <c:v>29.257400000000015</c:v>
                </c:pt>
                <c:pt idx="957">
                  <c:v>29.257500000000014</c:v>
                </c:pt>
                <c:pt idx="958">
                  <c:v>29.257600000000014</c:v>
                </c:pt>
                <c:pt idx="959">
                  <c:v>29.257700000000014</c:v>
                </c:pt>
                <c:pt idx="960">
                  <c:v>29.257800000000014</c:v>
                </c:pt>
                <c:pt idx="961">
                  <c:v>29.257900000000014</c:v>
                </c:pt>
                <c:pt idx="962">
                  <c:v>29.258000000000013</c:v>
                </c:pt>
                <c:pt idx="963">
                  <c:v>29.258100000000013</c:v>
                </c:pt>
                <c:pt idx="964">
                  <c:v>29.258200000000013</c:v>
                </c:pt>
                <c:pt idx="965">
                  <c:v>29.258300000000013</c:v>
                </c:pt>
                <c:pt idx="966">
                  <c:v>29.258400000000012</c:v>
                </c:pt>
                <c:pt idx="967">
                  <c:v>29.258500000000012</c:v>
                </c:pt>
                <c:pt idx="968">
                  <c:v>29.258600000000012</c:v>
                </c:pt>
                <c:pt idx="969">
                  <c:v>29.258700000000012</c:v>
                </c:pt>
                <c:pt idx="970">
                  <c:v>29.258800000000011</c:v>
                </c:pt>
                <c:pt idx="971">
                  <c:v>29.258900000000011</c:v>
                </c:pt>
                <c:pt idx="972">
                  <c:v>29.259000000000011</c:v>
                </c:pt>
                <c:pt idx="973">
                  <c:v>29.259100000000011</c:v>
                </c:pt>
                <c:pt idx="974">
                  <c:v>29.259200000000011</c:v>
                </c:pt>
                <c:pt idx="975">
                  <c:v>29.25930000000001</c:v>
                </c:pt>
                <c:pt idx="976">
                  <c:v>29.25940000000001</c:v>
                </c:pt>
                <c:pt idx="977">
                  <c:v>29.25950000000001</c:v>
                </c:pt>
                <c:pt idx="978">
                  <c:v>29.25960000000001</c:v>
                </c:pt>
                <c:pt idx="979">
                  <c:v>29.259700000000009</c:v>
                </c:pt>
                <c:pt idx="980">
                  <c:v>29.259800000000009</c:v>
                </c:pt>
                <c:pt idx="981">
                  <c:v>29.259900000000009</c:v>
                </c:pt>
                <c:pt idx="982">
                  <c:v>29.260000000000009</c:v>
                </c:pt>
                <c:pt idx="983">
                  <c:v>29.260100000000008</c:v>
                </c:pt>
                <c:pt idx="984">
                  <c:v>29.260200000000008</c:v>
                </c:pt>
                <c:pt idx="985">
                  <c:v>29.260300000000008</c:v>
                </c:pt>
                <c:pt idx="986">
                  <c:v>29.260400000000008</c:v>
                </c:pt>
                <c:pt idx="987">
                  <c:v>29.260500000000008</c:v>
                </c:pt>
                <c:pt idx="988">
                  <c:v>29.260600000000007</c:v>
                </c:pt>
                <c:pt idx="989">
                  <c:v>29.260700000000007</c:v>
                </c:pt>
                <c:pt idx="990">
                  <c:v>29.260800000000007</c:v>
                </c:pt>
                <c:pt idx="991">
                  <c:v>29.260900000000007</c:v>
                </c:pt>
                <c:pt idx="992">
                  <c:v>29.261000000000006</c:v>
                </c:pt>
                <c:pt idx="993">
                  <c:v>29.261100000000006</c:v>
                </c:pt>
                <c:pt idx="994">
                  <c:v>29.261200000000006</c:v>
                </c:pt>
                <c:pt idx="995">
                  <c:v>29.261300000000006</c:v>
                </c:pt>
                <c:pt idx="996">
                  <c:v>29.261400000000005</c:v>
                </c:pt>
                <c:pt idx="997">
                  <c:v>29.261500000000005</c:v>
                </c:pt>
                <c:pt idx="998">
                  <c:v>29.261600000000005</c:v>
                </c:pt>
                <c:pt idx="999">
                  <c:v>29.261700000000005</c:v>
                </c:pt>
                <c:pt idx="1000">
                  <c:v>29.261800000000004</c:v>
                </c:pt>
              </c:numCache>
            </c:numRef>
          </c:xVal>
          <c:yVal>
            <c:numRef>
              <c:f>Calculs!$J$4:$J$1004</c:f>
              <c:numCache>
                <c:formatCode>0.00</c:formatCode>
                <c:ptCount val="1001"/>
                <c:pt idx="0">
                  <c:v>133.2454606677656</c:v>
                </c:pt>
                <c:pt idx="1">
                  <c:v>133.63488779027901</c:v>
                </c:pt>
                <c:pt idx="2">
                  <c:v>134.02389265680583</c:v>
                </c:pt>
                <c:pt idx="3">
                  <c:v>134.41247650865378</c:v>
                </c:pt>
                <c:pt idx="4">
                  <c:v>134.80064058205795</c:v>
                </c:pt>
                <c:pt idx="5">
                  <c:v>135.18838610820919</c:v>
                </c:pt>
                <c:pt idx="6">
                  <c:v>135.57571431328245</c:v>
                </c:pt>
                <c:pt idx="7">
                  <c:v>135.96262641846482</c:v>
                </c:pt>
                <c:pt idx="8">
                  <c:v>136.34912363998336</c:v>
                </c:pt>
                <c:pt idx="9">
                  <c:v>136.73520718913286</c:v>
                </c:pt>
                <c:pt idx="10">
                  <c:v>137.12087827230323</c:v>
                </c:pt>
                <c:pt idx="11">
                  <c:v>137.50613808856488</c:v>
                </c:pt>
                <c:pt idx="12">
                  <c:v>137.89098782729437</c:v>
                </c:pt>
                <c:pt idx="13">
                  <c:v>138.27542867072691</c:v>
                </c:pt>
                <c:pt idx="14">
                  <c:v>138.65946179646735</c:v>
                </c:pt>
                <c:pt idx="15">
                  <c:v>139.04308837751483</c:v>
                </c:pt>
                <c:pt idx="16">
                  <c:v>139.4263095822873</c:v>
                </c:pt>
                <c:pt idx="17">
                  <c:v>139.80912657464586</c:v>
                </c:pt>
                <c:pt idx="18">
                  <c:v>140.19154051391891</c:v>
                </c:pt>
                <c:pt idx="19">
                  <c:v>140.57355255492621</c:v>
                </c:pt>
                <c:pt idx="20">
                  <c:v>140.95516384800271</c:v>
                </c:pt>
                <c:pt idx="21">
                  <c:v>141.33637554025162</c:v>
                </c:pt>
                <c:pt idx="22">
                  <c:v>141.71718877677776</c:v>
                </c:pt>
                <c:pt idx="23">
                  <c:v>142.09760469944089</c:v>
                </c:pt>
                <c:pt idx="24">
                  <c:v>142.47762444562909</c:v>
                </c:pt>
                <c:pt idx="25">
                  <c:v>142.85724914828273</c:v>
                </c:pt>
                <c:pt idx="26">
                  <c:v>143.23647993591828</c:v>
                </c:pt>
                <c:pt idx="27">
                  <c:v>143.61531793265198</c:v>
                </c:pt>
                <c:pt idx="28">
                  <c:v>143.99376425822331</c:v>
                </c:pt>
                <c:pt idx="29">
                  <c:v>144.37182002801836</c:v>
                </c:pt>
                <c:pt idx="30">
                  <c:v>144.74948635309306</c:v>
                </c:pt>
                <c:pt idx="31">
                  <c:v>145.1267643401961</c:v>
                </c:pt>
                <c:pt idx="32">
                  <c:v>145.50365509179193</c:v>
                </c:pt>
                <c:pt idx="33">
                  <c:v>145.88015970608339</c:v>
                </c:pt>
                <c:pt idx="34">
                  <c:v>146.25627927703439</c:v>
                </c:pt>
                <c:pt idx="35">
                  <c:v>146.63201489439228</c:v>
                </c:pt>
                <c:pt idx="36">
                  <c:v>147.00736764371015</c:v>
                </c:pt>
                <c:pt idx="37">
                  <c:v>147.38233860636893</c:v>
                </c:pt>
                <c:pt idx="38">
                  <c:v>147.75692885959941</c:v>
                </c:pt>
                <c:pt idx="39">
                  <c:v>148.13113947650407</c:v>
                </c:pt>
                <c:pt idx="40">
                  <c:v>148.50497152607883</c:v>
                </c:pt>
                <c:pt idx="41">
                  <c:v>148.87842607323452</c:v>
                </c:pt>
                <c:pt idx="42">
                  <c:v>149.25150417881835</c:v>
                </c:pt>
                <c:pt idx="43">
                  <c:v>149.6242068996352</c:v>
                </c:pt>
                <c:pt idx="44">
                  <c:v>149.99653528846872</c:v>
                </c:pt>
                <c:pt idx="45">
                  <c:v>150.36849039410234</c:v>
                </c:pt>
                <c:pt idx="46">
                  <c:v>150.74007326134014</c:v>
                </c:pt>
                <c:pt idx="47">
                  <c:v>151.11128493102757</c:v>
                </c:pt>
                <c:pt idx="48">
                  <c:v>151.48212644007202</c:v>
                </c:pt>
                <c:pt idx="49">
                  <c:v>151.85259882146332</c:v>
                </c:pt>
                <c:pt idx="50">
                  <c:v>152.22270310429406</c:v>
                </c:pt>
                <c:pt idx="51">
                  <c:v>152.59244031377975</c:v>
                </c:pt>
                <c:pt idx="52">
                  <c:v>152.96181147127891</c:v>
                </c:pt>
                <c:pt idx="53">
                  <c:v>153.33081759431298</c:v>
                </c:pt>
                <c:pt idx="54">
                  <c:v>153.69945969658613</c:v>
                </c:pt>
                <c:pt idx="55">
                  <c:v>154.06773878800496</c:v>
                </c:pt>
                <c:pt idx="56">
                  <c:v>154.43565587469806</c:v>
                </c:pt>
                <c:pt idx="57">
                  <c:v>154.80321195903534</c:v>
                </c:pt>
                <c:pt idx="58">
                  <c:v>155.17040803964744</c:v>
                </c:pt>
                <c:pt idx="59">
                  <c:v>155.53724511144486</c:v>
                </c:pt>
                <c:pt idx="60">
                  <c:v>155.90372416563702</c:v>
                </c:pt>
                <c:pt idx="61">
                  <c:v>156.26984618975115</c:v>
                </c:pt>
                <c:pt idx="62">
                  <c:v>156.6356121676512</c:v>
                </c:pt>
                <c:pt idx="63">
                  <c:v>157.00102307955643</c:v>
                </c:pt>
                <c:pt idx="64">
                  <c:v>157.36607990206002</c:v>
                </c:pt>
                <c:pt idx="65">
                  <c:v>157.73078360814753</c:v>
                </c:pt>
                <c:pt idx="66">
                  <c:v>158.09513516721523</c:v>
                </c:pt>
                <c:pt idx="67">
                  <c:v>158.45913554508829</c:v>
                </c:pt>
                <c:pt idx="68">
                  <c:v>158.82278570403895</c:v>
                </c:pt>
                <c:pt idx="69">
                  <c:v>159.18608660280447</c:v>
                </c:pt>
                <c:pt idx="70">
                  <c:v>159.54903919660498</c:v>
                </c:pt>
                <c:pt idx="71">
                  <c:v>159.91164443716127</c:v>
                </c:pt>
                <c:pt idx="72">
                  <c:v>160.27390327271249</c:v>
                </c:pt>
                <c:pt idx="73">
                  <c:v>160.6358166480336</c:v>
                </c:pt>
                <c:pt idx="74">
                  <c:v>160.99738550445284</c:v>
                </c:pt>
                <c:pt idx="75">
                  <c:v>161.35861077986908</c:v>
                </c:pt>
                <c:pt idx="76">
                  <c:v>161.71949340876898</c:v>
                </c:pt>
                <c:pt idx="77">
                  <c:v>162.08003432224413</c:v>
                </c:pt>
                <c:pt idx="78">
                  <c:v>162.44023444800803</c:v>
                </c:pt>
                <c:pt idx="79">
                  <c:v>162.80009471041296</c:v>
                </c:pt>
                <c:pt idx="80">
                  <c:v>163.15961603046685</c:v>
                </c:pt>
                <c:pt idx="81">
                  <c:v>163.51879932584984</c:v>
                </c:pt>
                <c:pt idx="82">
                  <c:v>163.87764551093096</c:v>
                </c:pt>
                <c:pt idx="83">
                  <c:v>164.23615549678456</c:v>
                </c:pt>
                <c:pt idx="84">
                  <c:v>164.59433019120664</c:v>
                </c:pt>
                <c:pt idx="85">
                  <c:v>164.95217049873122</c:v>
                </c:pt>
                <c:pt idx="86">
                  <c:v>165.30967732064639</c:v>
                </c:pt>
                <c:pt idx="87">
                  <c:v>165.66685155501051</c:v>
                </c:pt>
                <c:pt idx="88">
                  <c:v>166.02369409666807</c:v>
                </c:pt>
                <c:pt idx="89">
                  <c:v>166.38020583726561</c:v>
                </c:pt>
                <c:pt idx="90">
                  <c:v>166.73638766526747</c:v>
                </c:pt>
                <c:pt idx="91">
                  <c:v>167.09224046597151</c:v>
                </c:pt>
                <c:pt idx="92">
                  <c:v>167.4477651215247</c:v>
                </c:pt>
                <c:pt idx="93">
                  <c:v>167.80296251093847</c:v>
                </c:pt>
                <c:pt idx="94">
                  <c:v>168.1578335101043</c:v>
                </c:pt>
                <c:pt idx="95">
                  <c:v>168.51237899180882</c:v>
                </c:pt>
                <c:pt idx="96">
                  <c:v>168.8665998257492</c:v>
                </c:pt>
                <c:pt idx="97">
                  <c:v>169.22049687854812</c:v>
                </c:pt>
                <c:pt idx="98">
                  <c:v>169.57407101376879</c:v>
                </c:pt>
                <c:pt idx="99">
                  <c:v>169.92732309192999</c:v>
                </c:pt>
                <c:pt idx="100">
                  <c:v>170.28025397052082</c:v>
                </c:pt>
                <c:pt idx="101">
                  <c:v>173.7919629679696</c:v>
                </c:pt>
                <c:pt idx="102">
                  <c:v>177.27210232281712</c:v>
                </c:pt>
                <c:pt idx="103">
                  <c:v>180.72150189982614</c:v>
                </c:pt>
                <c:pt idx="104">
                  <c:v>184.14096310919157</c:v>
                </c:pt>
                <c:pt idx="105">
                  <c:v>187.53126024600513</c:v>
                </c:pt>
                <c:pt idx="106">
                  <c:v>190.89314175178242</c:v>
                </c:pt>
                <c:pt idx="107">
                  <c:v>194.22733140345008</c:v>
                </c:pt>
                <c:pt idx="108">
                  <c:v>197.53452943475585</c:v>
                </c:pt>
                <c:pt idx="109">
                  <c:v>200.81541359467116</c:v>
                </c:pt>
                <c:pt idx="110">
                  <c:v>204.07064014699577</c:v>
                </c:pt>
                <c:pt idx="111">
                  <c:v>207.30084481504798</c:v>
                </c:pt>
                <c:pt idx="112">
                  <c:v>210.50664367502475</c:v>
                </c:pt>
                <c:pt idx="113">
                  <c:v>213.68863400134416</c:v>
                </c:pt>
                <c:pt idx="114">
                  <c:v>216.84739506703283</c:v>
                </c:pt>
                <c:pt idx="115">
                  <c:v>219.98348890199364</c:v>
                </c:pt>
                <c:pt idx="116">
                  <c:v>223.09746101177933</c:v>
                </c:pt>
                <c:pt idx="117">
                  <c:v>226.18984105930673</c:v>
                </c:pt>
                <c:pt idx="118">
                  <c:v>229.26114351176994</c:v>
                </c:pt>
                <c:pt idx="119">
                  <c:v>232.31186825484906</c:v>
                </c:pt>
                <c:pt idx="120">
                  <c:v>235.34250117616284</c:v>
                </c:pt>
                <c:pt idx="121">
                  <c:v>238.35351471977603</c:v>
                </c:pt>
                <c:pt idx="122">
                  <c:v>241.34536841344644</c:v>
                </c:pt>
                <c:pt idx="123">
                  <c:v>244.31850937017992</c:v>
                </c:pt>
                <c:pt idx="124">
                  <c:v>247.27337276555423</c:v>
                </c:pt>
                <c:pt idx="125">
                  <c:v>250.21038229217274</c:v>
                </c:pt>
                <c:pt idx="126">
                  <c:v>253.12995059251756</c:v>
                </c:pt>
                <c:pt idx="127">
                  <c:v>256.03247967138572</c:v>
                </c:pt>
                <c:pt idx="128">
                  <c:v>258.91836128901366</c:v>
                </c:pt>
                <c:pt idx="129">
                  <c:v>261.78797733592091</c:v>
                </c:pt>
                <c:pt idx="130">
                  <c:v>264.64170019043667</c:v>
                </c:pt>
                <c:pt idx="131">
                  <c:v>267.47989305980843</c:v>
                </c:pt>
                <c:pt idx="132">
                  <c:v>270.30291030573358</c:v>
                </c:pt>
                <c:pt idx="133">
                  <c:v>273.11109775509897</c:v>
                </c:pt>
                <c:pt idx="134">
                  <c:v>275.90479299666197</c:v>
                </c:pt>
                <c:pt idx="135">
                  <c:v>278.68432566435894</c:v>
                </c:pt>
                <c:pt idx="136">
                  <c:v>281.45001770788059</c:v>
                </c:pt>
                <c:pt idx="137">
                  <c:v>284.2021836511127</c:v>
                </c:pt>
                <c:pt idx="138">
                  <c:v>286.94113083899947</c:v>
                </c:pt>
                <c:pt idx="139">
                  <c:v>289.66715967334989</c:v>
                </c:pt>
                <c:pt idx="140">
                  <c:v>292.38056383807208</c:v>
                </c:pt>
                <c:pt idx="141">
                  <c:v>295.0816305142863</c:v>
                </c:pt>
                <c:pt idx="142">
                  <c:v>297.77064058573609</c:v>
                </c:pt>
                <c:pt idx="143">
                  <c:v>300.44786883488626</c:v>
                </c:pt>
                <c:pt idx="144">
                  <c:v>303.11358413006786</c:v>
                </c:pt>
                <c:pt idx="145">
                  <c:v>305.76804960400199</c:v>
                </c:pt>
                <c:pt idx="146">
                  <c:v>308.41152282400839</c:v>
                </c:pt>
                <c:pt idx="147">
                  <c:v>311.04425595417842</c:v>
                </c:pt>
                <c:pt idx="148">
                  <c:v>313.66649590976749</c:v>
                </c:pt>
                <c:pt idx="149">
                  <c:v>316.27848450403809</c:v>
                </c:pt>
                <c:pt idx="150">
                  <c:v>318.88045858776013</c:v>
                </c:pt>
                <c:pt idx="151">
                  <c:v>321.47265018155355</c:v>
                </c:pt>
                <c:pt idx="152">
                  <c:v>324.05528660123349</c:v>
                </c:pt>
                <c:pt idx="153">
                  <c:v>326.62859057629782</c:v>
                </c:pt>
                <c:pt idx="154">
                  <c:v>329.19278036167265</c:v>
                </c:pt>
                <c:pt idx="155">
                  <c:v>331.74806984280968</c:v>
                </c:pt>
                <c:pt idx="156">
                  <c:v>334.29466863420748</c:v>
                </c:pt>
                <c:pt idx="157">
                  <c:v>336.83278217140463</c:v>
                </c:pt>
                <c:pt idx="158">
                  <c:v>339.3626117964709</c:v>
                </c:pt>
                <c:pt idx="159">
                  <c:v>341.88435483699936</c:v>
                </c:pt>
                <c:pt idx="160">
                  <c:v>344.39820467857783</c:v>
                </c:pt>
                <c:pt idx="161">
                  <c:v>346.90435083069565</c:v>
                </c:pt>
                <c:pt idx="162">
                  <c:v>349.40297898601591</c:v>
                </c:pt>
                <c:pt idx="163">
                  <c:v>351.89427107291954</c:v>
                </c:pt>
                <c:pt idx="164">
                  <c:v>354.37840530120189</c:v>
                </c:pt>
                <c:pt idx="165">
                  <c:v>356.85555620077827</c:v>
                </c:pt>
                <c:pt idx="166">
                  <c:v>359.32589465322803</c:v>
                </c:pt>
                <c:pt idx="167">
                  <c:v>361.78958791598336</c:v>
                </c:pt>
                <c:pt idx="168">
                  <c:v>364.24679963894334</c:v>
                </c:pt>
                <c:pt idx="169">
                  <c:v>366.69768987327132</c:v>
                </c:pt>
                <c:pt idx="170">
                  <c:v>369.14241507211102</c:v>
                </c:pt>
                <c:pt idx="171">
                  <c:v>371.58112808293902</c:v>
                </c:pt>
                <c:pt idx="172">
                  <c:v>374.01397813125413</c:v>
                </c:pt>
                <c:pt idx="173">
                  <c:v>376.44111079529506</c:v>
                </c:pt>
                <c:pt idx="174">
                  <c:v>378.86266797147238</c:v>
                </c:pt>
                <c:pt idx="175">
                  <c:v>381.27878783020532</c:v>
                </c:pt>
                <c:pt idx="176">
                  <c:v>383.68960476186857</c:v>
                </c:pt>
                <c:pt idx="177">
                  <c:v>386.09524931258227</c:v>
                </c:pt>
                <c:pt idx="178">
                  <c:v>388.49584810962273</c:v>
                </c:pt>
                <c:pt idx="179">
                  <c:v>390.89152377629483</c:v>
                </c:pt>
                <c:pt idx="180">
                  <c:v>393.28239483619603</c:v>
                </c:pt>
                <c:pt idx="181">
                  <c:v>395.66857560691454</c:v>
                </c:pt>
                <c:pt idx="182">
                  <c:v>398.05017608335271</c:v>
                </c:pt>
                <c:pt idx="183">
                  <c:v>400.4273018110456</c:v>
                </c:pt>
                <c:pt idx="184">
                  <c:v>402.80005375006471</c:v>
                </c:pt>
                <c:pt idx="185">
                  <c:v>405.16852813035365</c:v>
                </c:pt>
                <c:pt idx="186">
                  <c:v>407.53281629963976</c:v>
                </c:pt>
                <c:pt idx="187">
                  <c:v>409.89300456539809</c:v>
                </c:pt>
                <c:pt idx="188">
                  <c:v>412.24917403270672</c:v>
                </c:pt>
                <c:pt idx="189">
                  <c:v>414.60140044021381</c:v>
                </c:pt>
                <c:pt idx="190">
                  <c:v>416.94975399682141</c:v>
                </c:pt>
                <c:pt idx="191">
                  <c:v>419.29429922206168</c:v>
                </c:pt>
                <c:pt idx="192">
                  <c:v>421.635094793468</c:v>
                </c:pt>
                <c:pt idx="193">
                  <c:v>423.97219340450545</c:v>
                </c:pt>
                <c:pt idx="194">
                  <c:v>426.30564163678531</c:v>
                </c:pt>
                <c:pt idx="195">
                  <c:v>428.63547985032631</c:v>
                </c:pt>
                <c:pt idx="196">
                  <c:v>430.96174209551026</c:v>
                </c:pt>
                <c:pt idx="197">
                  <c:v>433.28445605010262</c:v>
                </c:pt>
                <c:pt idx="198">
                  <c:v>435.60364298426077</c:v>
                </c:pt>
                <c:pt idx="199">
                  <c:v>437.91931775584828</c:v>
                </c:pt>
                <c:pt idx="200">
                  <c:v>440.23148883763326</c:v>
                </c:pt>
                <c:pt idx="201">
                  <c:v>442.54015837711489</c:v>
                </c:pt>
                <c:pt idx="202">
                  <c:v>444.8453222888387</c:v>
                </c:pt>
                <c:pt idx="203">
                  <c:v>447.14697037818519</c:v>
                </c:pt>
                <c:pt idx="204">
                  <c:v>449.44508649479928</c:v>
                </c:pt>
                <c:pt idx="205">
                  <c:v>451.73964871311625</c:v>
                </c:pt>
                <c:pt idx="206">
                  <c:v>454.03062953687032</c:v>
                </c:pt>
                <c:pt idx="207">
                  <c:v>456.31799612406883</c:v>
                </c:pt>
                <c:pt idx="208">
                  <c:v>458.60171052867997</c:v>
                </c:pt>
                <c:pt idx="209">
                  <c:v>460.88172995521671</c:v>
                </c:pt>
                <c:pt idx="210">
                  <c:v>463.1580070224781</c:v>
                </c:pt>
                <c:pt idx="211">
                  <c:v>465.43049003291401</c:v>
                </c:pt>
                <c:pt idx="212">
                  <c:v>467.69912324437416</c:v>
                </c:pt>
                <c:pt idx="213">
                  <c:v>469.96384714136184</c:v>
                </c:pt>
                <c:pt idx="214">
                  <c:v>472.22459870330624</c:v>
                </c:pt>
                <c:pt idx="215">
                  <c:v>474.48131166777108</c:v>
                </c:pt>
                <c:pt idx="216">
                  <c:v>476.73391678691206</c:v>
                </c:pt>
                <c:pt idx="217">
                  <c:v>478.98234207586557</c:v>
                </c:pt>
                <c:pt idx="218">
                  <c:v>481.22651305208831</c:v>
                </c:pt>
                <c:pt idx="219">
                  <c:v>483.46635296496544</c:v>
                </c:pt>
                <c:pt idx="220">
                  <c:v>485.70178301526028</c:v>
                </c:pt>
                <c:pt idx="221">
                  <c:v>487.93272256419482</c:v>
                </c:pt>
                <c:pt idx="222">
                  <c:v>490.15908933212552</c:v>
                </c:pt>
                <c:pt idx="223">
                  <c:v>492.38079958692111</c:v>
                </c:pt>
                <c:pt idx="224">
                  <c:v>494.59776832225776</c:v>
                </c:pt>
                <c:pt idx="225">
                  <c:v>496.80990942612959</c:v>
                </c:pt>
                <c:pt idx="226">
                  <c:v>499.01713583993228</c:v>
                </c:pt>
                <c:pt idx="227">
                  <c:v>501.21935970851655</c:v>
                </c:pt>
                <c:pt idx="228">
                  <c:v>503.41649252163381</c:v>
                </c:pt>
                <c:pt idx="229">
                  <c:v>505.60844524720812</c:v>
                </c:pt>
                <c:pt idx="230">
                  <c:v>507.79512845686969</c:v>
                </c:pt>
                <c:pt idx="231">
                  <c:v>509.97645244418197</c:v>
                </c:pt>
                <c:pt idx="232">
                  <c:v>512.15232733598145</c:v>
                </c:pt>
                <c:pt idx="233">
                  <c:v>514.3226631972351</c:v>
                </c:pt>
                <c:pt idx="234">
                  <c:v>516.48737012980405</c:v>
                </c:pt>
                <c:pt idx="235">
                  <c:v>518.6463583654795</c:v>
                </c:pt>
                <c:pt idx="236">
                  <c:v>520.79953835364029</c:v>
                </c:pt>
                <c:pt idx="237">
                  <c:v>522.94682084385784</c:v>
                </c:pt>
                <c:pt idx="238">
                  <c:v>525.08811696375426</c:v>
                </c:pt>
                <c:pt idx="239">
                  <c:v>527.22333829240097</c:v>
                </c:pt>
                <c:pt idx="240">
                  <c:v>529.35239692952189</c:v>
                </c:pt>
                <c:pt idx="241">
                  <c:v>531.47520556075131</c:v>
                </c:pt>
                <c:pt idx="242">
                  <c:v>533.59167751917403</c:v>
                </c:pt>
                <c:pt idx="243">
                  <c:v>535.70172684336274</c:v>
                </c:pt>
                <c:pt idx="244">
                  <c:v>537.80526833210888</c:v>
                </c:pt>
                <c:pt idx="245">
                  <c:v>539.90221759603116</c:v>
                </c:pt>
                <c:pt idx="246">
                  <c:v>541.99249110622952</c:v>
                </c:pt>
                <c:pt idx="247">
                  <c:v>544.07600624014287</c:v>
                </c:pt>
                <c:pt idx="248">
                  <c:v>546.15268132475501</c:v>
                </c:pt>
                <c:pt idx="249">
                  <c:v>548.22243567728333</c:v>
                </c:pt>
                <c:pt idx="250">
                  <c:v>550.28518964347529</c:v>
                </c:pt>
                <c:pt idx="251">
                  <c:v>552.34086463362758</c:v>
                </c:pt>
                <c:pt idx="252">
                  <c:v>554.38938315643645</c:v>
                </c:pt>
                <c:pt idx="253">
                  <c:v>556.43066885077781</c:v>
                </c:pt>
                <c:pt idx="254">
                  <c:v>558.46464651551082</c:v>
                </c:pt>
                <c:pt idx="255">
                  <c:v>560.49124213739105</c:v>
                </c:pt>
                <c:pt idx="256">
                  <c:v>562.51038291717384</c:v>
                </c:pt>
                <c:pt idx="257">
                  <c:v>564.52199729398319</c:v>
                </c:pt>
                <c:pt idx="258">
                  <c:v>566.52601496801731</c:v>
                </c:pt>
                <c:pt idx="259">
                  <c:v>568.5223669216565</c:v>
                </c:pt>
                <c:pt idx="260">
                  <c:v>570.51098543903504</c:v>
                </c:pt>
                <c:pt idx="261">
                  <c:v>572.49180412413648</c:v>
                </c:pt>
                <c:pt idx="262">
                  <c:v>574.46475791746695</c:v>
                </c:pt>
                <c:pt idx="263">
                  <c:v>576.42978311135801</c:v>
                </c:pt>
                <c:pt idx="264">
                  <c:v>578.3868173639496</c:v>
                </c:pt>
                <c:pt idx="265">
                  <c:v>580.33579971189806</c:v>
                </c:pt>
                <c:pt idx="266">
                  <c:v>582.27667058185534</c:v>
                </c:pt>
                <c:pt idx="267">
                  <c:v>584.20937180075987</c:v>
                </c:pt>
                <c:pt idx="268">
                  <c:v>586.13384660498139</c:v>
                </c:pt>
                <c:pt idx="269">
                  <c:v>588.05003964835635</c:v>
                </c:pt>
                <c:pt idx="270">
                  <c:v>589.95789700915179</c:v>
                </c:pt>
                <c:pt idx="271">
                  <c:v>591.85736619599345</c:v>
                </c:pt>
                <c:pt idx="272">
                  <c:v>593.74839615279086</c:v>
                </c:pt>
                <c:pt idx="273">
                  <c:v>595.63093726269358</c:v>
                </c:pt>
                <c:pt idx="274">
                  <c:v>597.50494135110944</c:v>
                </c:pt>
                <c:pt idx="275">
                  <c:v>599.3703616878156</c:v>
                </c:pt>
                <c:pt idx="276">
                  <c:v>601.22715298819185</c:v>
                </c:pt>
                <c:pt idx="277">
                  <c:v>603.07527141360504</c:v>
                </c:pt>
                <c:pt idx="278">
                  <c:v>604.91467457097247</c:v>
                </c:pt>
                <c:pt idx="279">
                  <c:v>606.74532151153119</c:v>
                </c:pt>
                <c:pt idx="280">
                  <c:v>608.56717272883941</c:v>
                </c:pt>
                <c:pt idx="281">
                  <c:v>610.38019015603641</c:v>
                </c:pt>
                <c:pt idx="282">
                  <c:v>612.18433716238496</c:v>
                </c:pt>
                <c:pt idx="283">
                  <c:v>613.97957854912113</c:v>
                </c:pt>
                <c:pt idx="284">
                  <c:v>615.76588054463593</c:v>
                </c:pt>
                <c:pt idx="285">
                  <c:v>617.54321079901104</c:v>
                </c:pt>
                <c:pt idx="286">
                  <c:v>619.31153837793249</c:v>
                </c:pt>
                <c:pt idx="287">
                  <c:v>621.07083375600394</c:v>
                </c:pt>
                <c:pt idx="288">
                  <c:v>622.82106880948152</c:v>
                </c:pt>
                <c:pt idx="289">
                  <c:v>624.5622168084526</c:v>
                </c:pt>
                <c:pt idx="290">
                  <c:v>626.29425240847809</c:v>
                </c:pt>
                <c:pt idx="291">
                  <c:v>628.01715164172026</c:v>
                </c:pt>
                <c:pt idx="292">
                  <c:v>629.73089190757514</c:v>
                </c:pt>
                <c:pt idx="293">
                  <c:v>631.43545196283083</c:v>
                </c:pt>
                <c:pt idx="294">
                  <c:v>633.13081191136951</c:v>
                </c:pt>
                <c:pt idx="295">
                  <c:v>634.81695319343396</c:v>
                </c:pt>
                <c:pt idx="296">
                  <c:v>636.49385857447578</c:v>
                </c:pt>
                <c:pt idx="297">
                  <c:v>638.16151213360524</c:v>
                </c:pt>
                <c:pt idx="298">
                  <c:v>639.81989925165988</c:v>
                </c:pt>
                <c:pt idx="299">
                  <c:v>641.46900659890991</c:v>
                </c:pt>
                <c:pt idx="300">
                  <c:v>643.10882212241802</c:v>
                </c:pt>
                <c:pt idx="301">
                  <c:v>644.73933503307012</c:v>
                </c:pt>
                <c:pt idx="302">
                  <c:v>646.36053579229497</c:v>
                </c:pt>
                <c:pt idx="303">
                  <c:v>647.97241609848743</c:v>
                </c:pt>
                <c:pt idx="304">
                  <c:v>649.57496887315313</c:v>
                </c:pt>
                <c:pt idx="305">
                  <c:v>651.16818824678944</c:v>
                </c:pt>
                <c:pt idx="306">
                  <c:v>652.75206954451824</c:v>
                </c:pt>
                <c:pt idx="307">
                  <c:v>654.32660927148606</c:v>
                </c:pt>
                <c:pt idx="308">
                  <c:v>655.89180509804623</c:v>
                </c:pt>
                <c:pt idx="309">
                  <c:v>657.44765584473794</c:v>
                </c:pt>
                <c:pt idx="310">
                  <c:v>658.99416146707529</c:v>
                </c:pt>
                <c:pt idx="311">
                  <c:v>660.53132304016174</c:v>
                </c:pt>
                <c:pt idx="312">
                  <c:v>662.05914274314296</c:v>
                </c:pt>
                <c:pt idx="313">
                  <c:v>663.57762384351099</c:v>
                </c:pt>
                <c:pt idx="314">
                  <c:v>665.08677068127304</c:v>
                </c:pt>
                <c:pt idx="315">
                  <c:v>666.58658865299788</c:v>
                </c:pt>
                <c:pt idx="316">
                  <c:v>668.0770841957517</c:v>
                </c:pt>
                <c:pt idx="317">
                  <c:v>669.55826477093592</c:v>
                </c:pt>
                <c:pt idx="318">
                  <c:v>671.03013884803829</c:v>
                </c:pt>
                <c:pt idx="319">
                  <c:v>672.49271588830936</c:v>
                </c:pt>
                <c:pt idx="320">
                  <c:v>673.94600632837444</c:v>
                </c:pt>
                <c:pt idx="321">
                  <c:v>675.39002156379343</c:v>
                </c:pt>
                <c:pt idx="322">
                  <c:v>676.8247739325775</c:v>
                </c:pt>
                <c:pt idx="323">
                  <c:v>678.25027669867404</c:v>
                </c:pt>
                <c:pt idx="324">
                  <c:v>679.66654403542896</c:v>
                </c:pt>
                <c:pt idx="325">
                  <c:v>681.07359100903705</c:v>
                </c:pt>
                <c:pt idx="326">
                  <c:v>682.47143356198876</c:v>
                </c:pt>
                <c:pt idx="327">
                  <c:v>683.86008849652308</c:v>
                </c:pt>
                <c:pt idx="328">
                  <c:v>685.23957345809504</c:v>
                </c:pt>
                <c:pt idx="329">
                  <c:v>686.60990691886695</c:v>
                </c:pt>
                <c:pt idx="330">
                  <c:v>687.97110816123075</c:v>
                </c:pt>
                <c:pt idx="331">
                  <c:v>689.32319726136973</c:v>
                </c:pt>
                <c:pt idx="332">
                  <c:v>690.66619507286805</c:v>
                </c:pt>
                <c:pt idx="333">
                  <c:v>692.00012321037445</c:v>
                </c:pt>
                <c:pt idx="334">
                  <c:v>693.3250040333279</c:v>
                </c:pt>
                <c:pt idx="335">
                  <c:v>694.64086062975196</c:v>
                </c:pt>
                <c:pt idx="336">
                  <c:v>695.94771680012423</c:v>
                </c:pt>
                <c:pt idx="337">
                  <c:v>697.24559704132776</c:v>
                </c:pt>
                <c:pt idx="338">
                  <c:v>698.5345265306903</c:v>
                </c:pt>
                <c:pt idx="339">
                  <c:v>699.81453111011706</c:v>
                </c:pt>
                <c:pt idx="340">
                  <c:v>701.08563727032254</c:v>
                </c:pt>
                <c:pt idx="341">
                  <c:v>702.34787213516756</c:v>
                </c:pt>
                <c:pt idx="342">
                  <c:v>703.60126344610615</c:v>
                </c:pt>
                <c:pt idx="343">
                  <c:v>704.84583954674633</c:v>
                </c:pt>
                <c:pt idx="344">
                  <c:v>706.08162936753138</c:v>
                </c:pt>
                <c:pt idx="345">
                  <c:v>707.30866241054434</c:v>
                </c:pt>
                <c:pt idx="346">
                  <c:v>708.52696873444097</c:v>
                </c:pt>
                <c:pt idx="347">
                  <c:v>709.73657893951429</c:v>
                </c:pt>
                <c:pt idx="348">
                  <c:v>710.93752415289578</c:v>
                </c:pt>
                <c:pt idx="349">
                  <c:v>712.12983601389578</c:v>
                </c:pt>
                <c:pt idx="350">
                  <c:v>713.31354665948641</c:v>
                </c:pt>
                <c:pt idx="351">
                  <c:v>714.48868870993147</c:v>
                </c:pt>
                <c:pt idx="352">
                  <c:v>715.65529525456475</c:v>
                </c:pt>
                <c:pt idx="353">
                  <c:v>716.81339983772034</c:v>
                </c:pt>
                <c:pt idx="354">
                  <c:v>717.96303644481804</c:v>
                </c:pt>
                <c:pt idx="355">
                  <c:v>719.10423948860489</c:v>
                </c:pt>
                <c:pt idx="356">
                  <c:v>720.23704379555659</c:v>
                </c:pt>
                <c:pt idx="357">
                  <c:v>721.36148459244043</c:v>
                </c:pt>
                <c:pt idx="358">
                  <c:v>722.47759749304055</c:v>
                </c:pt>
                <c:pt idx="359">
                  <c:v>723.58541848504933</c:v>
                </c:pt>
                <c:pt idx="360">
                  <c:v>724.68498391712455</c:v>
                </c:pt>
                <c:pt idx="361">
                  <c:v>725.77633048611517</c:v>
                </c:pt>
                <c:pt idx="362">
                  <c:v>726.8594952244564</c:v>
                </c:pt>
                <c:pt idx="363">
                  <c:v>727.93451548773498</c:v>
                </c:pt>
                <c:pt idx="364">
                  <c:v>729.00142894242629</c:v>
                </c:pt>
                <c:pt idx="365">
                  <c:v>730.060273553804</c:v>
                </c:pt>
                <c:pt idx="366">
                  <c:v>731.11108757402235</c:v>
                </c:pt>
                <c:pt idx="367">
                  <c:v>732.15390953037308</c:v>
                </c:pt>
                <c:pt idx="368">
                  <c:v>733.18877821371552</c:v>
                </c:pt>
                <c:pt idx="369">
                  <c:v>734.21573266708231</c:v>
                </c:pt>
                <c:pt idx="370">
                  <c:v>735.23481217445942</c:v>
                </c:pt>
                <c:pt idx="371">
                  <c:v>736.24605624974117</c:v>
                </c:pt>
                <c:pt idx="372">
                  <c:v>737.24950462586071</c:v>
                </c:pt>
                <c:pt idx="373">
                  <c:v>738.24519724409538</c:v>
                </c:pt>
                <c:pt idx="374">
                  <c:v>739.23317424354639</c:v>
                </c:pt>
                <c:pt idx="375">
                  <c:v>740.21347595079374</c:v>
                </c:pt>
                <c:pt idx="376">
                  <c:v>741.18614286972479</c:v>
                </c:pt>
                <c:pt idx="377">
                  <c:v>742.15121567153699</c:v>
                </c:pt>
                <c:pt idx="378">
                  <c:v>743.10873518491326</c:v>
                </c:pt>
                <c:pt idx="379">
                  <c:v>744.0587423863708</c:v>
                </c:pt>
                <c:pt idx="380">
                  <c:v>745.00127839078061</c:v>
                </c:pt>
                <c:pt idx="381">
                  <c:v>745.93638444205942</c:v>
                </c:pt>
                <c:pt idx="382">
                  <c:v>746.86410190403069</c:v>
                </c:pt>
                <c:pt idx="383">
                  <c:v>746.86410190403069</c:v>
                </c:pt>
                <c:pt idx="384">
                  <c:v>746.86410190403069</c:v>
                </c:pt>
                <c:pt idx="385">
                  <c:v>746.86410190403069</c:v>
                </c:pt>
                <c:pt idx="386">
                  <c:v>746.86410190403069</c:v>
                </c:pt>
                <c:pt idx="387">
                  <c:v>746.86410190403069</c:v>
                </c:pt>
                <c:pt idx="388">
                  <c:v>746.86410190403069</c:v>
                </c:pt>
                <c:pt idx="389">
                  <c:v>746.86410190403069</c:v>
                </c:pt>
                <c:pt idx="390">
                  <c:v>746.86410190403069</c:v>
                </c:pt>
                <c:pt idx="391">
                  <c:v>746.86410190403069</c:v>
                </c:pt>
                <c:pt idx="392">
                  <c:v>746.86410190403069</c:v>
                </c:pt>
                <c:pt idx="393">
                  <c:v>746.86410190403069</c:v>
                </c:pt>
                <c:pt idx="394">
                  <c:v>746.86410190403069</c:v>
                </c:pt>
                <c:pt idx="395">
                  <c:v>746.86410190403069</c:v>
                </c:pt>
                <c:pt idx="396">
                  <c:v>746.86410190403069</c:v>
                </c:pt>
                <c:pt idx="397">
                  <c:v>746.86410190403069</c:v>
                </c:pt>
                <c:pt idx="398">
                  <c:v>746.86410190403069</c:v>
                </c:pt>
                <c:pt idx="399">
                  <c:v>746.86410190403069</c:v>
                </c:pt>
                <c:pt idx="400">
                  <c:v>746.86410190403069</c:v>
                </c:pt>
                <c:pt idx="401">
                  <c:v>746.86410190403069</c:v>
                </c:pt>
                <c:pt idx="402">
                  <c:v>746.86410190403069</c:v>
                </c:pt>
                <c:pt idx="403">
                  <c:v>746.86410190403069</c:v>
                </c:pt>
                <c:pt idx="404">
                  <c:v>746.86410190403069</c:v>
                </c:pt>
                <c:pt idx="405">
                  <c:v>746.86410190403069</c:v>
                </c:pt>
                <c:pt idx="406">
                  <c:v>746.86410190403069</c:v>
                </c:pt>
                <c:pt idx="407">
                  <c:v>746.86410190403069</c:v>
                </c:pt>
                <c:pt idx="408">
                  <c:v>746.86410190403069</c:v>
                </c:pt>
                <c:pt idx="409">
                  <c:v>746.86410190403069</c:v>
                </c:pt>
                <c:pt idx="410">
                  <c:v>746.86410190403069</c:v>
                </c:pt>
                <c:pt idx="411">
                  <c:v>746.86410190403069</c:v>
                </c:pt>
                <c:pt idx="412">
                  <c:v>746.86410190403069</c:v>
                </c:pt>
                <c:pt idx="413">
                  <c:v>746.86410190403069</c:v>
                </c:pt>
                <c:pt idx="414">
                  <c:v>746.86410190403069</c:v>
                </c:pt>
                <c:pt idx="415">
                  <c:v>746.86410190403069</c:v>
                </c:pt>
                <c:pt idx="416">
                  <c:v>746.86410190403069</c:v>
                </c:pt>
                <c:pt idx="417">
                  <c:v>746.86410190403069</c:v>
                </c:pt>
                <c:pt idx="418">
                  <c:v>746.86410190403069</c:v>
                </c:pt>
                <c:pt idx="419">
                  <c:v>746.86410190403069</c:v>
                </c:pt>
                <c:pt idx="420">
                  <c:v>746.86410190403069</c:v>
                </c:pt>
                <c:pt idx="421">
                  <c:v>746.86410190403069</c:v>
                </c:pt>
                <c:pt idx="422">
                  <c:v>746.86410190403069</c:v>
                </c:pt>
                <c:pt idx="423">
                  <c:v>746.86410190403069</c:v>
                </c:pt>
                <c:pt idx="424">
                  <c:v>746.86410190403069</c:v>
                </c:pt>
                <c:pt idx="425">
                  <c:v>746.86410190403069</c:v>
                </c:pt>
                <c:pt idx="426">
                  <c:v>746.86410190403069</c:v>
                </c:pt>
                <c:pt idx="427">
                  <c:v>746.86410190403069</c:v>
                </c:pt>
                <c:pt idx="428">
                  <c:v>746.86410190403069</c:v>
                </c:pt>
                <c:pt idx="429">
                  <c:v>746.86410190403069</c:v>
                </c:pt>
                <c:pt idx="430">
                  <c:v>746.86410190403069</c:v>
                </c:pt>
                <c:pt idx="431">
                  <c:v>746.86410190403069</c:v>
                </c:pt>
                <c:pt idx="432">
                  <c:v>746.86410190403069</c:v>
                </c:pt>
                <c:pt idx="433">
                  <c:v>746.86410190403069</c:v>
                </c:pt>
                <c:pt idx="434">
                  <c:v>746.86410190403069</c:v>
                </c:pt>
                <c:pt idx="435">
                  <c:v>746.86410190403069</c:v>
                </c:pt>
                <c:pt idx="436">
                  <c:v>746.86410190403069</c:v>
                </c:pt>
                <c:pt idx="437">
                  <c:v>746.86410190403069</c:v>
                </c:pt>
                <c:pt idx="438">
                  <c:v>746.86410190403069</c:v>
                </c:pt>
                <c:pt idx="439">
                  <c:v>746.86410190403069</c:v>
                </c:pt>
                <c:pt idx="440">
                  <c:v>746.86410190403069</c:v>
                </c:pt>
                <c:pt idx="441">
                  <c:v>746.86410190403069</c:v>
                </c:pt>
                <c:pt idx="442">
                  <c:v>746.86410190403069</c:v>
                </c:pt>
                <c:pt idx="443">
                  <c:v>746.86410190403069</c:v>
                </c:pt>
                <c:pt idx="444">
                  <c:v>746.86410190403069</c:v>
                </c:pt>
                <c:pt idx="445">
                  <c:v>746.86410190403069</c:v>
                </c:pt>
                <c:pt idx="446">
                  <c:v>746.86410190403069</c:v>
                </c:pt>
                <c:pt idx="447">
                  <c:v>746.86410190403069</c:v>
                </c:pt>
                <c:pt idx="448">
                  <c:v>746.86410190403069</c:v>
                </c:pt>
                <c:pt idx="449">
                  <c:v>746.86410190403069</c:v>
                </c:pt>
                <c:pt idx="450">
                  <c:v>746.86410190403069</c:v>
                </c:pt>
                <c:pt idx="451">
                  <c:v>746.86410190403069</c:v>
                </c:pt>
                <c:pt idx="452">
                  <c:v>746.86410190403069</c:v>
                </c:pt>
                <c:pt idx="453">
                  <c:v>746.86410190403069</c:v>
                </c:pt>
                <c:pt idx="454">
                  <c:v>746.86410190403069</c:v>
                </c:pt>
                <c:pt idx="455">
                  <c:v>746.86410190403069</c:v>
                </c:pt>
                <c:pt idx="456">
                  <c:v>746.86410190403069</c:v>
                </c:pt>
                <c:pt idx="457">
                  <c:v>746.86410190403069</c:v>
                </c:pt>
                <c:pt idx="458">
                  <c:v>746.86410190403069</c:v>
                </c:pt>
                <c:pt idx="459">
                  <c:v>746.86410190403069</c:v>
                </c:pt>
                <c:pt idx="460">
                  <c:v>746.86410190403069</c:v>
                </c:pt>
                <c:pt idx="461">
                  <c:v>746.86410190403069</c:v>
                </c:pt>
                <c:pt idx="462">
                  <c:v>746.86410190403069</c:v>
                </c:pt>
                <c:pt idx="463">
                  <c:v>746.86410190403069</c:v>
                </c:pt>
                <c:pt idx="464">
                  <c:v>746.86410190403069</c:v>
                </c:pt>
                <c:pt idx="465">
                  <c:v>746.86410190403069</c:v>
                </c:pt>
                <c:pt idx="466">
                  <c:v>746.86410190403069</c:v>
                </c:pt>
                <c:pt idx="467">
                  <c:v>746.86410190403069</c:v>
                </c:pt>
                <c:pt idx="468">
                  <c:v>746.86410190403069</c:v>
                </c:pt>
                <c:pt idx="469">
                  <c:v>746.86410190403069</c:v>
                </c:pt>
                <c:pt idx="470">
                  <c:v>746.86410190403069</c:v>
                </c:pt>
                <c:pt idx="471">
                  <c:v>746.86410190403069</c:v>
                </c:pt>
                <c:pt idx="472">
                  <c:v>746.86410190403069</c:v>
                </c:pt>
                <c:pt idx="473">
                  <c:v>746.86410190403069</c:v>
                </c:pt>
                <c:pt idx="474">
                  <c:v>746.86410190403069</c:v>
                </c:pt>
                <c:pt idx="475">
                  <c:v>746.86410190403069</c:v>
                </c:pt>
                <c:pt idx="476">
                  <c:v>746.86410190403069</c:v>
                </c:pt>
                <c:pt idx="477">
                  <c:v>746.86410190403069</c:v>
                </c:pt>
                <c:pt idx="478">
                  <c:v>746.86410190403069</c:v>
                </c:pt>
                <c:pt idx="479">
                  <c:v>746.86410190403069</c:v>
                </c:pt>
                <c:pt idx="480">
                  <c:v>746.86410190403069</c:v>
                </c:pt>
                <c:pt idx="481">
                  <c:v>746.86410190403069</c:v>
                </c:pt>
                <c:pt idx="482">
                  <c:v>746.86410190403069</c:v>
                </c:pt>
                <c:pt idx="483">
                  <c:v>746.86410190403069</c:v>
                </c:pt>
                <c:pt idx="484">
                  <c:v>746.86410190403069</c:v>
                </c:pt>
                <c:pt idx="485">
                  <c:v>746.86410190403069</c:v>
                </c:pt>
                <c:pt idx="486">
                  <c:v>746.86410190403069</c:v>
                </c:pt>
                <c:pt idx="487">
                  <c:v>746.86410190403069</c:v>
                </c:pt>
                <c:pt idx="488">
                  <c:v>746.86410190403069</c:v>
                </c:pt>
                <c:pt idx="489">
                  <c:v>746.86410190403069</c:v>
                </c:pt>
                <c:pt idx="490">
                  <c:v>746.86410190403069</c:v>
                </c:pt>
                <c:pt idx="491">
                  <c:v>746.86410190403069</c:v>
                </c:pt>
                <c:pt idx="492">
                  <c:v>746.86410190403069</c:v>
                </c:pt>
                <c:pt idx="493">
                  <c:v>746.86410190403069</c:v>
                </c:pt>
                <c:pt idx="494">
                  <c:v>746.86410190403069</c:v>
                </c:pt>
                <c:pt idx="495">
                  <c:v>746.86410190403069</c:v>
                </c:pt>
                <c:pt idx="496">
                  <c:v>746.86410190403069</c:v>
                </c:pt>
                <c:pt idx="497">
                  <c:v>746.86410190403069</c:v>
                </c:pt>
                <c:pt idx="498">
                  <c:v>746.86410190403069</c:v>
                </c:pt>
                <c:pt idx="499">
                  <c:v>746.86410190403069</c:v>
                </c:pt>
                <c:pt idx="500">
                  <c:v>746.86410190403069</c:v>
                </c:pt>
                <c:pt idx="501">
                  <c:v>746.86410190403069</c:v>
                </c:pt>
                <c:pt idx="502">
                  <c:v>746.86410190403069</c:v>
                </c:pt>
                <c:pt idx="503">
                  <c:v>746.86410190403069</c:v>
                </c:pt>
                <c:pt idx="504">
                  <c:v>746.86410190403069</c:v>
                </c:pt>
                <c:pt idx="505">
                  <c:v>746.86410190403069</c:v>
                </c:pt>
                <c:pt idx="506">
                  <c:v>746.86410190403069</c:v>
                </c:pt>
                <c:pt idx="507">
                  <c:v>746.86410190403069</c:v>
                </c:pt>
                <c:pt idx="508">
                  <c:v>746.86410190403069</c:v>
                </c:pt>
                <c:pt idx="509">
                  <c:v>746.86410190403069</c:v>
                </c:pt>
                <c:pt idx="510">
                  <c:v>746.86410190403069</c:v>
                </c:pt>
                <c:pt idx="511">
                  <c:v>746.86410190403069</c:v>
                </c:pt>
                <c:pt idx="512">
                  <c:v>746.86410190403069</c:v>
                </c:pt>
                <c:pt idx="513">
                  <c:v>746.86410190403069</c:v>
                </c:pt>
                <c:pt idx="514">
                  <c:v>746.86410190403069</c:v>
                </c:pt>
                <c:pt idx="515">
                  <c:v>746.86410190403069</c:v>
                </c:pt>
                <c:pt idx="516">
                  <c:v>746.86410190403069</c:v>
                </c:pt>
                <c:pt idx="517">
                  <c:v>746.86410190403069</c:v>
                </c:pt>
                <c:pt idx="518">
                  <c:v>746.86410190403069</c:v>
                </c:pt>
                <c:pt idx="519">
                  <c:v>746.86410190403069</c:v>
                </c:pt>
                <c:pt idx="520">
                  <c:v>746.86410190403069</c:v>
                </c:pt>
                <c:pt idx="521">
                  <c:v>746.86410190403069</c:v>
                </c:pt>
                <c:pt idx="522">
                  <c:v>746.86410190403069</c:v>
                </c:pt>
                <c:pt idx="523">
                  <c:v>746.86410190403069</c:v>
                </c:pt>
                <c:pt idx="524">
                  <c:v>746.86410190403069</c:v>
                </c:pt>
                <c:pt idx="525">
                  <c:v>746.86410190403069</c:v>
                </c:pt>
                <c:pt idx="526">
                  <c:v>746.86410190403069</c:v>
                </c:pt>
                <c:pt idx="527">
                  <c:v>746.86410190403069</c:v>
                </c:pt>
                <c:pt idx="528">
                  <c:v>746.86410190403069</c:v>
                </c:pt>
                <c:pt idx="529">
                  <c:v>746.86410190403069</c:v>
                </c:pt>
                <c:pt idx="530">
                  <c:v>746.86410190403069</c:v>
                </c:pt>
                <c:pt idx="531">
                  <c:v>746.86410190403069</c:v>
                </c:pt>
                <c:pt idx="532">
                  <c:v>746.86410190403069</c:v>
                </c:pt>
                <c:pt idx="533">
                  <c:v>746.86410190403069</c:v>
                </c:pt>
                <c:pt idx="534">
                  <c:v>746.86410190403069</c:v>
                </c:pt>
                <c:pt idx="535">
                  <c:v>746.86410190403069</c:v>
                </c:pt>
                <c:pt idx="536">
                  <c:v>746.86410190403069</c:v>
                </c:pt>
                <c:pt idx="537">
                  <c:v>746.86410190403069</c:v>
                </c:pt>
                <c:pt idx="538">
                  <c:v>746.86410190403069</c:v>
                </c:pt>
                <c:pt idx="539">
                  <c:v>746.86410190403069</c:v>
                </c:pt>
                <c:pt idx="540">
                  <c:v>746.86410190403069</c:v>
                </c:pt>
                <c:pt idx="541">
                  <c:v>746.86410190403069</c:v>
                </c:pt>
                <c:pt idx="542">
                  <c:v>746.86410190403069</c:v>
                </c:pt>
                <c:pt idx="543">
                  <c:v>746.86410190403069</c:v>
                </c:pt>
                <c:pt idx="544">
                  <c:v>746.86410190403069</c:v>
                </c:pt>
                <c:pt idx="545">
                  <c:v>746.86410190403069</c:v>
                </c:pt>
                <c:pt idx="546">
                  <c:v>746.86410190403069</c:v>
                </c:pt>
                <c:pt idx="547">
                  <c:v>746.86410190403069</c:v>
                </c:pt>
                <c:pt idx="548">
                  <c:v>746.86410190403069</c:v>
                </c:pt>
                <c:pt idx="549">
                  <c:v>746.86410190403069</c:v>
                </c:pt>
                <c:pt idx="550">
                  <c:v>746.86410190403069</c:v>
                </c:pt>
                <c:pt idx="551">
                  <c:v>746.86410190403069</c:v>
                </c:pt>
                <c:pt idx="552">
                  <c:v>746.86410190403069</c:v>
                </c:pt>
                <c:pt idx="553">
                  <c:v>746.86410190403069</c:v>
                </c:pt>
                <c:pt idx="554">
                  <c:v>746.86410190403069</c:v>
                </c:pt>
                <c:pt idx="555">
                  <c:v>746.86410190403069</c:v>
                </c:pt>
                <c:pt idx="556">
                  <c:v>746.86410190403069</c:v>
                </c:pt>
                <c:pt idx="557">
                  <c:v>746.86410190403069</c:v>
                </c:pt>
                <c:pt idx="558">
                  <c:v>746.86410190403069</c:v>
                </c:pt>
                <c:pt idx="559">
                  <c:v>746.86410190403069</c:v>
                </c:pt>
                <c:pt idx="560">
                  <c:v>746.86410190403069</c:v>
                </c:pt>
                <c:pt idx="561">
                  <c:v>746.86410190403069</c:v>
                </c:pt>
                <c:pt idx="562">
                  <c:v>746.86410190403069</c:v>
                </c:pt>
                <c:pt idx="563">
                  <c:v>746.86410190403069</c:v>
                </c:pt>
                <c:pt idx="564">
                  <c:v>746.86410190403069</c:v>
                </c:pt>
                <c:pt idx="565">
                  <c:v>746.86410190403069</c:v>
                </c:pt>
                <c:pt idx="566">
                  <c:v>746.86410190403069</c:v>
                </c:pt>
                <c:pt idx="567">
                  <c:v>746.86410190403069</c:v>
                </c:pt>
                <c:pt idx="568">
                  <c:v>746.86410190403069</c:v>
                </c:pt>
                <c:pt idx="569">
                  <c:v>746.86410190403069</c:v>
                </c:pt>
                <c:pt idx="570">
                  <c:v>746.86410190403069</c:v>
                </c:pt>
                <c:pt idx="571">
                  <c:v>746.86410190403069</c:v>
                </c:pt>
                <c:pt idx="572">
                  <c:v>746.86410190403069</c:v>
                </c:pt>
                <c:pt idx="573">
                  <c:v>746.86410190403069</c:v>
                </c:pt>
                <c:pt idx="574">
                  <c:v>746.86410190403069</c:v>
                </c:pt>
                <c:pt idx="575">
                  <c:v>746.86410190403069</c:v>
                </c:pt>
                <c:pt idx="576">
                  <c:v>746.86410190403069</c:v>
                </c:pt>
                <c:pt idx="577">
                  <c:v>746.86410190403069</c:v>
                </c:pt>
                <c:pt idx="578">
                  <c:v>746.86410190403069</c:v>
                </c:pt>
                <c:pt idx="579">
                  <c:v>746.86410190403069</c:v>
                </c:pt>
                <c:pt idx="580">
                  <c:v>746.86410190403069</c:v>
                </c:pt>
                <c:pt idx="581">
                  <c:v>746.86410190403069</c:v>
                </c:pt>
                <c:pt idx="582">
                  <c:v>746.86410190403069</c:v>
                </c:pt>
                <c:pt idx="583">
                  <c:v>746.86410190403069</c:v>
                </c:pt>
                <c:pt idx="584">
                  <c:v>746.86410190403069</c:v>
                </c:pt>
                <c:pt idx="585">
                  <c:v>746.86410190403069</c:v>
                </c:pt>
                <c:pt idx="586">
                  <c:v>746.86410190403069</c:v>
                </c:pt>
                <c:pt idx="587">
                  <c:v>746.86410190403069</c:v>
                </c:pt>
                <c:pt idx="588">
                  <c:v>746.86410190403069</c:v>
                </c:pt>
                <c:pt idx="589">
                  <c:v>746.86410190403069</c:v>
                </c:pt>
                <c:pt idx="590">
                  <c:v>746.86410190403069</c:v>
                </c:pt>
                <c:pt idx="591">
                  <c:v>746.86410190403069</c:v>
                </c:pt>
                <c:pt idx="592">
                  <c:v>746.86410190403069</c:v>
                </c:pt>
                <c:pt idx="593">
                  <c:v>746.86410190403069</c:v>
                </c:pt>
                <c:pt idx="594">
                  <c:v>746.86410190403069</c:v>
                </c:pt>
                <c:pt idx="595">
                  <c:v>746.86410190403069</c:v>
                </c:pt>
                <c:pt idx="596">
                  <c:v>746.86410190403069</c:v>
                </c:pt>
                <c:pt idx="597">
                  <c:v>746.86410190403069</c:v>
                </c:pt>
                <c:pt idx="598">
                  <c:v>746.86410190403069</c:v>
                </c:pt>
                <c:pt idx="599">
                  <c:v>746.86410190403069</c:v>
                </c:pt>
                <c:pt idx="600">
                  <c:v>746.86410190403069</c:v>
                </c:pt>
                <c:pt idx="601">
                  <c:v>746.86410190403069</c:v>
                </c:pt>
                <c:pt idx="602">
                  <c:v>746.86410190403069</c:v>
                </c:pt>
                <c:pt idx="603">
                  <c:v>746.86410190403069</c:v>
                </c:pt>
                <c:pt idx="604">
                  <c:v>746.86410190403069</c:v>
                </c:pt>
                <c:pt idx="605">
                  <c:v>746.86410190403069</c:v>
                </c:pt>
                <c:pt idx="606">
                  <c:v>746.86410190403069</c:v>
                </c:pt>
                <c:pt idx="607">
                  <c:v>746.86410190403069</c:v>
                </c:pt>
                <c:pt idx="608">
                  <c:v>746.86410190403069</c:v>
                </c:pt>
                <c:pt idx="609">
                  <c:v>746.86410190403069</c:v>
                </c:pt>
                <c:pt idx="610">
                  <c:v>746.86410190403069</c:v>
                </c:pt>
                <c:pt idx="611">
                  <c:v>746.86410190403069</c:v>
                </c:pt>
                <c:pt idx="612">
                  <c:v>746.86410190403069</c:v>
                </c:pt>
                <c:pt idx="613">
                  <c:v>746.86410190403069</c:v>
                </c:pt>
                <c:pt idx="614">
                  <c:v>746.86410190403069</c:v>
                </c:pt>
                <c:pt idx="615">
                  <c:v>746.86410190403069</c:v>
                </c:pt>
                <c:pt idx="616">
                  <c:v>746.86410190403069</c:v>
                </c:pt>
                <c:pt idx="617">
                  <c:v>746.86410190403069</c:v>
                </c:pt>
                <c:pt idx="618">
                  <c:v>746.86410190403069</c:v>
                </c:pt>
                <c:pt idx="619">
                  <c:v>746.86410190403069</c:v>
                </c:pt>
                <c:pt idx="620">
                  <c:v>746.86410190403069</c:v>
                </c:pt>
                <c:pt idx="621">
                  <c:v>746.86410190403069</c:v>
                </c:pt>
                <c:pt idx="622">
                  <c:v>746.86410190403069</c:v>
                </c:pt>
                <c:pt idx="623">
                  <c:v>746.86410190403069</c:v>
                </c:pt>
                <c:pt idx="624">
                  <c:v>746.86410190403069</c:v>
                </c:pt>
                <c:pt idx="625">
                  <c:v>746.86410190403069</c:v>
                </c:pt>
                <c:pt idx="626">
                  <c:v>746.86410190403069</c:v>
                </c:pt>
                <c:pt idx="627">
                  <c:v>746.86410190403069</c:v>
                </c:pt>
                <c:pt idx="628">
                  <c:v>746.86410190403069</c:v>
                </c:pt>
                <c:pt idx="629">
                  <c:v>746.86410190403069</c:v>
                </c:pt>
                <c:pt idx="630">
                  <c:v>746.86410190403069</c:v>
                </c:pt>
                <c:pt idx="631">
                  <c:v>746.86410190403069</c:v>
                </c:pt>
                <c:pt idx="632">
                  <c:v>746.86410190403069</c:v>
                </c:pt>
                <c:pt idx="633">
                  <c:v>746.86410190403069</c:v>
                </c:pt>
                <c:pt idx="634">
                  <c:v>746.86410190403069</c:v>
                </c:pt>
                <c:pt idx="635">
                  <c:v>746.86410190403069</c:v>
                </c:pt>
                <c:pt idx="636">
                  <c:v>746.86410190403069</c:v>
                </c:pt>
                <c:pt idx="637">
                  <c:v>746.86410190403069</c:v>
                </c:pt>
                <c:pt idx="638">
                  <c:v>746.86410190403069</c:v>
                </c:pt>
                <c:pt idx="639">
                  <c:v>746.86410190403069</c:v>
                </c:pt>
                <c:pt idx="640">
                  <c:v>746.86410190403069</c:v>
                </c:pt>
                <c:pt idx="641">
                  <c:v>746.86410190403069</c:v>
                </c:pt>
                <c:pt idx="642">
                  <c:v>746.86410190403069</c:v>
                </c:pt>
                <c:pt idx="643">
                  <c:v>746.86410190403069</c:v>
                </c:pt>
                <c:pt idx="644">
                  <c:v>746.86410190403069</c:v>
                </c:pt>
                <c:pt idx="645">
                  <c:v>746.86410190403069</c:v>
                </c:pt>
                <c:pt idx="646">
                  <c:v>746.86410190403069</c:v>
                </c:pt>
                <c:pt idx="647">
                  <c:v>746.86410190403069</c:v>
                </c:pt>
                <c:pt idx="648">
                  <c:v>746.86410190403069</c:v>
                </c:pt>
                <c:pt idx="649">
                  <c:v>746.86410190403069</c:v>
                </c:pt>
                <c:pt idx="650">
                  <c:v>746.86410190403069</c:v>
                </c:pt>
                <c:pt idx="651">
                  <c:v>746.86410190403069</c:v>
                </c:pt>
                <c:pt idx="652">
                  <c:v>746.86410190403069</c:v>
                </c:pt>
                <c:pt idx="653">
                  <c:v>746.86410190403069</c:v>
                </c:pt>
                <c:pt idx="654">
                  <c:v>746.86410190403069</c:v>
                </c:pt>
                <c:pt idx="655">
                  <c:v>746.86410190403069</c:v>
                </c:pt>
                <c:pt idx="656">
                  <c:v>746.86410190403069</c:v>
                </c:pt>
                <c:pt idx="657">
                  <c:v>746.86410190403069</c:v>
                </c:pt>
                <c:pt idx="658">
                  <c:v>746.86410190403069</c:v>
                </c:pt>
                <c:pt idx="659">
                  <c:v>746.86410190403069</c:v>
                </c:pt>
                <c:pt idx="660">
                  <c:v>746.86410190403069</c:v>
                </c:pt>
                <c:pt idx="661">
                  <c:v>746.86410190403069</c:v>
                </c:pt>
                <c:pt idx="662">
                  <c:v>746.86410190403069</c:v>
                </c:pt>
                <c:pt idx="663">
                  <c:v>746.86410190403069</c:v>
                </c:pt>
                <c:pt idx="664">
                  <c:v>746.86410190403069</c:v>
                </c:pt>
                <c:pt idx="665">
                  <c:v>746.86410190403069</c:v>
                </c:pt>
                <c:pt idx="666">
                  <c:v>746.86410190403069</c:v>
                </c:pt>
                <c:pt idx="667">
                  <c:v>746.86410190403069</c:v>
                </c:pt>
                <c:pt idx="668">
                  <c:v>746.86410190403069</c:v>
                </c:pt>
                <c:pt idx="669">
                  <c:v>746.86410190403069</c:v>
                </c:pt>
                <c:pt idx="670">
                  <c:v>746.86410190403069</c:v>
                </c:pt>
                <c:pt idx="671">
                  <c:v>746.86410190403069</c:v>
                </c:pt>
                <c:pt idx="672">
                  <c:v>746.86410190403069</c:v>
                </c:pt>
                <c:pt idx="673">
                  <c:v>746.86410190403069</c:v>
                </c:pt>
                <c:pt idx="674">
                  <c:v>746.86410190403069</c:v>
                </c:pt>
                <c:pt idx="675">
                  <c:v>746.86410190403069</c:v>
                </c:pt>
                <c:pt idx="676">
                  <c:v>746.86410190403069</c:v>
                </c:pt>
                <c:pt idx="677">
                  <c:v>746.86410190403069</c:v>
                </c:pt>
                <c:pt idx="678">
                  <c:v>746.86410190403069</c:v>
                </c:pt>
                <c:pt idx="679">
                  <c:v>746.86410190403069</c:v>
                </c:pt>
                <c:pt idx="680">
                  <c:v>746.86410190403069</c:v>
                </c:pt>
                <c:pt idx="681">
                  <c:v>746.86410190403069</c:v>
                </c:pt>
                <c:pt idx="682">
                  <c:v>746.86410190403069</c:v>
                </c:pt>
                <c:pt idx="683">
                  <c:v>746.86410190403069</c:v>
                </c:pt>
                <c:pt idx="684">
                  <c:v>746.86410190403069</c:v>
                </c:pt>
                <c:pt idx="685">
                  <c:v>746.86410190403069</c:v>
                </c:pt>
                <c:pt idx="686">
                  <c:v>746.86410190403069</c:v>
                </c:pt>
                <c:pt idx="687">
                  <c:v>746.86410190403069</c:v>
                </c:pt>
                <c:pt idx="688">
                  <c:v>746.86410190403069</c:v>
                </c:pt>
                <c:pt idx="689">
                  <c:v>746.86410190403069</c:v>
                </c:pt>
                <c:pt idx="690">
                  <c:v>746.86410190403069</c:v>
                </c:pt>
                <c:pt idx="691">
                  <c:v>746.86410190403069</c:v>
                </c:pt>
                <c:pt idx="692">
                  <c:v>746.86410190403069</c:v>
                </c:pt>
                <c:pt idx="693">
                  <c:v>746.86410190403069</c:v>
                </c:pt>
                <c:pt idx="694">
                  <c:v>746.86410190403069</c:v>
                </c:pt>
                <c:pt idx="695">
                  <c:v>746.86410190403069</c:v>
                </c:pt>
                <c:pt idx="696">
                  <c:v>746.86410190403069</c:v>
                </c:pt>
                <c:pt idx="697">
                  <c:v>746.86410190403069</c:v>
                </c:pt>
                <c:pt idx="698">
                  <c:v>746.86410190403069</c:v>
                </c:pt>
                <c:pt idx="699">
                  <c:v>746.86410190403069</c:v>
                </c:pt>
                <c:pt idx="700">
                  <c:v>746.86410190403069</c:v>
                </c:pt>
                <c:pt idx="701">
                  <c:v>746.86410190403069</c:v>
                </c:pt>
                <c:pt idx="702">
                  <c:v>746.86410190403069</c:v>
                </c:pt>
                <c:pt idx="703">
                  <c:v>746.86410190403069</c:v>
                </c:pt>
                <c:pt idx="704">
                  <c:v>746.86410190403069</c:v>
                </c:pt>
                <c:pt idx="705">
                  <c:v>746.86410190403069</c:v>
                </c:pt>
                <c:pt idx="706">
                  <c:v>746.86410190403069</c:v>
                </c:pt>
                <c:pt idx="707">
                  <c:v>746.86410190403069</c:v>
                </c:pt>
                <c:pt idx="708">
                  <c:v>746.86410190403069</c:v>
                </c:pt>
                <c:pt idx="709">
                  <c:v>746.86410190403069</c:v>
                </c:pt>
                <c:pt idx="710">
                  <c:v>746.86410190403069</c:v>
                </c:pt>
                <c:pt idx="711">
                  <c:v>746.86410190403069</c:v>
                </c:pt>
                <c:pt idx="712">
                  <c:v>746.86410190403069</c:v>
                </c:pt>
                <c:pt idx="713">
                  <c:v>746.86410190403069</c:v>
                </c:pt>
                <c:pt idx="714">
                  <c:v>746.86410190403069</c:v>
                </c:pt>
                <c:pt idx="715">
                  <c:v>746.86410190403069</c:v>
                </c:pt>
                <c:pt idx="716">
                  <c:v>746.86410190403069</c:v>
                </c:pt>
                <c:pt idx="717">
                  <c:v>746.86410190403069</c:v>
                </c:pt>
                <c:pt idx="718">
                  <c:v>746.86410190403069</c:v>
                </c:pt>
                <c:pt idx="719">
                  <c:v>746.86410190403069</c:v>
                </c:pt>
                <c:pt idx="720">
                  <c:v>746.86410190403069</c:v>
                </c:pt>
                <c:pt idx="721">
                  <c:v>746.86410190403069</c:v>
                </c:pt>
                <c:pt idx="722">
                  <c:v>746.86410190403069</c:v>
                </c:pt>
                <c:pt idx="723">
                  <c:v>746.86410190403069</c:v>
                </c:pt>
                <c:pt idx="724">
                  <c:v>746.86410190403069</c:v>
                </c:pt>
                <c:pt idx="725">
                  <c:v>746.86410190403069</c:v>
                </c:pt>
                <c:pt idx="726">
                  <c:v>746.86410190403069</c:v>
                </c:pt>
                <c:pt idx="727">
                  <c:v>746.86410190403069</c:v>
                </c:pt>
                <c:pt idx="728">
                  <c:v>746.86410190403069</c:v>
                </c:pt>
                <c:pt idx="729">
                  <c:v>746.86410190403069</c:v>
                </c:pt>
                <c:pt idx="730">
                  <c:v>746.86410190403069</c:v>
                </c:pt>
                <c:pt idx="731">
                  <c:v>746.86410190403069</c:v>
                </c:pt>
                <c:pt idx="732">
                  <c:v>746.86410190403069</c:v>
                </c:pt>
                <c:pt idx="733">
                  <c:v>746.86410190403069</c:v>
                </c:pt>
                <c:pt idx="734">
                  <c:v>746.86410190403069</c:v>
                </c:pt>
                <c:pt idx="735">
                  <c:v>746.86410190403069</c:v>
                </c:pt>
                <c:pt idx="736">
                  <c:v>746.86410190403069</c:v>
                </c:pt>
                <c:pt idx="737">
                  <c:v>746.86410190403069</c:v>
                </c:pt>
                <c:pt idx="738">
                  <c:v>746.86410190403069</c:v>
                </c:pt>
                <c:pt idx="739">
                  <c:v>746.86410190403069</c:v>
                </c:pt>
                <c:pt idx="740">
                  <c:v>746.86410190403069</c:v>
                </c:pt>
                <c:pt idx="741">
                  <c:v>746.86410190403069</c:v>
                </c:pt>
                <c:pt idx="742">
                  <c:v>746.86410190403069</c:v>
                </c:pt>
                <c:pt idx="743">
                  <c:v>746.86410190403069</c:v>
                </c:pt>
                <c:pt idx="744">
                  <c:v>746.86410190403069</c:v>
                </c:pt>
                <c:pt idx="745">
                  <c:v>746.86410190403069</c:v>
                </c:pt>
                <c:pt idx="746">
                  <c:v>746.86410190403069</c:v>
                </c:pt>
                <c:pt idx="747">
                  <c:v>746.86410190403069</c:v>
                </c:pt>
                <c:pt idx="748">
                  <c:v>746.86410190403069</c:v>
                </c:pt>
                <c:pt idx="749">
                  <c:v>746.86410190403069</c:v>
                </c:pt>
                <c:pt idx="750">
                  <c:v>746.86410190403069</c:v>
                </c:pt>
                <c:pt idx="751">
                  <c:v>746.86410190403069</c:v>
                </c:pt>
                <c:pt idx="752">
                  <c:v>746.86410190403069</c:v>
                </c:pt>
                <c:pt idx="753">
                  <c:v>746.86410190403069</c:v>
                </c:pt>
                <c:pt idx="754">
                  <c:v>746.86410190403069</c:v>
                </c:pt>
                <c:pt idx="755">
                  <c:v>746.86410190403069</c:v>
                </c:pt>
                <c:pt idx="756">
                  <c:v>746.86410190403069</c:v>
                </c:pt>
                <c:pt idx="757">
                  <c:v>746.86410190403069</c:v>
                </c:pt>
                <c:pt idx="758">
                  <c:v>746.86410190403069</c:v>
                </c:pt>
                <c:pt idx="759">
                  <c:v>746.86410190403069</c:v>
                </c:pt>
                <c:pt idx="760">
                  <c:v>746.86410190403069</c:v>
                </c:pt>
                <c:pt idx="761">
                  <c:v>746.86410190403069</c:v>
                </c:pt>
                <c:pt idx="762">
                  <c:v>746.86410190403069</c:v>
                </c:pt>
                <c:pt idx="763">
                  <c:v>746.86410190403069</c:v>
                </c:pt>
                <c:pt idx="764">
                  <c:v>746.86410190403069</c:v>
                </c:pt>
                <c:pt idx="765">
                  <c:v>746.86410190403069</c:v>
                </c:pt>
                <c:pt idx="766">
                  <c:v>746.86410190403069</c:v>
                </c:pt>
                <c:pt idx="767">
                  <c:v>746.86410190403069</c:v>
                </c:pt>
                <c:pt idx="768">
                  <c:v>746.86410190403069</c:v>
                </c:pt>
                <c:pt idx="769">
                  <c:v>746.86410190403069</c:v>
                </c:pt>
                <c:pt idx="770">
                  <c:v>746.86410190403069</c:v>
                </c:pt>
                <c:pt idx="771">
                  <c:v>746.86410190403069</c:v>
                </c:pt>
                <c:pt idx="772">
                  <c:v>746.86410190403069</c:v>
                </c:pt>
                <c:pt idx="773">
                  <c:v>746.86410190403069</c:v>
                </c:pt>
                <c:pt idx="774">
                  <c:v>746.86410190403069</c:v>
                </c:pt>
                <c:pt idx="775">
                  <c:v>746.86410190403069</c:v>
                </c:pt>
                <c:pt idx="776">
                  <c:v>746.86410190403069</c:v>
                </c:pt>
                <c:pt idx="777">
                  <c:v>746.86410190403069</c:v>
                </c:pt>
                <c:pt idx="778">
                  <c:v>746.86410190403069</c:v>
                </c:pt>
                <c:pt idx="779">
                  <c:v>746.86410190403069</c:v>
                </c:pt>
                <c:pt idx="780">
                  <c:v>746.86410190403069</c:v>
                </c:pt>
                <c:pt idx="781">
                  <c:v>746.86410190403069</c:v>
                </c:pt>
                <c:pt idx="782">
                  <c:v>746.86410190403069</c:v>
                </c:pt>
                <c:pt idx="783">
                  <c:v>746.86410190403069</c:v>
                </c:pt>
                <c:pt idx="784">
                  <c:v>746.86410190403069</c:v>
                </c:pt>
                <c:pt idx="785">
                  <c:v>746.86410190403069</c:v>
                </c:pt>
                <c:pt idx="786">
                  <c:v>746.86410190403069</c:v>
                </c:pt>
                <c:pt idx="787">
                  <c:v>746.86410190403069</c:v>
                </c:pt>
                <c:pt idx="788">
                  <c:v>746.86410190403069</c:v>
                </c:pt>
                <c:pt idx="789">
                  <c:v>746.86410190403069</c:v>
                </c:pt>
                <c:pt idx="790">
                  <c:v>746.86410190403069</c:v>
                </c:pt>
                <c:pt idx="791">
                  <c:v>746.86410190403069</c:v>
                </c:pt>
                <c:pt idx="792">
                  <c:v>746.86410190403069</c:v>
                </c:pt>
                <c:pt idx="793">
                  <c:v>746.86410190403069</c:v>
                </c:pt>
                <c:pt idx="794">
                  <c:v>746.86410190403069</c:v>
                </c:pt>
                <c:pt idx="795">
                  <c:v>746.86410190403069</c:v>
                </c:pt>
                <c:pt idx="796">
                  <c:v>746.86410190403069</c:v>
                </c:pt>
                <c:pt idx="797">
                  <c:v>746.86410190403069</c:v>
                </c:pt>
                <c:pt idx="798">
                  <c:v>746.86410190403069</c:v>
                </c:pt>
                <c:pt idx="799">
                  <c:v>746.86410190403069</c:v>
                </c:pt>
                <c:pt idx="800">
                  <c:v>746.86410190403069</c:v>
                </c:pt>
                <c:pt idx="801">
                  <c:v>746.86410190403069</c:v>
                </c:pt>
                <c:pt idx="802">
                  <c:v>746.86410190403069</c:v>
                </c:pt>
                <c:pt idx="803">
                  <c:v>746.86410190403069</c:v>
                </c:pt>
                <c:pt idx="804">
                  <c:v>746.86410190403069</c:v>
                </c:pt>
                <c:pt idx="805">
                  <c:v>746.86410190403069</c:v>
                </c:pt>
                <c:pt idx="806">
                  <c:v>746.86410190403069</c:v>
                </c:pt>
                <c:pt idx="807">
                  <c:v>746.86410190403069</c:v>
                </c:pt>
                <c:pt idx="808">
                  <c:v>746.86410190403069</c:v>
                </c:pt>
                <c:pt idx="809">
                  <c:v>746.86410190403069</c:v>
                </c:pt>
                <c:pt idx="810">
                  <c:v>746.86410190403069</c:v>
                </c:pt>
                <c:pt idx="811">
                  <c:v>746.86410190403069</c:v>
                </c:pt>
                <c:pt idx="812">
                  <c:v>746.86410190403069</c:v>
                </c:pt>
                <c:pt idx="813">
                  <c:v>746.86410190403069</c:v>
                </c:pt>
                <c:pt idx="814">
                  <c:v>746.86410190403069</c:v>
                </c:pt>
                <c:pt idx="815">
                  <c:v>746.86410190403069</c:v>
                </c:pt>
                <c:pt idx="816">
                  <c:v>746.86410190403069</c:v>
                </c:pt>
                <c:pt idx="817">
                  <c:v>746.86410190403069</c:v>
                </c:pt>
                <c:pt idx="818">
                  <c:v>746.86410190403069</c:v>
                </c:pt>
                <c:pt idx="819">
                  <c:v>746.86410190403069</c:v>
                </c:pt>
                <c:pt idx="820">
                  <c:v>746.86410190403069</c:v>
                </c:pt>
                <c:pt idx="821">
                  <c:v>746.86410190403069</c:v>
                </c:pt>
                <c:pt idx="822">
                  <c:v>746.86410190403069</c:v>
                </c:pt>
                <c:pt idx="823">
                  <c:v>746.86410190403069</c:v>
                </c:pt>
                <c:pt idx="824">
                  <c:v>746.86410190403069</c:v>
                </c:pt>
                <c:pt idx="825">
                  <c:v>746.86410190403069</c:v>
                </c:pt>
                <c:pt idx="826">
                  <c:v>746.86410190403069</c:v>
                </c:pt>
                <c:pt idx="827">
                  <c:v>746.86410190403069</c:v>
                </c:pt>
                <c:pt idx="828">
                  <c:v>746.86410190403069</c:v>
                </c:pt>
                <c:pt idx="829">
                  <c:v>746.86410190403069</c:v>
                </c:pt>
                <c:pt idx="830">
                  <c:v>746.86410190403069</c:v>
                </c:pt>
                <c:pt idx="831">
                  <c:v>746.86410190403069</c:v>
                </c:pt>
                <c:pt idx="832">
                  <c:v>746.86410190403069</c:v>
                </c:pt>
                <c:pt idx="833">
                  <c:v>746.86410190403069</c:v>
                </c:pt>
                <c:pt idx="834">
                  <c:v>746.86410190403069</c:v>
                </c:pt>
                <c:pt idx="835">
                  <c:v>746.86410190403069</c:v>
                </c:pt>
                <c:pt idx="836">
                  <c:v>746.86410190403069</c:v>
                </c:pt>
                <c:pt idx="837">
                  <c:v>746.86410190403069</c:v>
                </c:pt>
                <c:pt idx="838">
                  <c:v>746.86410190403069</c:v>
                </c:pt>
                <c:pt idx="839">
                  <c:v>746.86410190403069</c:v>
                </c:pt>
                <c:pt idx="840">
                  <c:v>746.86410190403069</c:v>
                </c:pt>
                <c:pt idx="841">
                  <c:v>746.86410190403069</c:v>
                </c:pt>
                <c:pt idx="842">
                  <c:v>746.86410190403069</c:v>
                </c:pt>
                <c:pt idx="843">
                  <c:v>746.86410190403069</c:v>
                </c:pt>
                <c:pt idx="844">
                  <c:v>746.86410190403069</c:v>
                </c:pt>
                <c:pt idx="845">
                  <c:v>746.86410190403069</c:v>
                </c:pt>
                <c:pt idx="846">
                  <c:v>746.86410190403069</c:v>
                </c:pt>
                <c:pt idx="847">
                  <c:v>746.86410190403069</c:v>
                </c:pt>
                <c:pt idx="848">
                  <c:v>746.86410190403069</c:v>
                </c:pt>
                <c:pt idx="849">
                  <c:v>746.86410190403069</c:v>
                </c:pt>
                <c:pt idx="850">
                  <c:v>746.86410190403069</c:v>
                </c:pt>
                <c:pt idx="851">
                  <c:v>746.86410190403069</c:v>
                </c:pt>
                <c:pt idx="852">
                  <c:v>746.86410190403069</c:v>
                </c:pt>
                <c:pt idx="853">
                  <c:v>746.86410190403069</c:v>
                </c:pt>
                <c:pt idx="854">
                  <c:v>746.86410190403069</c:v>
                </c:pt>
                <c:pt idx="855">
                  <c:v>746.86410190403069</c:v>
                </c:pt>
                <c:pt idx="856">
                  <c:v>746.86410190403069</c:v>
                </c:pt>
                <c:pt idx="857">
                  <c:v>746.86410190403069</c:v>
                </c:pt>
                <c:pt idx="858">
                  <c:v>746.86410190403069</c:v>
                </c:pt>
                <c:pt idx="859">
                  <c:v>746.86410190403069</c:v>
                </c:pt>
                <c:pt idx="860">
                  <c:v>746.86410190403069</c:v>
                </c:pt>
                <c:pt idx="861">
                  <c:v>746.86410190403069</c:v>
                </c:pt>
                <c:pt idx="862">
                  <c:v>746.86410190403069</c:v>
                </c:pt>
                <c:pt idx="863">
                  <c:v>746.86410190403069</c:v>
                </c:pt>
                <c:pt idx="864">
                  <c:v>746.86410190403069</c:v>
                </c:pt>
                <c:pt idx="865">
                  <c:v>746.86410190403069</c:v>
                </c:pt>
                <c:pt idx="866">
                  <c:v>746.86410190403069</c:v>
                </c:pt>
                <c:pt idx="867">
                  <c:v>746.86410190403069</c:v>
                </c:pt>
                <c:pt idx="868">
                  <c:v>746.86410190403069</c:v>
                </c:pt>
                <c:pt idx="869">
                  <c:v>746.86410190403069</c:v>
                </c:pt>
                <c:pt idx="870">
                  <c:v>746.86410190403069</c:v>
                </c:pt>
                <c:pt idx="871">
                  <c:v>746.86410190403069</c:v>
                </c:pt>
                <c:pt idx="872">
                  <c:v>746.86410190403069</c:v>
                </c:pt>
                <c:pt idx="873">
                  <c:v>746.86410190403069</c:v>
                </c:pt>
                <c:pt idx="874">
                  <c:v>746.86410190403069</c:v>
                </c:pt>
                <c:pt idx="875">
                  <c:v>746.86410190403069</c:v>
                </c:pt>
                <c:pt idx="876">
                  <c:v>746.86410190403069</c:v>
                </c:pt>
                <c:pt idx="877">
                  <c:v>746.86410190403069</c:v>
                </c:pt>
                <c:pt idx="878">
                  <c:v>746.86410190403069</c:v>
                </c:pt>
                <c:pt idx="879">
                  <c:v>746.86410190403069</c:v>
                </c:pt>
                <c:pt idx="880">
                  <c:v>746.86410190403069</c:v>
                </c:pt>
                <c:pt idx="881">
                  <c:v>746.86410190403069</c:v>
                </c:pt>
                <c:pt idx="882">
                  <c:v>746.86410190403069</c:v>
                </c:pt>
                <c:pt idx="883">
                  <c:v>746.86410190403069</c:v>
                </c:pt>
                <c:pt idx="884">
                  <c:v>746.86410190403069</c:v>
                </c:pt>
                <c:pt idx="885">
                  <c:v>746.86410190403069</c:v>
                </c:pt>
                <c:pt idx="886">
                  <c:v>746.86410190403069</c:v>
                </c:pt>
                <c:pt idx="887">
                  <c:v>746.86410190403069</c:v>
                </c:pt>
                <c:pt idx="888">
                  <c:v>746.86410190403069</c:v>
                </c:pt>
                <c:pt idx="889">
                  <c:v>746.86410190403069</c:v>
                </c:pt>
                <c:pt idx="890">
                  <c:v>746.86410190403069</c:v>
                </c:pt>
                <c:pt idx="891">
                  <c:v>746.86410190403069</c:v>
                </c:pt>
                <c:pt idx="892">
                  <c:v>746.86410190403069</c:v>
                </c:pt>
                <c:pt idx="893">
                  <c:v>746.86410190403069</c:v>
                </c:pt>
                <c:pt idx="894">
                  <c:v>746.86410190403069</c:v>
                </c:pt>
                <c:pt idx="895">
                  <c:v>746.86410190403069</c:v>
                </c:pt>
                <c:pt idx="896">
                  <c:v>746.86410190403069</c:v>
                </c:pt>
                <c:pt idx="897">
                  <c:v>746.86410190403069</c:v>
                </c:pt>
                <c:pt idx="898">
                  <c:v>746.86410190403069</c:v>
                </c:pt>
                <c:pt idx="899">
                  <c:v>746.86410190403069</c:v>
                </c:pt>
                <c:pt idx="900">
                  <c:v>746.86410190403069</c:v>
                </c:pt>
                <c:pt idx="901">
                  <c:v>746.86410190403069</c:v>
                </c:pt>
                <c:pt idx="902">
                  <c:v>746.86410190403069</c:v>
                </c:pt>
                <c:pt idx="903">
                  <c:v>746.86410190403069</c:v>
                </c:pt>
                <c:pt idx="904">
                  <c:v>746.86410190403069</c:v>
                </c:pt>
                <c:pt idx="905">
                  <c:v>746.86410190403069</c:v>
                </c:pt>
                <c:pt idx="906">
                  <c:v>746.86410190403069</c:v>
                </c:pt>
                <c:pt idx="907">
                  <c:v>746.86410190403069</c:v>
                </c:pt>
                <c:pt idx="908">
                  <c:v>746.86410190403069</c:v>
                </c:pt>
                <c:pt idx="909">
                  <c:v>746.86410190403069</c:v>
                </c:pt>
                <c:pt idx="910">
                  <c:v>746.86410190403069</c:v>
                </c:pt>
                <c:pt idx="911">
                  <c:v>746.86410190403069</c:v>
                </c:pt>
                <c:pt idx="912">
                  <c:v>746.86410190403069</c:v>
                </c:pt>
                <c:pt idx="913">
                  <c:v>746.86410190403069</c:v>
                </c:pt>
                <c:pt idx="914">
                  <c:v>746.86410190403069</c:v>
                </c:pt>
                <c:pt idx="915">
                  <c:v>746.86410190403069</c:v>
                </c:pt>
                <c:pt idx="916">
                  <c:v>746.86410190403069</c:v>
                </c:pt>
                <c:pt idx="917">
                  <c:v>746.86410190403069</c:v>
                </c:pt>
                <c:pt idx="918">
                  <c:v>746.86410190403069</c:v>
                </c:pt>
                <c:pt idx="919">
                  <c:v>746.86410190403069</c:v>
                </c:pt>
                <c:pt idx="920">
                  <c:v>746.86410190403069</c:v>
                </c:pt>
                <c:pt idx="921">
                  <c:v>746.86410190403069</c:v>
                </c:pt>
                <c:pt idx="922">
                  <c:v>746.86410190403069</c:v>
                </c:pt>
                <c:pt idx="923">
                  <c:v>746.86410190403069</c:v>
                </c:pt>
                <c:pt idx="924">
                  <c:v>746.86410190403069</c:v>
                </c:pt>
                <c:pt idx="925">
                  <c:v>746.86410190403069</c:v>
                </c:pt>
                <c:pt idx="926">
                  <c:v>746.86410190403069</c:v>
                </c:pt>
                <c:pt idx="927">
                  <c:v>746.86410190403069</c:v>
                </c:pt>
                <c:pt idx="928">
                  <c:v>746.86410190403069</c:v>
                </c:pt>
                <c:pt idx="929">
                  <c:v>746.86410190403069</c:v>
                </c:pt>
                <c:pt idx="930">
                  <c:v>746.86410190403069</c:v>
                </c:pt>
                <c:pt idx="931">
                  <c:v>746.86410190403069</c:v>
                </c:pt>
                <c:pt idx="932">
                  <c:v>746.86410190403069</c:v>
                </c:pt>
                <c:pt idx="933">
                  <c:v>746.86410190403069</c:v>
                </c:pt>
                <c:pt idx="934">
                  <c:v>746.86410190403069</c:v>
                </c:pt>
                <c:pt idx="935">
                  <c:v>746.86410190403069</c:v>
                </c:pt>
                <c:pt idx="936">
                  <c:v>746.86410190403069</c:v>
                </c:pt>
                <c:pt idx="937">
                  <c:v>746.86410190403069</c:v>
                </c:pt>
                <c:pt idx="938">
                  <c:v>746.86410190403069</c:v>
                </c:pt>
                <c:pt idx="939">
                  <c:v>746.86410190403069</c:v>
                </c:pt>
                <c:pt idx="940">
                  <c:v>746.86410190403069</c:v>
                </c:pt>
                <c:pt idx="941">
                  <c:v>746.86410190403069</c:v>
                </c:pt>
                <c:pt idx="942">
                  <c:v>746.86410190403069</c:v>
                </c:pt>
                <c:pt idx="943">
                  <c:v>746.86410190403069</c:v>
                </c:pt>
                <c:pt idx="944">
                  <c:v>746.86410190403069</c:v>
                </c:pt>
                <c:pt idx="945">
                  <c:v>746.86410190403069</c:v>
                </c:pt>
                <c:pt idx="946">
                  <c:v>746.86410190403069</c:v>
                </c:pt>
                <c:pt idx="947">
                  <c:v>746.86410190403069</c:v>
                </c:pt>
                <c:pt idx="948">
                  <c:v>746.86410190403069</c:v>
                </c:pt>
                <c:pt idx="949">
                  <c:v>746.86410190403069</c:v>
                </c:pt>
                <c:pt idx="950">
                  <c:v>746.86410190403069</c:v>
                </c:pt>
                <c:pt idx="951">
                  <c:v>746.86410190403069</c:v>
                </c:pt>
                <c:pt idx="952">
                  <c:v>746.86410190403069</c:v>
                </c:pt>
                <c:pt idx="953">
                  <c:v>746.86410190403069</c:v>
                </c:pt>
                <c:pt idx="954">
                  <c:v>746.86410190403069</c:v>
                </c:pt>
                <c:pt idx="955">
                  <c:v>746.86410190403069</c:v>
                </c:pt>
                <c:pt idx="956">
                  <c:v>746.86410190403069</c:v>
                </c:pt>
                <c:pt idx="957">
                  <c:v>746.86410190403069</c:v>
                </c:pt>
                <c:pt idx="958">
                  <c:v>746.86410190403069</c:v>
                </c:pt>
                <c:pt idx="959">
                  <c:v>746.86410190403069</c:v>
                </c:pt>
                <c:pt idx="960">
                  <c:v>746.86410190403069</c:v>
                </c:pt>
                <c:pt idx="961">
                  <c:v>746.86410190403069</c:v>
                </c:pt>
                <c:pt idx="962">
                  <c:v>746.86410190403069</c:v>
                </c:pt>
                <c:pt idx="963">
                  <c:v>746.86410190403069</c:v>
                </c:pt>
                <c:pt idx="964">
                  <c:v>746.86410190403069</c:v>
                </c:pt>
                <c:pt idx="965">
                  <c:v>746.86410190403069</c:v>
                </c:pt>
                <c:pt idx="966">
                  <c:v>746.86410190403069</c:v>
                </c:pt>
                <c:pt idx="967">
                  <c:v>746.86410190403069</c:v>
                </c:pt>
                <c:pt idx="968">
                  <c:v>746.86410190403069</c:v>
                </c:pt>
                <c:pt idx="969">
                  <c:v>746.86410190403069</c:v>
                </c:pt>
                <c:pt idx="970">
                  <c:v>746.86410190403069</c:v>
                </c:pt>
                <c:pt idx="971">
                  <c:v>746.86410190403069</c:v>
                </c:pt>
                <c:pt idx="972">
                  <c:v>746.86410190403069</c:v>
                </c:pt>
                <c:pt idx="973">
                  <c:v>746.86410190403069</c:v>
                </c:pt>
                <c:pt idx="974">
                  <c:v>746.86410190403069</c:v>
                </c:pt>
                <c:pt idx="975">
                  <c:v>746.86410190403069</c:v>
                </c:pt>
                <c:pt idx="976">
                  <c:v>746.86410190403069</c:v>
                </c:pt>
                <c:pt idx="977">
                  <c:v>746.86410190403069</c:v>
                </c:pt>
                <c:pt idx="978">
                  <c:v>746.86410190403069</c:v>
                </c:pt>
                <c:pt idx="979">
                  <c:v>746.86410190403069</c:v>
                </c:pt>
                <c:pt idx="980">
                  <c:v>746.86410190403069</c:v>
                </c:pt>
                <c:pt idx="981">
                  <c:v>746.86410190403069</c:v>
                </c:pt>
                <c:pt idx="982">
                  <c:v>746.86410190403069</c:v>
                </c:pt>
                <c:pt idx="983">
                  <c:v>746.86410190403069</c:v>
                </c:pt>
                <c:pt idx="984">
                  <c:v>746.86410190403069</c:v>
                </c:pt>
                <c:pt idx="985">
                  <c:v>746.86410190403069</c:v>
                </c:pt>
                <c:pt idx="986">
                  <c:v>746.86410190403069</c:v>
                </c:pt>
                <c:pt idx="987">
                  <c:v>746.86410190403069</c:v>
                </c:pt>
                <c:pt idx="988">
                  <c:v>746.86410190403069</c:v>
                </c:pt>
                <c:pt idx="989">
                  <c:v>746.86410190403069</c:v>
                </c:pt>
                <c:pt idx="990">
                  <c:v>746.86410190403069</c:v>
                </c:pt>
                <c:pt idx="991">
                  <c:v>746.86410190403069</c:v>
                </c:pt>
                <c:pt idx="992">
                  <c:v>746.86410190403069</c:v>
                </c:pt>
                <c:pt idx="993">
                  <c:v>746.86410190403069</c:v>
                </c:pt>
                <c:pt idx="994">
                  <c:v>746.86410190403069</c:v>
                </c:pt>
                <c:pt idx="995">
                  <c:v>746.86410190403069</c:v>
                </c:pt>
                <c:pt idx="996">
                  <c:v>746.86410190403069</c:v>
                </c:pt>
                <c:pt idx="997">
                  <c:v>746.86410190403069</c:v>
                </c:pt>
                <c:pt idx="998">
                  <c:v>746.86410190403069</c:v>
                </c:pt>
                <c:pt idx="999">
                  <c:v>746.86410190403069</c:v>
                </c:pt>
                <c:pt idx="1000">
                  <c:v>746.86410190403069</c:v>
                </c:pt>
              </c:numCache>
            </c:numRef>
          </c:yVal>
          <c:smooth val="0"/>
          <c:extLst>
            <c:ext xmlns:c16="http://schemas.microsoft.com/office/drawing/2014/chart" uri="{C3380CC4-5D6E-409C-BE32-E72D297353CC}">
              <c16:uniqueId val="{00000000-B5CC-4BD6-9E0D-EA30945FB569}"/>
            </c:ext>
          </c:extLst>
        </c:ser>
        <c:ser>
          <c:idx val="1"/>
          <c:order val="1"/>
          <c:tx>
            <c:strRef>
              <c:f>Courbes!$B$143</c:f>
              <c:strCache>
                <c:ptCount val="1"/>
                <c:pt idx="0">
                  <c:v>Altitude</c:v>
                </c:pt>
              </c:strCache>
            </c:strRef>
          </c:tx>
          <c:spPr>
            <a:ln w="12700">
              <a:solidFill>
                <a:srgbClr val="00008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1.1000000000000008</c:v>
                </c:pt>
                <c:pt idx="102">
                  <c:v>1.2000000000000008</c:v>
                </c:pt>
                <c:pt idx="103">
                  <c:v>1.3000000000000009</c:v>
                </c:pt>
                <c:pt idx="104">
                  <c:v>1.400000000000001</c:v>
                </c:pt>
                <c:pt idx="105">
                  <c:v>1.5000000000000011</c:v>
                </c:pt>
                <c:pt idx="106">
                  <c:v>1.6000000000000012</c:v>
                </c:pt>
                <c:pt idx="107">
                  <c:v>1.7000000000000013</c:v>
                </c:pt>
                <c:pt idx="108">
                  <c:v>1.8000000000000014</c:v>
                </c:pt>
                <c:pt idx="109">
                  <c:v>1.9000000000000015</c:v>
                </c:pt>
                <c:pt idx="110">
                  <c:v>2.0000000000000013</c:v>
                </c:pt>
                <c:pt idx="111">
                  <c:v>2.1000000000000014</c:v>
                </c:pt>
                <c:pt idx="112">
                  <c:v>2.2000000000000015</c:v>
                </c:pt>
                <c:pt idx="113">
                  <c:v>2.3000000000000016</c:v>
                </c:pt>
                <c:pt idx="114">
                  <c:v>2.4000000000000017</c:v>
                </c:pt>
                <c:pt idx="115">
                  <c:v>2.5000000000000018</c:v>
                </c:pt>
                <c:pt idx="116">
                  <c:v>2.6000000000000019</c:v>
                </c:pt>
                <c:pt idx="117">
                  <c:v>2.700000000000002</c:v>
                </c:pt>
                <c:pt idx="118">
                  <c:v>2.800000000000002</c:v>
                </c:pt>
                <c:pt idx="119">
                  <c:v>2.9000000000000021</c:v>
                </c:pt>
                <c:pt idx="120">
                  <c:v>3.0000000000000022</c:v>
                </c:pt>
                <c:pt idx="121">
                  <c:v>3.1000000000000023</c:v>
                </c:pt>
                <c:pt idx="122">
                  <c:v>3.2000000000000024</c:v>
                </c:pt>
                <c:pt idx="123">
                  <c:v>3.3000000000000025</c:v>
                </c:pt>
                <c:pt idx="124">
                  <c:v>3.4000000000000026</c:v>
                </c:pt>
                <c:pt idx="125">
                  <c:v>3.5000000000000027</c:v>
                </c:pt>
                <c:pt idx="126">
                  <c:v>3.6000000000000028</c:v>
                </c:pt>
                <c:pt idx="127">
                  <c:v>3.7000000000000028</c:v>
                </c:pt>
                <c:pt idx="128">
                  <c:v>3.8000000000000029</c:v>
                </c:pt>
                <c:pt idx="129">
                  <c:v>3.900000000000003</c:v>
                </c:pt>
                <c:pt idx="130">
                  <c:v>4.0000000000000027</c:v>
                </c:pt>
                <c:pt idx="131">
                  <c:v>4.1000000000000023</c:v>
                </c:pt>
                <c:pt idx="132">
                  <c:v>4.200000000000002</c:v>
                </c:pt>
                <c:pt idx="133">
                  <c:v>4.3000000000000016</c:v>
                </c:pt>
                <c:pt idx="134">
                  <c:v>4.4000000000000012</c:v>
                </c:pt>
                <c:pt idx="135">
                  <c:v>4.5000000000000009</c:v>
                </c:pt>
                <c:pt idx="136">
                  <c:v>4.6000000000000005</c:v>
                </c:pt>
                <c:pt idx="137">
                  <c:v>4.7</c:v>
                </c:pt>
                <c:pt idx="138">
                  <c:v>4.8</c:v>
                </c:pt>
                <c:pt idx="139">
                  <c:v>4.8999999999999995</c:v>
                </c:pt>
                <c:pt idx="140">
                  <c:v>4.9999999999999991</c:v>
                </c:pt>
                <c:pt idx="141">
                  <c:v>5.0999999999999988</c:v>
                </c:pt>
                <c:pt idx="142">
                  <c:v>5.1999999999999984</c:v>
                </c:pt>
                <c:pt idx="143">
                  <c:v>5.299999999999998</c:v>
                </c:pt>
                <c:pt idx="144">
                  <c:v>5.3999999999999977</c:v>
                </c:pt>
                <c:pt idx="145">
                  <c:v>5.4999999999999973</c:v>
                </c:pt>
                <c:pt idx="146">
                  <c:v>5.599999999999997</c:v>
                </c:pt>
                <c:pt idx="147">
                  <c:v>5.6999999999999966</c:v>
                </c:pt>
                <c:pt idx="148">
                  <c:v>5.7999999999999963</c:v>
                </c:pt>
                <c:pt idx="149">
                  <c:v>5.8999999999999959</c:v>
                </c:pt>
                <c:pt idx="150">
                  <c:v>5.9999999999999956</c:v>
                </c:pt>
                <c:pt idx="151">
                  <c:v>6.0999999999999952</c:v>
                </c:pt>
                <c:pt idx="152">
                  <c:v>6.1999999999999948</c:v>
                </c:pt>
                <c:pt idx="153">
                  <c:v>6.2999999999999945</c:v>
                </c:pt>
                <c:pt idx="154">
                  <c:v>6.3999999999999941</c:v>
                </c:pt>
                <c:pt idx="155">
                  <c:v>6.4999999999999938</c:v>
                </c:pt>
                <c:pt idx="156">
                  <c:v>6.5999999999999934</c:v>
                </c:pt>
                <c:pt idx="157">
                  <c:v>6.6999999999999931</c:v>
                </c:pt>
                <c:pt idx="158">
                  <c:v>6.7999999999999927</c:v>
                </c:pt>
                <c:pt idx="159">
                  <c:v>6.8999999999999924</c:v>
                </c:pt>
                <c:pt idx="160">
                  <c:v>6.999999999999992</c:v>
                </c:pt>
                <c:pt idx="161">
                  <c:v>7.0999999999999917</c:v>
                </c:pt>
                <c:pt idx="162">
                  <c:v>7.1999999999999913</c:v>
                </c:pt>
                <c:pt idx="163">
                  <c:v>7.2999999999999909</c:v>
                </c:pt>
                <c:pt idx="164">
                  <c:v>7.3999999999999906</c:v>
                </c:pt>
                <c:pt idx="165">
                  <c:v>7.4999999999999902</c:v>
                </c:pt>
                <c:pt idx="166">
                  <c:v>7.5999999999999899</c:v>
                </c:pt>
                <c:pt idx="167">
                  <c:v>7.6999999999999895</c:v>
                </c:pt>
                <c:pt idx="168">
                  <c:v>7.7999999999999892</c:v>
                </c:pt>
                <c:pt idx="169">
                  <c:v>7.8999999999999888</c:v>
                </c:pt>
                <c:pt idx="170">
                  <c:v>7.9999999999999885</c:v>
                </c:pt>
                <c:pt idx="171">
                  <c:v>8.099999999999989</c:v>
                </c:pt>
                <c:pt idx="172">
                  <c:v>8.1999999999999886</c:v>
                </c:pt>
                <c:pt idx="173">
                  <c:v>8.2999999999999883</c:v>
                </c:pt>
                <c:pt idx="174">
                  <c:v>8.3999999999999879</c:v>
                </c:pt>
                <c:pt idx="175">
                  <c:v>8.4999999999999876</c:v>
                </c:pt>
                <c:pt idx="176">
                  <c:v>8.5999999999999872</c:v>
                </c:pt>
                <c:pt idx="177">
                  <c:v>8.6999999999999869</c:v>
                </c:pt>
                <c:pt idx="178">
                  <c:v>8.7999999999999865</c:v>
                </c:pt>
                <c:pt idx="179">
                  <c:v>8.8999999999999861</c:v>
                </c:pt>
                <c:pt idx="180">
                  <c:v>8.9999999999999858</c:v>
                </c:pt>
                <c:pt idx="181">
                  <c:v>9.0999999999999854</c:v>
                </c:pt>
                <c:pt idx="182">
                  <c:v>9.1999999999999851</c:v>
                </c:pt>
                <c:pt idx="183">
                  <c:v>9.2999999999999847</c:v>
                </c:pt>
                <c:pt idx="184">
                  <c:v>9.3999999999999844</c:v>
                </c:pt>
                <c:pt idx="185">
                  <c:v>9.499999999999984</c:v>
                </c:pt>
                <c:pt idx="186">
                  <c:v>9.5999999999999837</c:v>
                </c:pt>
                <c:pt idx="187">
                  <c:v>9.6999999999999833</c:v>
                </c:pt>
                <c:pt idx="188">
                  <c:v>9.7999999999999829</c:v>
                </c:pt>
                <c:pt idx="189">
                  <c:v>9.8999999999999826</c:v>
                </c:pt>
                <c:pt idx="190">
                  <c:v>9.9999999999999822</c:v>
                </c:pt>
                <c:pt idx="191">
                  <c:v>10.099999999999982</c:v>
                </c:pt>
                <c:pt idx="192">
                  <c:v>10.199999999999982</c:v>
                </c:pt>
                <c:pt idx="193">
                  <c:v>10.299999999999981</c:v>
                </c:pt>
                <c:pt idx="194">
                  <c:v>10.399999999999981</c:v>
                </c:pt>
                <c:pt idx="195">
                  <c:v>10.49999999999998</c:v>
                </c:pt>
                <c:pt idx="196">
                  <c:v>10.59999999999998</c:v>
                </c:pt>
                <c:pt idx="197">
                  <c:v>10.69999999999998</c:v>
                </c:pt>
                <c:pt idx="198">
                  <c:v>10.799999999999979</c:v>
                </c:pt>
                <c:pt idx="199">
                  <c:v>10.899999999999979</c:v>
                </c:pt>
                <c:pt idx="200">
                  <c:v>10.999999999999979</c:v>
                </c:pt>
                <c:pt idx="201">
                  <c:v>11.099999999999978</c:v>
                </c:pt>
                <c:pt idx="202">
                  <c:v>11.199999999999978</c:v>
                </c:pt>
                <c:pt idx="203">
                  <c:v>11.299999999999978</c:v>
                </c:pt>
                <c:pt idx="204">
                  <c:v>11.399999999999977</c:v>
                </c:pt>
                <c:pt idx="205">
                  <c:v>11.499999999999977</c:v>
                </c:pt>
                <c:pt idx="206">
                  <c:v>11.599999999999977</c:v>
                </c:pt>
                <c:pt idx="207">
                  <c:v>11.699999999999976</c:v>
                </c:pt>
                <c:pt idx="208">
                  <c:v>11.799999999999976</c:v>
                </c:pt>
                <c:pt idx="209">
                  <c:v>11.899999999999975</c:v>
                </c:pt>
                <c:pt idx="210">
                  <c:v>11.999999999999975</c:v>
                </c:pt>
                <c:pt idx="211">
                  <c:v>12.099999999999975</c:v>
                </c:pt>
                <c:pt idx="212">
                  <c:v>12.199999999999974</c:v>
                </c:pt>
                <c:pt idx="213">
                  <c:v>12.299999999999974</c:v>
                </c:pt>
                <c:pt idx="214">
                  <c:v>12.399999999999974</c:v>
                </c:pt>
                <c:pt idx="215">
                  <c:v>12.499999999999973</c:v>
                </c:pt>
                <c:pt idx="216">
                  <c:v>12.599999999999973</c:v>
                </c:pt>
                <c:pt idx="217">
                  <c:v>12.699999999999973</c:v>
                </c:pt>
                <c:pt idx="218">
                  <c:v>12.799999999999972</c:v>
                </c:pt>
                <c:pt idx="219">
                  <c:v>12.899999999999972</c:v>
                </c:pt>
                <c:pt idx="220">
                  <c:v>12.999999999999972</c:v>
                </c:pt>
                <c:pt idx="221">
                  <c:v>13.099999999999971</c:v>
                </c:pt>
                <c:pt idx="222">
                  <c:v>13.199999999999971</c:v>
                </c:pt>
                <c:pt idx="223">
                  <c:v>13.299999999999971</c:v>
                </c:pt>
                <c:pt idx="224">
                  <c:v>13.39999999999997</c:v>
                </c:pt>
                <c:pt idx="225">
                  <c:v>13.49999999999997</c:v>
                </c:pt>
                <c:pt idx="226">
                  <c:v>13.599999999999969</c:v>
                </c:pt>
                <c:pt idx="227">
                  <c:v>13.699999999999969</c:v>
                </c:pt>
                <c:pt idx="228">
                  <c:v>13.799999999999969</c:v>
                </c:pt>
                <c:pt idx="229">
                  <c:v>13.899999999999968</c:v>
                </c:pt>
                <c:pt idx="230">
                  <c:v>13.999999999999968</c:v>
                </c:pt>
                <c:pt idx="231">
                  <c:v>14.099999999999968</c:v>
                </c:pt>
                <c:pt idx="232">
                  <c:v>14.199999999999967</c:v>
                </c:pt>
                <c:pt idx="233">
                  <c:v>14.299999999999967</c:v>
                </c:pt>
                <c:pt idx="234">
                  <c:v>14.399999999999967</c:v>
                </c:pt>
                <c:pt idx="235">
                  <c:v>14.499999999999966</c:v>
                </c:pt>
                <c:pt idx="236">
                  <c:v>14.599999999999966</c:v>
                </c:pt>
                <c:pt idx="237">
                  <c:v>14.699999999999966</c:v>
                </c:pt>
                <c:pt idx="238">
                  <c:v>14.799999999999965</c:v>
                </c:pt>
                <c:pt idx="239">
                  <c:v>14.899999999999965</c:v>
                </c:pt>
                <c:pt idx="240">
                  <c:v>14.999999999999964</c:v>
                </c:pt>
                <c:pt idx="241">
                  <c:v>15.099999999999964</c:v>
                </c:pt>
                <c:pt idx="242">
                  <c:v>15.199999999999964</c:v>
                </c:pt>
                <c:pt idx="243">
                  <c:v>15.299999999999963</c:v>
                </c:pt>
                <c:pt idx="244">
                  <c:v>15.399999999999963</c:v>
                </c:pt>
                <c:pt idx="245">
                  <c:v>15.499999999999963</c:v>
                </c:pt>
                <c:pt idx="246">
                  <c:v>15.599999999999962</c:v>
                </c:pt>
                <c:pt idx="247">
                  <c:v>15.699999999999962</c:v>
                </c:pt>
                <c:pt idx="248">
                  <c:v>15.799999999999962</c:v>
                </c:pt>
                <c:pt idx="249">
                  <c:v>15.899999999999961</c:v>
                </c:pt>
                <c:pt idx="250">
                  <c:v>15.999999999999961</c:v>
                </c:pt>
                <c:pt idx="251">
                  <c:v>16.099999999999962</c:v>
                </c:pt>
                <c:pt idx="252">
                  <c:v>16.199999999999964</c:v>
                </c:pt>
                <c:pt idx="253">
                  <c:v>16.299999999999965</c:v>
                </c:pt>
                <c:pt idx="254">
                  <c:v>16.399999999999967</c:v>
                </c:pt>
                <c:pt idx="255">
                  <c:v>16.499999999999968</c:v>
                </c:pt>
                <c:pt idx="256">
                  <c:v>16.599999999999969</c:v>
                </c:pt>
                <c:pt idx="257">
                  <c:v>16.699999999999971</c:v>
                </c:pt>
                <c:pt idx="258">
                  <c:v>16.799999999999972</c:v>
                </c:pt>
                <c:pt idx="259">
                  <c:v>16.899999999999974</c:v>
                </c:pt>
                <c:pt idx="260">
                  <c:v>16.999999999999975</c:v>
                </c:pt>
                <c:pt idx="261">
                  <c:v>17.099999999999977</c:v>
                </c:pt>
                <c:pt idx="262">
                  <c:v>17.199999999999978</c:v>
                </c:pt>
                <c:pt idx="263">
                  <c:v>17.299999999999979</c:v>
                </c:pt>
                <c:pt idx="264">
                  <c:v>17.399999999999981</c:v>
                </c:pt>
                <c:pt idx="265">
                  <c:v>17.499999999999982</c:v>
                </c:pt>
                <c:pt idx="266">
                  <c:v>17.599999999999984</c:v>
                </c:pt>
                <c:pt idx="267">
                  <c:v>17.699999999999985</c:v>
                </c:pt>
                <c:pt idx="268">
                  <c:v>17.799999999999986</c:v>
                </c:pt>
                <c:pt idx="269">
                  <c:v>17.899999999999988</c:v>
                </c:pt>
                <c:pt idx="270">
                  <c:v>17.999999999999989</c:v>
                </c:pt>
                <c:pt idx="271">
                  <c:v>18.099999999999991</c:v>
                </c:pt>
                <c:pt idx="272">
                  <c:v>18.199999999999992</c:v>
                </c:pt>
                <c:pt idx="273">
                  <c:v>18.299999999999994</c:v>
                </c:pt>
                <c:pt idx="274">
                  <c:v>18.399999999999995</c:v>
                </c:pt>
                <c:pt idx="275">
                  <c:v>18.499999999999996</c:v>
                </c:pt>
                <c:pt idx="276">
                  <c:v>18.599999999999998</c:v>
                </c:pt>
                <c:pt idx="277">
                  <c:v>18.7</c:v>
                </c:pt>
                <c:pt idx="278">
                  <c:v>18.8</c:v>
                </c:pt>
                <c:pt idx="279">
                  <c:v>18.900000000000002</c:v>
                </c:pt>
                <c:pt idx="280">
                  <c:v>19.000000000000004</c:v>
                </c:pt>
                <c:pt idx="281">
                  <c:v>19.100000000000005</c:v>
                </c:pt>
                <c:pt idx="282">
                  <c:v>19.200000000000006</c:v>
                </c:pt>
                <c:pt idx="283">
                  <c:v>19.300000000000008</c:v>
                </c:pt>
                <c:pt idx="284">
                  <c:v>19.400000000000009</c:v>
                </c:pt>
                <c:pt idx="285">
                  <c:v>19.500000000000011</c:v>
                </c:pt>
                <c:pt idx="286">
                  <c:v>19.600000000000012</c:v>
                </c:pt>
                <c:pt idx="287">
                  <c:v>19.700000000000014</c:v>
                </c:pt>
                <c:pt idx="288">
                  <c:v>19.800000000000015</c:v>
                </c:pt>
                <c:pt idx="289">
                  <c:v>19.900000000000016</c:v>
                </c:pt>
                <c:pt idx="290">
                  <c:v>20.000000000000018</c:v>
                </c:pt>
                <c:pt idx="291">
                  <c:v>20.100000000000019</c:v>
                </c:pt>
                <c:pt idx="292">
                  <c:v>20.200000000000021</c:v>
                </c:pt>
                <c:pt idx="293">
                  <c:v>20.300000000000022</c:v>
                </c:pt>
                <c:pt idx="294">
                  <c:v>20.400000000000023</c:v>
                </c:pt>
                <c:pt idx="295">
                  <c:v>20.500000000000025</c:v>
                </c:pt>
                <c:pt idx="296">
                  <c:v>20.600000000000026</c:v>
                </c:pt>
                <c:pt idx="297">
                  <c:v>20.700000000000028</c:v>
                </c:pt>
                <c:pt idx="298">
                  <c:v>20.800000000000029</c:v>
                </c:pt>
                <c:pt idx="299">
                  <c:v>20.900000000000031</c:v>
                </c:pt>
                <c:pt idx="300">
                  <c:v>21.000000000000032</c:v>
                </c:pt>
                <c:pt idx="301">
                  <c:v>21.100000000000033</c:v>
                </c:pt>
                <c:pt idx="302">
                  <c:v>21.200000000000035</c:v>
                </c:pt>
                <c:pt idx="303">
                  <c:v>21.300000000000036</c:v>
                </c:pt>
                <c:pt idx="304">
                  <c:v>21.400000000000038</c:v>
                </c:pt>
                <c:pt idx="305">
                  <c:v>21.500000000000039</c:v>
                </c:pt>
                <c:pt idx="306">
                  <c:v>21.600000000000041</c:v>
                </c:pt>
                <c:pt idx="307">
                  <c:v>21.700000000000042</c:v>
                </c:pt>
                <c:pt idx="308">
                  <c:v>21.800000000000043</c:v>
                </c:pt>
                <c:pt idx="309">
                  <c:v>21.900000000000045</c:v>
                </c:pt>
                <c:pt idx="310">
                  <c:v>22.000000000000046</c:v>
                </c:pt>
                <c:pt idx="311">
                  <c:v>22.100000000000048</c:v>
                </c:pt>
                <c:pt idx="312">
                  <c:v>22.200000000000049</c:v>
                </c:pt>
                <c:pt idx="313">
                  <c:v>22.30000000000005</c:v>
                </c:pt>
                <c:pt idx="314">
                  <c:v>22.400000000000052</c:v>
                </c:pt>
                <c:pt idx="315">
                  <c:v>22.500000000000053</c:v>
                </c:pt>
                <c:pt idx="316">
                  <c:v>22.600000000000055</c:v>
                </c:pt>
                <c:pt idx="317">
                  <c:v>22.700000000000056</c:v>
                </c:pt>
                <c:pt idx="318">
                  <c:v>22.800000000000058</c:v>
                </c:pt>
                <c:pt idx="319">
                  <c:v>22.900000000000059</c:v>
                </c:pt>
                <c:pt idx="320">
                  <c:v>23.00000000000006</c:v>
                </c:pt>
                <c:pt idx="321">
                  <c:v>23.100000000000062</c:v>
                </c:pt>
                <c:pt idx="322">
                  <c:v>23.200000000000063</c:v>
                </c:pt>
                <c:pt idx="323">
                  <c:v>23.300000000000065</c:v>
                </c:pt>
                <c:pt idx="324">
                  <c:v>23.400000000000066</c:v>
                </c:pt>
                <c:pt idx="325">
                  <c:v>23.500000000000068</c:v>
                </c:pt>
                <c:pt idx="326">
                  <c:v>23.600000000000069</c:v>
                </c:pt>
                <c:pt idx="327">
                  <c:v>23.70000000000007</c:v>
                </c:pt>
                <c:pt idx="328">
                  <c:v>23.800000000000072</c:v>
                </c:pt>
                <c:pt idx="329">
                  <c:v>23.900000000000073</c:v>
                </c:pt>
                <c:pt idx="330">
                  <c:v>24.000000000000075</c:v>
                </c:pt>
                <c:pt idx="331">
                  <c:v>24.100000000000076</c:v>
                </c:pt>
                <c:pt idx="332">
                  <c:v>24.200000000000077</c:v>
                </c:pt>
                <c:pt idx="333">
                  <c:v>24.300000000000079</c:v>
                </c:pt>
                <c:pt idx="334">
                  <c:v>24.40000000000008</c:v>
                </c:pt>
                <c:pt idx="335">
                  <c:v>24.500000000000082</c:v>
                </c:pt>
                <c:pt idx="336">
                  <c:v>24.600000000000083</c:v>
                </c:pt>
                <c:pt idx="337">
                  <c:v>24.700000000000085</c:v>
                </c:pt>
                <c:pt idx="338">
                  <c:v>24.800000000000086</c:v>
                </c:pt>
                <c:pt idx="339">
                  <c:v>24.900000000000087</c:v>
                </c:pt>
                <c:pt idx="340">
                  <c:v>25.000000000000089</c:v>
                </c:pt>
                <c:pt idx="341">
                  <c:v>25.10000000000009</c:v>
                </c:pt>
                <c:pt idx="342">
                  <c:v>25.200000000000092</c:v>
                </c:pt>
                <c:pt idx="343">
                  <c:v>25.300000000000093</c:v>
                </c:pt>
                <c:pt idx="344">
                  <c:v>25.400000000000095</c:v>
                </c:pt>
                <c:pt idx="345">
                  <c:v>25.500000000000096</c:v>
                </c:pt>
                <c:pt idx="346">
                  <c:v>25.600000000000097</c:v>
                </c:pt>
                <c:pt idx="347">
                  <c:v>25.700000000000099</c:v>
                </c:pt>
                <c:pt idx="348">
                  <c:v>25.8000000000001</c:v>
                </c:pt>
                <c:pt idx="349">
                  <c:v>25.900000000000102</c:v>
                </c:pt>
                <c:pt idx="350">
                  <c:v>26.000000000000103</c:v>
                </c:pt>
                <c:pt idx="351">
                  <c:v>26.100000000000104</c:v>
                </c:pt>
                <c:pt idx="352">
                  <c:v>26.200000000000106</c:v>
                </c:pt>
                <c:pt idx="353">
                  <c:v>26.300000000000107</c:v>
                </c:pt>
                <c:pt idx="354">
                  <c:v>26.400000000000109</c:v>
                </c:pt>
                <c:pt idx="355">
                  <c:v>26.50000000000011</c:v>
                </c:pt>
                <c:pt idx="356">
                  <c:v>26.600000000000112</c:v>
                </c:pt>
                <c:pt idx="357">
                  <c:v>26.700000000000113</c:v>
                </c:pt>
                <c:pt idx="358">
                  <c:v>26.800000000000114</c:v>
                </c:pt>
                <c:pt idx="359">
                  <c:v>26.900000000000116</c:v>
                </c:pt>
                <c:pt idx="360">
                  <c:v>27.000000000000117</c:v>
                </c:pt>
                <c:pt idx="361">
                  <c:v>27.100000000000119</c:v>
                </c:pt>
                <c:pt idx="362">
                  <c:v>27.20000000000012</c:v>
                </c:pt>
                <c:pt idx="363">
                  <c:v>27.300000000000122</c:v>
                </c:pt>
                <c:pt idx="364">
                  <c:v>27.400000000000123</c:v>
                </c:pt>
                <c:pt idx="365">
                  <c:v>27.500000000000124</c:v>
                </c:pt>
                <c:pt idx="366">
                  <c:v>27.600000000000126</c:v>
                </c:pt>
                <c:pt idx="367">
                  <c:v>27.700000000000127</c:v>
                </c:pt>
                <c:pt idx="368">
                  <c:v>27.800000000000129</c:v>
                </c:pt>
                <c:pt idx="369">
                  <c:v>27.90000000000013</c:v>
                </c:pt>
                <c:pt idx="370">
                  <c:v>28.000000000000131</c:v>
                </c:pt>
                <c:pt idx="371">
                  <c:v>28.100000000000133</c:v>
                </c:pt>
                <c:pt idx="372">
                  <c:v>28.200000000000134</c:v>
                </c:pt>
                <c:pt idx="373">
                  <c:v>28.300000000000136</c:v>
                </c:pt>
                <c:pt idx="374">
                  <c:v>28.400000000000137</c:v>
                </c:pt>
                <c:pt idx="375">
                  <c:v>28.500000000000139</c:v>
                </c:pt>
                <c:pt idx="376">
                  <c:v>28.60000000000014</c:v>
                </c:pt>
                <c:pt idx="377">
                  <c:v>28.700000000000141</c:v>
                </c:pt>
                <c:pt idx="378">
                  <c:v>28.800000000000143</c:v>
                </c:pt>
                <c:pt idx="379">
                  <c:v>28.900000000000144</c:v>
                </c:pt>
                <c:pt idx="380">
                  <c:v>29.000000000000146</c:v>
                </c:pt>
                <c:pt idx="381">
                  <c:v>29.100000000000147</c:v>
                </c:pt>
                <c:pt idx="382">
                  <c:v>29.200000000000149</c:v>
                </c:pt>
                <c:pt idx="383">
                  <c:v>29.200100000000148</c:v>
                </c:pt>
                <c:pt idx="384">
                  <c:v>29.200200000000148</c:v>
                </c:pt>
                <c:pt idx="385">
                  <c:v>29.200300000000148</c:v>
                </c:pt>
                <c:pt idx="386">
                  <c:v>29.200400000000148</c:v>
                </c:pt>
                <c:pt idx="387">
                  <c:v>29.200500000000147</c:v>
                </c:pt>
                <c:pt idx="388">
                  <c:v>29.200600000000147</c:v>
                </c:pt>
                <c:pt idx="389">
                  <c:v>29.200700000000147</c:v>
                </c:pt>
                <c:pt idx="390">
                  <c:v>29.200800000000147</c:v>
                </c:pt>
                <c:pt idx="391">
                  <c:v>29.200900000000146</c:v>
                </c:pt>
                <c:pt idx="392">
                  <c:v>29.201000000000146</c:v>
                </c:pt>
                <c:pt idx="393">
                  <c:v>29.201100000000146</c:v>
                </c:pt>
                <c:pt idx="394">
                  <c:v>29.201200000000146</c:v>
                </c:pt>
                <c:pt idx="395">
                  <c:v>29.201300000000145</c:v>
                </c:pt>
                <c:pt idx="396">
                  <c:v>29.201400000000145</c:v>
                </c:pt>
                <c:pt idx="397">
                  <c:v>29.201500000000145</c:v>
                </c:pt>
                <c:pt idx="398">
                  <c:v>29.201600000000145</c:v>
                </c:pt>
                <c:pt idx="399">
                  <c:v>29.201700000000145</c:v>
                </c:pt>
                <c:pt idx="400">
                  <c:v>29.201800000000144</c:v>
                </c:pt>
                <c:pt idx="401">
                  <c:v>29.201900000000144</c:v>
                </c:pt>
                <c:pt idx="402">
                  <c:v>29.202000000000144</c:v>
                </c:pt>
                <c:pt idx="403">
                  <c:v>29.202100000000144</c:v>
                </c:pt>
                <c:pt idx="404">
                  <c:v>29.202200000000143</c:v>
                </c:pt>
                <c:pt idx="405">
                  <c:v>29.202300000000143</c:v>
                </c:pt>
                <c:pt idx="406">
                  <c:v>29.202400000000143</c:v>
                </c:pt>
                <c:pt idx="407">
                  <c:v>29.202500000000143</c:v>
                </c:pt>
                <c:pt idx="408">
                  <c:v>29.202600000000142</c:v>
                </c:pt>
                <c:pt idx="409">
                  <c:v>29.202700000000142</c:v>
                </c:pt>
                <c:pt idx="410">
                  <c:v>29.202800000000142</c:v>
                </c:pt>
                <c:pt idx="411">
                  <c:v>29.202900000000142</c:v>
                </c:pt>
                <c:pt idx="412">
                  <c:v>29.203000000000142</c:v>
                </c:pt>
                <c:pt idx="413">
                  <c:v>29.203100000000141</c:v>
                </c:pt>
                <c:pt idx="414">
                  <c:v>29.203200000000141</c:v>
                </c:pt>
                <c:pt idx="415">
                  <c:v>29.203300000000141</c:v>
                </c:pt>
                <c:pt idx="416">
                  <c:v>29.203400000000141</c:v>
                </c:pt>
                <c:pt idx="417">
                  <c:v>29.20350000000014</c:v>
                </c:pt>
                <c:pt idx="418">
                  <c:v>29.20360000000014</c:v>
                </c:pt>
                <c:pt idx="419">
                  <c:v>29.20370000000014</c:v>
                </c:pt>
                <c:pt idx="420">
                  <c:v>29.20380000000014</c:v>
                </c:pt>
                <c:pt idx="421">
                  <c:v>29.203900000000139</c:v>
                </c:pt>
                <c:pt idx="422">
                  <c:v>29.204000000000139</c:v>
                </c:pt>
                <c:pt idx="423">
                  <c:v>29.204100000000139</c:v>
                </c:pt>
                <c:pt idx="424">
                  <c:v>29.204200000000139</c:v>
                </c:pt>
                <c:pt idx="425">
                  <c:v>29.204300000000138</c:v>
                </c:pt>
                <c:pt idx="426">
                  <c:v>29.204400000000138</c:v>
                </c:pt>
                <c:pt idx="427">
                  <c:v>29.204500000000138</c:v>
                </c:pt>
                <c:pt idx="428">
                  <c:v>29.204600000000138</c:v>
                </c:pt>
                <c:pt idx="429">
                  <c:v>29.204700000000138</c:v>
                </c:pt>
                <c:pt idx="430">
                  <c:v>29.204800000000137</c:v>
                </c:pt>
                <c:pt idx="431">
                  <c:v>29.204900000000137</c:v>
                </c:pt>
                <c:pt idx="432">
                  <c:v>29.205000000000137</c:v>
                </c:pt>
                <c:pt idx="433">
                  <c:v>29.205100000000137</c:v>
                </c:pt>
                <c:pt idx="434">
                  <c:v>29.205200000000136</c:v>
                </c:pt>
                <c:pt idx="435">
                  <c:v>29.205300000000136</c:v>
                </c:pt>
                <c:pt idx="436">
                  <c:v>29.205400000000136</c:v>
                </c:pt>
                <c:pt idx="437">
                  <c:v>29.205500000000136</c:v>
                </c:pt>
                <c:pt idx="438">
                  <c:v>29.205600000000135</c:v>
                </c:pt>
                <c:pt idx="439">
                  <c:v>29.205700000000135</c:v>
                </c:pt>
                <c:pt idx="440">
                  <c:v>29.205800000000135</c:v>
                </c:pt>
                <c:pt idx="441">
                  <c:v>29.205900000000135</c:v>
                </c:pt>
                <c:pt idx="442">
                  <c:v>29.206000000000135</c:v>
                </c:pt>
                <c:pt idx="443">
                  <c:v>29.206100000000134</c:v>
                </c:pt>
                <c:pt idx="444">
                  <c:v>29.206200000000134</c:v>
                </c:pt>
                <c:pt idx="445">
                  <c:v>29.206300000000134</c:v>
                </c:pt>
                <c:pt idx="446">
                  <c:v>29.206400000000134</c:v>
                </c:pt>
                <c:pt idx="447">
                  <c:v>29.206500000000133</c:v>
                </c:pt>
                <c:pt idx="448">
                  <c:v>29.206600000000133</c:v>
                </c:pt>
                <c:pt idx="449">
                  <c:v>29.206700000000133</c:v>
                </c:pt>
                <c:pt idx="450">
                  <c:v>29.206800000000133</c:v>
                </c:pt>
                <c:pt idx="451">
                  <c:v>29.206900000000132</c:v>
                </c:pt>
                <c:pt idx="452">
                  <c:v>29.207000000000132</c:v>
                </c:pt>
                <c:pt idx="453">
                  <c:v>29.207100000000132</c:v>
                </c:pt>
                <c:pt idx="454">
                  <c:v>29.207200000000132</c:v>
                </c:pt>
                <c:pt idx="455">
                  <c:v>29.207300000000131</c:v>
                </c:pt>
                <c:pt idx="456">
                  <c:v>29.207400000000131</c:v>
                </c:pt>
                <c:pt idx="457">
                  <c:v>29.207500000000131</c:v>
                </c:pt>
                <c:pt idx="458">
                  <c:v>29.207600000000131</c:v>
                </c:pt>
                <c:pt idx="459">
                  <c:v>29.207700000000131</c:v>
                </c:pt>
                <c:pt idx="460">
                  <c:v>29.20780000000013</c:v>
                </c:pt>
                <c:pt idx="461">
                  <c:v>29.20790000000013</c:v>
                </c:pt>
                <c:pt idx="462">
                  <c:v>29.20800000000013</c:v>
                </c:pt>
                <c:pt idx="463">
                  <c:v>29.20810000000013</c:v>
                </c:pt>
                <c:pt idx="464">
                  <c:v>29.208200000000129</c:v>
                </c:pt>
                <c:pt idx="465">
                  <c:v>29.208300000000129</c:v>
                </c:pt>
                <c:pt idx="466">
                  <c:v>29.208400000000129</c:v>
                </c:pt>
                <c:pt idx="467">
                  <c:v>29.208500000000129</c:v>
                </c:pt>
                <c:pt idx="468">
                  <c:v>29.208600000000128</c:v>
                </c:pt>
                <c:pt idx="469">
                  <c:v>29.208700000000128</c:v>
                </c:pt>
                <c:pt idx="470">
                  <c:v>29.208800000000128</c:v>
                </c:pt>
                <c:pt idx="471">
                  <c:v>29.208900000000128</c:v>
                </c:pt>
                <c:pt idx="472">
                  <c:v>29.209000000000128</c:v>
                </c:pt>
                <c:pt idx="473">
                  <c:v>29.209100000000127</c:v>
                </c:pt>
                <c:pt idx="474">
                  <c:v>29.209200000000127</c:v>
                </c:pt>
                <c:pt idx="475">
                  <c:v>29.209300000000127</c:v>
                </c:pt>
                <c:pt idx="476">
                  <c:v>29.209400000000127</c:v>
                </c:pt>
                <c:pt idx="477">
                  <c:v>29.209500000000126</c:v>
                </c:pt>
                <c:pt idx="478">
                  <c:v>29.209600000000126</c:v>
                </c:pt>
                <c:pt idx="479">
                  <c:v>29.209700000000126</c:v>
                </c:pt>
                <c:pt idx="480">
                  <c:v>29.209800000000126</c:v>
                </c:pt>
                <c:pt idx="481">
                  <c:v>29.209900000000125</c:v>
                </c:pt>
                <c:pt idx="482">
                  <c:v>29.210000000000125</c:v>
                </c:pt>
                <c:pt idx="483">
                  <c:v>29.210100000000125</c:v>
                </c:pt>
                <c:pt idx="484">
                  <c:v>29.210200000000125</c:v>
                </c:pt>
                <c:pt idx="485">
                  <c:v>29.210300000000124</c:v>
                </c:pt>
                <c:pt idx="486">
                  <c:v>29.210400000000124</c:v>
                </c:pt>
                <c:pt idx="487">
                  <c:v>29.210500000000124</c:v>
                </c:pt>
                <c:pt idx="488">
                  <c:v>29.210600000000124</c:v>
                </c:pt>
                <c:pt idx="489">
                  <c:v>29.210700000000124</c:v>
                </c:pt>
                <c:pt idx="490">
                  <c:v>29.210800000000123</c:v>
                </c:pt>
                <c:pt idx="491">
                  <c:v>29.210900000000123</c:v>
                </c:pt>
                <c:pt idx="492">
                  <c:v>29.211000000000123</c:v>
                </c:pt>
                <c:pt idx="493">
                  <c:v>29.211100000000123</c:v>
                </c:pt>
                <c:pt idx="494">
                  <c:v>29.211200000000122</c:v>
                </c:pt>
                <c:pt idx="495">
                  <c:v>29.211300000000122</c:v>
                </c:pt>
                <c:pt idx="496">
                  <c:v>29.211400000000122</c:v>
                </c:pt>
                <c:pt idx="497">
                  <c:v>29.211500000000122</c:v>
                </c:pt>
                <c:pt idx="498">
                  <c:v>29.211600000000121</c:v>
                </c:pt>
                <c:pt idx="499">
                  <c:v>29.211700000000121</c:v>
                </c:pt>
                <c:pt idx="500">
                  <c:v>29.211800000000121</c:v>
                </c:pt>
                <c:pt idx="501">
                  <c:v>29.211900000000121</c:v>
                </c:pt>
                <c:pt idx="502">
                  <c:v>29.212000000000121</c:v>
                </c:pt>
                <c:pt idx="503">
                  <c:v>29.21210000000012</c:v>
                </c:pt>
                <c:pt idx="504">
                  <c:v>29.21220000000012</c:v>
                </c:pt>
                <c:pt idx="505">
                  <c:v>29.21230000000012</c:v>
                </c:pt>
                <c:pt idx="506">
                  <c:v>29.21240000000012</c:v>
                </c:pt>
                <c:pt idx="507">
                  <c:v>29.212500000000119</c:v>
                </c:pt>
                <c:pt idx="508">
                  <c:v>29.212600000000119</c:v>
                </c:pt>
                <c:pt idx="509">
                  <c:v>29.212700000000119</c:v>
                </c:pt>
                <c:pt idx="510">
                  <c:v>29.212800000000119</c:v>
                </c:pt>
                <c:pt idx="511">
                  <c:v>29.212900000000118</c:v>
                </c:pt>
                <c:pt idx="512">
                  <c:v>29.213000000000118</c:v>
                </c:pt>
                <c:pt idx="513">
                  <c:v>29.213100000000118</c:v>
                </c:pt>
                <c:pt idx="514">
                  <c:v>29.213200000000118</c:v>
                </c:pt>
                <c:pt idx="515">
                  <c:v>29.213300000000118</c:v>
                </c:pt>
                <c:pt idx="516">
                  <c:v>29.213400000000117</c:v>
                </c:pt>
                <c:pt idx="517">
                  <c:v>29.213500000000117</c:v>
                </c:pt>
                <c:pt idx="518">
                  <c:v>29.213600000000117</c:v>
                </c:pt>
                <c:pt idx="519">
                  <c:v>29.213700000000117</c:v>
                </c:pt>
                <c:pt idx="520">
                  <c:v>29.213800000000116</c:v>
                </c:pt>
                <c:pt idx="521">
                  <c:v>29.213900000000116</c:v>
                </c:pt>
                <c:pt idx="522">
                  <c:v>29.214000000000116</c:v>
                </c:pt>
                <c:pt idx="523">
                  <c:v>29.214100000000116</c:v>
                </c:pt>
                <c:pt idx="524">
                  <c:v>29.214200000000115</c:v>
                </c:pt>
                <c:pt idx="525">
                  <c:v>29.214300000000115</c:v>
                </c:pt>
                <c:pt idx="526">
                  <c:v>29.214400000000115</c:v>
                </c:pt>
                <c:pt idx="527">
                  <c:v>29.214500000000115</c:v>
                </c:pt>
                <c:pt idx="528">
                  <c:v>29.214600000000114</c:v>
                </c:pt>
                <c:pt idx="529">
                  <c:v>29.214700000000114</c:v>
                </c:pt>
                <c:pt idx="530">
                  <c:v>29.214800000000114</c:v>
                </c:pt>
                <c:pt idx="531">
                  <c:v>29.214900000000114</c:v>
                </c:pt>
                <c:pt idx="532">
                  <c:v>29.215000000000114</c:v>
                </c:pt>
                <c:pt idx="533">
                  <c:v>29.215100000000113</c:v>
                </c:pt>
                <c:pt idx="534">
                  <c:v>29.215200000000113</c:v>
                </c:pt>
                <c:pt idx="535">
                  <c:v>29.215300000000113</c:v>
                </c:pt>
                <c:pt idx="536">
                  <c:v>29.215400000000113</c:v>
                </c:pt>
                <c:pt idx="537">
                  <c:v>29.215500000000112</c:v>
                </c:pt>
                <c:pt idx="538">
                  <c:v>29.215600000000112</c:v>
                </c:pt>
                <c:pt idx="539">
                  <c:v>29.215700000000112</c:v>
                </c:pt>
                <c:pt idx="540">
                  <c:v>29.215800000000112</c:v>
                </c:pt>
                <c:pt idx="541">
                  <c:v>29.215900000000111</c:v>
                </c:pt>
                <c:pt idx="542">
                  <c:v>29.216000000000111</c:v>
                </c:pt>
                <c:pt idx="543">
                  <c:v>29.216100000000111</c:v>
                </c:pt>
                <c:pt idx="544">
                  <c:v>29.216200000000111</c:v>
                </c:pt>
                <c:pt idx="545">
                  <c:v>29.216300000000111</c:v>
                </c:pt>
                <c:pt idx="546">
                  <c:v>29.21640000000011</c:v>
                </c:pt>
                <c:pt idx="547">
                  <c:v>29.21650000000011</c:v>
                </c:pt>
                <c:pt idx="548">
                  <c:v>29.21660000000011</c:v>
                </c:pt>
                <c:pt idx="549">
                  <c:v>29.21670000000011</c:v>
                </c:pt>
                <c:pt idx="550">
                  <c:v>29.216800000000109</c:v>
                </c:pt>
                <c:pt idx="551">
                  <c:v>29.216900000000109</c:v>
                </c:pt>
                <c:pt idx="552">
                  <c:v>29.217000000000109</c:v>
                </c:pt>
                <c:pt idx="553">
                  <c:v>29.217100000000109</c:v>
                </c:pt>
                <c:pt idx="554">
                  <c:v>29.217200000000108</c:v>
                </c:pt>
                <c:pt idx="555">
                  <c:v>29.217300000000108</c:v>
                </c:pt>
                <c:pt idx="556">
                  <c:v>29.217400000000108</c:v>
                </c:pt>
                <c:pt idx="557">
                  <c:v>29.217500000000108</c:v>
                </c:pt>
                <c:pt idx="558">
                  <c:v>29.217600000000107</c:v>
                </c:pt>
                <c:pt idx="559">
                  <c:v>29.217700000000107</c:v>
                </c:pt>
                <c:pt idx="560">
                  <c:v>29.217800000000107</c:v>
                </c:pt>
                <c:pt idx="561">
                  <c:v>29.217900000000107</c:v>
                </c:pt>
                <c:pt idx="562">
                  <c:v>29.218000000000107</c:v>
                </c:pt>
                <c:pt idx="563">
                  <c:v>29.218100000000106</c:v>
                </c:pt>
                <c:pt idx="564">
                  <c:v>29.218200000000106</c:v>
                </c:pt>
                <c:pt idx="565">
                  <c:v>29.218300000000106</c:v>
                </c:pt>
                <c:pt idx="566">
                  <c:v>29.218400000000106</c:v>
                </c:pt>
                <c:pt idx="567">
                  <c:v>29.218500000000105</c:v>
                </c:pt>
                <c:pt idx="568">
                  <c:v>29.218600000000105</c:v>
                </c:pt>
                <c:pt idx="569">
                  <c:v>29.218700000000105</c:v>
                </c:pt>
                <c:pt idx="570">
                  <c:v>29.218800000000105</c:v>
                </c:pt>
                <c:pt idx="571">
                  <c:v>29.218900000000104</c:v>
                </c:pt>
                <c:pt idx="572">
                  <c:v>29.219000000000104</c:v>
                </c:pt>
                <c:pt idx="573">
                  <c:v>29.219100000000104</c:v>
                </c:pt>
                <c:pt idx="574">
                  <c:v>29.219200000000104</c:v>
                </c:pt>
                <c:pt idx="575">
                  <c:v>29.219300000000104</c:v>
                </c:pt>
                <c:pt idx="576">
                  <c:v>29.219400000000103</c:v>
                </c:pt>
                <c:pt idx="577">
                  <c:v>29.219500000000103</c:v>
                </c:pt>
                <c:pt idx="578">
                  <c:v>29.219600000000103</c:v>
                </c:pt>
                <c:pt idx="579">
                  <c:v>29.219700000000103</c:v>
                </c:pt>
                <c:pt idx="580">
                  <c:v>29.219800000000102</c:v>
                </c:pt>
                <c:pt idx="581">
                  <c:v>29.219900000000102</c:v>
                </c:pt>
                <c:pt idx="582">
                  <c:v>29.220000000000102</c:v>
                </c:pt>
                <c:pt idx="583">
                  <c:v>29.220100000000102</c:v>
                </c:pt>
                <c:pt idx="584">
                  <c:v>29.220200000000101</c:v>
                </c:pt>
                <c:pt idx="585">
                  <c:v>29.220300000000101</c:v>
                </c:pt>
                <c:pt idx="586">
                  <c:v>29.220400000000101</c:v>
                </c:pt>
                <c:pt idx="587">
                  <c:v>29.220500000000101</c:v>
                </c:pt>
                <c:pt idx="588">
                  <c:v>29.2206000000001</c:v>
                </c:pt>
                <c:pt idx="589">
                  <c:v>29.2207000000001</c:v>
                </c:pt>
                <c:pt idx="590">
                  <c:v>29.2208000000001</c:v>
                </c:pt>
                <c:pt idx="591">
                  <c:v>29.2209000000001</c:v>
                </c:pt>
                <c:pt idx="592">
                  <c:v>29.2210000000001</c:v>
                </c:pt>
                <c:pt idx="593">
                  <c:v>29.221100000000099</c:v>
                </c:pt>
                <c:pt idx="594">
                  <c:v>29.221200000000099</c:v>
                </c:pt>
                <c:pt idx="595">
                  <c:v>29.221300000000099</c:v>
                </c:pt>
                <c:pt idx="596">
                  <c:v>29.221400000000099</c:v>
                </c:pt>
                <c:pt idx="597">
                  <c:v>29.221500000000098</c:v>
                </c:pt>
                <c:pt idx="598">
                  <c:v>29.221600000000098</c:v>
                </c:pt>
                <c:pt idx="599">
                  <c:v>29.221700000000098</c:v>
                </c:pt>
                <c:pt idx="600">
                  <c:v>29.221800000000098</c:v>
                </c:pt>
                <c:pt idx="601">
                  <c:v>29.221900000000097</c:v>
                </c:pt>
                <c:pt idx="602">
                  <c:v>29.222000000000097</c:v>
                </c:pt>
                <c:pt idx="603">
                  <c:v>29.222100000000097</c:v>
                </c:pt>
                <c:pt idx="604">
                  <c:v>29.222200000000097</c:v>
                </c:pt>
                <c:pt idx="605">
                  <c:v>29.222300000000097</c:v>
                </c:pt>
                <c:pt idx="606">
                  <c:v>29.222400000000096</c:v>
                </c:pt>
                <c:pt idx="607">
                  <c:v>29.222500000000096</c:v>
                </c:pt>
                <c:pt idx="608">
                  <c:v>29.222600000000096</c:v>
                </c:pt>
                <c:pt idx="609">
                  <c:v>29.222700000000096</c:v>
                </c:pt>
                <c:pt idx="610">
                  <c:v>29.222800000000095</c:v>
                </c:pt>
                <c:pt idx="611">
                  <c:v>29.222900000000095</c:v>
                </c:pt>
                <c:pt idx="612">
                  <c:v>29.223000000000095</c:v>
                </c:pt>
                <c:pt idx="613">
                  <c:v>29.223100000000095</c:v>
                </c:pt>
                <c:pt idx="614">
                  <c:v>29.223200000000094</c:v>
                </c:pt>
                <c:pt idx="615">
                  <c:v>29.223300000000094</c:v>
                </c:pt>
                <c:pt idx="616">
                  <c:v>29.223400000000094</c:v>
                </c:pt>
                <c:pt idx="617">
                  <c:v>29.223500000000094</c:v>
                </c:pt>
                <c:pt idx="618">
                  <c:v>29.223600000000094</c:v>
                </c:pt>
                <c:pt idx="619">
                  <c:v>29.223700000000093</c:v>
                </c:pt>
                <c:pt idx="620">
                  <c:v>29.223800000000093</c:v>
                </c:pt>
                <c:pt idx="621">
                  <c:v>29.223900000000093</c:v>
                </c:pt>
                <c:pt idx="622">
                  <c:v>29.224000000000093</c:v>
                </c:pt>
                <c:pt idx="623">
                  <c:v>29.224100000000092</c:v>
                </c:pt>
                <c:pt idx="624">
                  <c:v>29.224200000000092</c:v>
                </c:pt>
                <c:pt idx="625">
                  <c:v>29.224300000000092</c:v>
                </c:pt>
                <c:pt idx="626">
                  <c:v>29.224400000000092</c:v>
                </c:pt>
                <c:pt idx="627">
                  <c:v>29.224500000000091</c:v>
                </c:pt>
                <c:pt idx="628">
                  <c:v>29.224600000000091</c:v>
                </c:pt>
                <c:pt idx="629">
                  <c:v>29.224700000000091</c:v>
                </c:pt>
                <c:pt idx="630">
                  <c:v>29.224800000000091</c:v>
                </c:pt>
                <c:pt idx="631">
                  <c:v>29.22490000000009</c:v>
                </c:pt>
                <c:pt idx="632">
                  <c:v>29.22500000000009</c:v>
                </c:pt>
                <c:pt idx="633">
                  <c:v>29.22510000000009</c:v>
                </c:pt>
                <c:pt idx="634">
                  <c:v>29.22520000000009</c:v>
                </c:pt>
                <c:pt idx="635">
                  <c:v>29.22530000000009</c:v>
                </c:pt>
                <c:pt idx="636">
                  <c:v>29.225400000000089</c:v>
                </c:pt>
                <c:pt idx="637">
                  <c:v>29.225500000000089</c:v>
                </c:pt>
                <c:pt idx="638">
                  <c:v>29.225600000000089</c:v>
                </c:pt>
                <c:pt idx="639">
                  <c:v>29.225700000000089</c:v>
                </c:pt>
                <c:pt idx="640">
                  <c:v>29.225800000000088</c:v>
                </c:pt>
                <c:pt idx="641">
                  <c:v>29.225900000000088</c:v>
                </c:pt>
                <c:pt idx="642">
                  <c:v>29.226000000000088</c:v>
                </c:pt>
                <c:pt idx="643">
                  <c:v>29.226100000000088</c:v>
                </c:pt>
                <c:pt idx="644">
                  <c:v>29.226200000000087</c:v>
                </c:pt>
                <c:pt idx="645">
                  <c:v>29.226300000000087</c:v>
                </c:pt>
                <c:pt idx="646">
                  <c:v>29.226400000000087</c:v>
                </c:pt>
                <c:pt idx="647">
                  <c:v>29.226500000000087</c:v>
                </c:pt>
                <c:pt idx="648">
                  <c:v>29.226600000000087</c:v>
                </c:pt>
                <c:pt idx="649">
                  <c:v>29.226700000000086</c:v>
                </c:pt>
                <c:pt idx="650">
                  <c:v>29.226800000000086</c:v>
                </c:pt>
                <c:pt idx="651">
                  <c:v>29.226900000000086</c:v>
                </c:pt>
                <c:pt idx="652">
                  <c:v>29.227000000000086</c:v>
                </c:pt>
                <c:pt idx="653">
                  <c:v>29.227100000000085</c:v>
                </c:pt>
                <c:pt idx="654">
                  <c:v>29.227200000000085</c:v>
                </c:pt>
                <c:pt idx="655">
                  <c:v>29.227300000000085</c:v>
                </c:pt>
                <c:pt idx="656">
                  <c:v>29.227400000000085</c:v>
                </c:pt>
                <c:pt idx="657">
                  <c:v>29.227500000000084</c:v>
                </c:pt>
                <c:pt idx="658">
                  <c:v>29.227600000000084</c:v>
                </c:pt>
                <c:pt idx="659">
                  <c:v>29.227700000000084</c:v>
                </c:pt>
                <c:pt idx="660">
                  <c:v>29.227800000000084</c:v>
                </c:pt>
                <c:pt idx="661">
                  <c:v>29.227900000000083</c:v>
                </c:pt>
                <c:pt idx="662">
                  <c:v>29.228000000000083</c:v>
                </c:pt>
                <c:pt idx="663">
                  <c:v>29.228100000000083</c:v>
                </c:pt>
                <c:pt idx="664">
                  <c:v>29.228200000000083</c:v>
                </c:pt>
                <c:pt idx="665">
                  <c:v>29.228300000000083</c:v>
                </c:pt>
                <c:pt idx="666">
                  <c:v>29.228400000000082</c:v>
                </c:pt>
                <c:pt idx="667">
                  <c:v>29.228500000000082</c:v>
                </c:pt>
                <c:pt idx="668">
                  <c:v>29.228600000000082</c:v>
                </c:pt>
                <c:pt idx="669">
                  <c:v>29.228700000000082</c:v>
                </c:pt>
                <c:pt idx="670">
                  <c:v>29.228800000000081</c:v>
                </c:pt>
                <c:pt idx="671">
                  <c:v>29.228900000000081</c:v>
                </c:pt>
                <c:pt idx="672">
                  <c:v>29.229000000000081</c:v>
                </c:pt>
                <c:pt idx="673">
                  <c:v>29.229100000000081</c:v>
                </c:pt>
                <c:pt idx="674">
                  <c:v>29.22920000000008</c:v>
                </c:pt>
                <c:pt idx="675">
                  <c:v>29.22930000000008</c:v>
                </c:pt>
                <c:pt idx="676">
                  <c:v>29.22940000000008</c:v>
                </c:pt>
                <c:pt idx="677">
                  <c:v>29.22950000000008</c:v>
                </c:pt>
                <c:pt idx="678">
                  <c:v>29.22960000000008</c:v>
                </c:pt>
                <c:pt idx="679">
                  <c:v>29.229700000000079</c:v>
                </c:pt>
                <c:pt idx="680">
                  <c:v>29.229800000000079</c:v>
                </c:pt>
                <c:pt idx="681">
                  <c:v>29.229900000000079</c:v>
                </c:pt>
                <c:pt idx="682">
                  <c:v>29.230000000000079</c:v>
                </c:pt>
                <c:pt idx="683">
                  <c:v>29.230100000000078</c:v>
                </c:pt>
                <c:pt idx="684">
                  <c:v>29.230200000000078</c:v>
                </c:pt>
                <c:pt idx="685">
                  <c:v>29.230300000000078</c:v>
                </c:pt>
                <c:pt idx="686">
                  <c:v>29.230400000000078</c:v>
                </c:pt>
                <c:pt idx="687">
                  <c:v>29.230500000000077</c:v>
                </c:pt>
                <c:pt idx="688">
                  <c:v>29.230600000000077</c:v>
                </c:pt>
                <c:pt idx="689">
                  <c:v>29.230700000000077</c:v>
                </c:pt>
                <c:pt idx="690">
                  <c:v>29.230800000000077</c:v>
                </c:pt>
                <c:pt idx="691">
                  <c:v>29.230900000000076</c:v>
                </c:pt>
                <c:pt idx="692">
                  <c:v>29.231000000000076</c:v>
                </c:pt>
                <c:pt idx="693">
                  <c:v>29.231100000000076</c:v>
                </c:pt>
                <c:pt idx="694">
                  <c:v>29.231200000000076</c:v>
                </c:pt>
                <c:pt idx="695">
                  <c:v>29.231300000000076</c:v>
                </c:pt>
                <c:pt idx="696">
                  <c:v>29.231400000000075</c:v>
                </c:pt>
                <c:pt idx="697">
                  <c:v>29.231500000000075</c:v>
                </c:pt>
                <c:pt idx="698">
                  <c:v>29.231600000000075</c:v>
                </c:pt>
                <c:pt idx="699">
                  <c:v>29.231700000000075</c:v>
                </c:pt>
                <c:pt idx="700">
                  <c:v>29.231800000000074</c:v>
                </c:pt>
                <c:pt idx="701">
                  <c:v>29.231900000000074</c:v>
                </c:pt>
                <c:pt idx="702">
                  <c:v>29.232000000000074</c:v>
                </c:pt>
                <c:pt idx="703">
                  <c:v>29.232100000000074</c:v>
                </c:pt>
                <c:pt idx="704">
                  <c:v>29.232200000000073</c:v>
                </c:pt>
                <c:pt idx="705">
                  <c:v>29.232300000000073</c:v>
                </c:pt>
                <c:pt idx="706">
                  <c:v>29.232400000000073</c:v>
                </c:pt>
                <c:pt idx="707">
                  <c:v>29.232500000000073</c:v>
                </c:pt>
                <c:pt idx="708">
                  <c:v>29.232600000000073</c:v>
                </c:pt>
                <c:pt idx="709">
                  <c:v>29.232700000000072</c:v>
                </c:pt>
                <c:pt idx="710">
                  <c:v>29.232800000000072</c:v>
                </c:pt>
                <c:pt idx="711">
                  <c:v>29.232900000000072</c:v>
                </c:pt>
                <c:pt idx="712">
                  <c:v>29.233000000000072</c:v>
                </c:pt>
                <c:pt idx="713">
                  <c:v>29.233100000000071</c:v>
                </c:pt>
                <c:pt idx="714">
                  <c:v>29.233200000000071</c:v>
                </c:pt>
                <c:pt idx="715">
                  <c:v>29.233300000000071</c:v>
                </c:pt>
                <c:pt idx="716">
                  <c:v>29.233400000000071</c:v>
                </c:pt>
                <c:pt idx="717">
                  <c:v>29.23350000000007</c:v>
                </c:pt>
                <c:pt idx="718">
                  <c:v>29.23360000000007</c:v>
                </c:pt>
                <c:pt idx="719">
                  <c:v>29.23370000000007</c:v>
                </c:pt>
                <c:pt idx="720">
                  <c:v>29.23380000000007</c:v>
                </c:pt>
                <c:pt idx="721">
                  <c:v>29.233900000000069</c:v>
                </c:pt>
                <c:pt idx="722">
                  <c:v>29.234000000000069</c:v>
                </c:pt>
                <c:pt idx="723">
                  <c:v>29.234100000000069</c:v>
                </c:pt>
                <c:pt idx="724">
                  <c:v>29.234200000000069</c:v>
                </c:pt>
                <c:pt idx="725">
                  <c:v>29.234300000000069</c:v>
                </c:pt>
                <c:pt idx="726">
                  <c:v>29.234400000000068</c:v>
                </c:pt>
                <c:pt idx="727">
                  <c:v>29.234500000000068</c:v>
                </c:pt>
                <c:pt idx="728">
                  <c:v>29.234600000000068</c:v>
                </c:pt>
                <c:pt idx="729">
                  <c:v>29.234700000000068</c:v>
                </c:pt>
                <c:pt idx="730">
                  <c:v>29.234800000000067</c:v>
                </c:pt>
                <c:pt idx="731">
                  <c:v>29.234900000000067</c:v>
                </c:pt>
                <c:pt idx="732">
                  <c:v>29.235000000000067</c:v>
                </c:pt>
                <c:pt idx="733">
                  <c:v>29.235100000000067</c:v>
                </c:pt>
                <c:pt idx="734">
                  <c:v>29.235200000000066</c:v>
                </c:pt>
                <c:pt idx="735">
                  <c:v>29.235300000000066</c:v>
                </c:pt>
                <c:pt idx="736">
                  <c:v>29.235400000000066</c:v>
                </c:pt>
                <c:pt idx="737">
                  <c:v>29.235500000000066</c:v>
                </c:pt>
                <c:pt idx="738">
                  <c:v>29.235600000000066</c:v>
                </c:pt>
                <c:pt idx="739">
                  <c:v>29.235700000000065</c:v>
                </c:pt>
                <c:pt idx="740">
                  <c:v>29.235800000000065</c:v>
                </c:pt>
                <c:pt idx="741">
                  <c:v>29.235900000000065</c:v>
                </c:pt>
                <c:pt idx="742">
                  <c:v>29.236000000000065</c:v>
                </c:pt>
                <c:pt idx="743">
                  <c:v>29.236100000000064</c:v>
                </c:pt>
                <c:pt idx="744">
                  <c:v>29.236200000000064</c:v>
                </c:pt>
                <c:pt idx="745">
                  <c:v>29.236300000000064</c:v>
                </c:pt>
                <c:pt idx="746">
                  <c:v>29.236400000000064</c:v>
                </c:pt>
                <c:pt idx="747">
                  <c:v>29.236500000000063</c:v>
                </c:pt>
                <c:pt idx="748">
                  <c:v>29.236600000000063</c:v>
                </c:pt>
                <c:pt idx="749">
                  <c:v>29.236700000000063</c:v>
                </c:pt>
                <c:pt idx="750">
                  <c:v>29.236800000000063</c:v>
                </c:pt>
                <c:pt idx="751">
                  <c:v>29.236900000000063</c:v>
                </c:pt>
                <c:pt idx="752">
                  <c:v>29.237000000000062</c:v>
                </c:pt>
                <c:pt idx="753">
                  <c:v>29.237100000000062</c:v>
                </c:pt>
                <c:pt idx="754">
                  <c:v>29.237200000000062</c:v>
                </c:pt>
                <c:pt idx="755">
                  <c:v>29.237300000000062</c:v>
                </c:pt>
                <c:pt idx="756">
                  <c:v>29.237400000000061</c:v>
                </c:pt>
                <c:pt idx="757">
                  <c:v>29.237500000000061</c:v>
                </c:pt>
                <c:pt idx="758">
                  <c:v>29.237600000000061</c:v>
                </c:pt>
                <c:pt idx="759">
                  <c:v>29.237700000000061</c:v>
                </c:pt>
                <c:pt idx="760">
                  <c:v>29.23780000000006</c:v>
                </c:pt>
                <c:pt idx="761">
                  <c:v>29.23790000000006</c:v>
                </c:pt>
                <c:pt idx="762">
                  <c:v>29.23800000000006</c:v>
                </c:pt>
                <c:pt idx="763">
                  <c:v>29.23810000000006</c:v>
                </c:pt>
                <c:pt idx="764">
                  <c:v>29.238200000000059</c:v>
                </c:pt>
                <c:pt idx="765">
                  <c:v>29.238300000000059</c:v>
                </c:pt>
                <c:pt idx="766">
                  <c:v>29.238400000000059</c:v>
                </c:pt>
                <c:pt idx="767">
                  <c:v>29.238500000000059</c:v>
                </c:pt>
                <c:pt idx="768">
                  <c:v>29.238600000000059</c:v>
                </c:pt>
                <c:pt idx="769">
                  <c:v>29.238700000000058</c:v>
                </c:pt>
                <c:pt idx="770">
                  <c:v>29.238800000000058</c:v>
                </c:pt>
                <c:pt idx="771">
                  <c:v>29.238900000000058</c:v>
                </c:pt>
                <c:pt idx="772">
                  <c:v>29.239000000000058</c:v>
                </c:pt>
                <c:pt idx="773">
                  <c:v>29.239100000000057</c:v>
                </c:pt>
                <c:pt idx="774">
                  <c:v>29.239200000000057</c:v>
                </c:pt>
                <c:pt idx="775">
                  <c:v>29.239300000000057</c:v>
                </c:pt>
                <c:pt idx="776">
                  <c:v>29.239400000000057</c:v>
                </c:pt>
                <c:pt idx="777">
                  <c:v>29.239500000000056</c:v>
                </c:pt>
                <c:pt idx="778">
                  <c:v>29.239600000000056</c:v>
                </c:pt>
                <c:pt idx="779">
                  <c:v>29.239700000000056</c:v>
                </c:pt>
                <c:pt idx="780">
                  <c:v>29.239800000000056</c:v>
                </c:pt>
                <c:pt idx="781">
                  <c:v>29.239900000000056</c:v>
                </c:pt>
                <c:pt idx="782">
                  <c:v>29.240000000000055</c:v>
                </c:pt>
                <c:pt idx="783">
                  <c:v>29.240100000000055</c:v>
                </c:pt>
                <c:pt idx="784">
                  <c:v>29.240200000000055</c:v>
                </c:pt>
                <c:pt idx="785">
                  <c:v>29.240300000000055</c:v>
                </c:pt>
                <c:pt idx="786">
                  <c:v>29.240400000000054</c:v>
                </c:pt>
                <c:pt idx="787">
                  <c:v>29.240500000000054</c:v>
                </c:pt>
                <c:pt idx="788">
                  <c:v>29.240600000000054</c:v>
                </c:pt>
                <c:pt idx="789">
                  <c:v>29.240700000000054</c:v>
                </c:pt>
                <c:pt idx="790">
                  <c:v>29.240800000000053</c:v>
                </c:pt>
                <c:pt idx="791">
                  <c:v>29.240900000000053</c:v>
                </c:pt>
                <c:pt idx="792">
                  <c:v>29.241000000000053</c:v>
                </c:pt>
                <c:pt idx="793">
                  <c:v>29.241100000000053</c:v>
                </c:pt>
                <c:pt idx="794">
                  <c:v>29.241200000000052</c:v>
                </c:pt>
                <c:pt idx="795">
                  <c:v>29.241300000000052</c:v>
                </c:pt>
                <c:pt idx="796">
                  <c:v>29.241400000000052</c:v>
                </c:pt>
                <c:pt idx="797">
                  <c:v>29.241500000000052</c:v>
                </c:pt>
                <c:pt idx="798">
                  <c:v>29.241600000000052</c:v>
                </c:pt>
                <c:pt idx="799">
                  <c:v>29.241700000000051</c:v>
                </c:pt>
                <c:pt idx="800">
                  <c:v>29.241800000000051</c:v>
                </c:pt>
                <c:pt idx="801">
                  <c:v>29.241900000000051</c:v>
                </c:pt>
                <c:pt idx="802">
                  <c:v>29.242000000000051</c:v>
                </c:pt>
                <c:pt idx="803">
                  <c:v>29.24210000000005</c:v>
                </c:pt>
                <c:pt idx="804">
                  <c:v>29.24220000000005</c:v>
                </c:pt>
                <c:pt idx="805">
                  <c:v>29.24230000000005</c:v>
                </c:pt>
                <c:pt idx="806">
                  <c:v>29.24240000000005</c:v>
                </c:pt>
                <c:pt idx="807">
                  <c:v>29.242500000000049</c:v>
                </c:pt>
                <c:pt idx="808">
                  <c:v>29.242600000000049</c:v>
                </c:pt>
                <c:pt idx="809">
                  <c:v>29.242700000000049</c:v>
                </c:pt>
                <c:pt idx="810">
                  <c:v>29.242800000000049</c:v>
                </c:pt>
                <c:pt idx="811">
                  <c:v>29.242900000000049</c:v>
                </c:pt>
                <c:pt idx="812">
                  <c:v>29.243000000000048</c:v>
                </c:pt>
                <c:pt idx="813">
                  <c:v>29.243100000000048</c:v>
                </c:pt>
                <c:pt idx="814">
                  <c:v>29.243200000000048</c:v>
                </c:pt>
                <c:pt idx="815">
                  <c:v>29.243300000000048</c:v>
                </c:pt>
                <c:pt idx="816">
                  <c:v>29.243400000000047</c:v>
                </c:pt>
                <c:pt idx="817">
                  <c:v>29.243500000000047</c:v>
                </c:pt>
                <c:pt idx="818">
                  <c:v>29.243600000000047</c:v>
                </c:pt>
                <c:pt idx="819">
                  <c:v>29.243700000000047</c:v>
                </c:pt>
                <c:pt idx="820">
                  <c:v>29.243800000000046</c:v>
                </c:pt>
                <c:pt idx="821">
                  <c:v>29.243900000000046</c:v>
                </c:pt>
                <c:pt idx="822">
                  <c:v>29.244000000000046</c:v>
                </c:pt>
                <c:pt idx="823">
                  <c:v>29.244100000000046</c:v>
                </c:pt>
                <c:pt idx="824">
                  <c:v>29.244200000000045</c:v>
                </c:pt>
                <c:pt idx="825">
                  <c:v>29.244300000000045</c:v>
                </c:pt>
                <c:pt idx="826">
                  <c:v>29.244400000000045</c:v>
                </c:pt>
                <c:pt idx="827">
                  <c:v>29.244500000000045</c:v>
                </c:pt>
                <c:pt idx="828">
                  <c:v>29.244600000000045</c:v>
                </c:pt>
                <c:pt idx="829">
                  <c:v>29.244700000000044</c:v>
                </c:pt>
                <c:pt idx="830">
                  <c:v>29.244800000000044</c:v>
                </c:pt>
                <c:pt idx="831">
                  <c:v>29.244900000000044</c:v>
                </c:pt>
                <c:pt idx="832">
                  <c:v>29.245000000000044</c:v>
                </c:pt>
                <c:pt idx="833">
                  <c:v>29.245100000000043</c:v>
                </c:pt>
                <c:pt idx="834">
                  <c:v>29.245200000000043</c:v>
                </c:pt>
                <c:pt idx="835">
                  <c:v>29.245300000000043</c:v>
                </c:pt>
                <c:pt idx="836">
                  <c:v>29.245400000000043</c:v>
                </c:pt>
                <c:pt idx="837">
                  <c:v>29.245500000000042</c:v>
                </c:pt>
                <c:pt idx="838">
                  <c:v>29.245600000000042</c:v>
                </c:pt>
                <c:pt idx="839">
                  <c:v>29.245700000000042</c:v>
                </c:pt>
                <c:pt idx="840">
                  <c:v>29.245800000000042</c:v>
                </c:pt>
                <c:pt idx="841">
                  <c:v>29.245900000000042</c:v>
                </c:pt>
                <c:pt idx="842">
                  <c:v>29.246000000000041</c:v>
                </c:pt>
                <c:pt idx="843">
                  <c:v>29.246100000000041</c:v>
                </c:pt>
                <c:pt idx="844">
                  <c:v>29.246200000000041</c:v>
                </c:pt>
                <c:pt idx="845">
                  <c:v>29.246300000000041</c:v>
                </c:pt>
                <c:pt idx="846">
                  <c:v>29.24640000000004</c:v>
                </c:pt>
                <c:pt idx="847">
                  <c:v>29.24650000000004</c:v>
                </c:pt>
                <c:pt idx="848">
                  <c:v>29.24660000000004</c:v>
                </c:pt>
                <c:pt idx="849">
                  <c:v>29.24670000000004</c:v>
                </c:pt>
                <c:pt idx="850">
                  <c:v>29.246800000000039</c:v>
                </c:pt>
                <c:pt idx="851">
                  <c:v>29.246900000000039</c:v>
                </c:pt>
                <c:pt idx="852">
                  <c:v>29.247000000000039</c:v>
                </c:pt>
                <c:pt idx="853">
                  <c:v>29.247100000000039</c:v>
                </c:pt>
                <c:pt idx="854">
                  <c:v>29.247200000000039</c:v>
                </c:pt>
                <c:pt idx="855">
                  <c:v>29.247300000000038</c:v>
                </c:pt>
                <c:pt idx="856">
                  <c:v>29.247400000000038</c:v>
                </c:pt>
                <c:pt idx="857">
                  <c:v>29.247500000000038</c:v>
                </c:pt>
                <c:pt idx="858">
                  <c:v>29.247600000000038</c:v>
                </c:pt>
                <c:pt idx="859">
                  <c:v>29.247700000000037</c:v>
                </c:pt>
                <c:pt idx="860">
                  <c:v>29.247800000000037</c:v>
                </c:pt>
                <c:pt idx="861">
                  <c:v>29.247900000000037</c:v>
                </c:pt>
                <c:pt idx="862">
                  <c:v>29.248000000000037</c:v>
                </c:pt>
                <c:pt idx="863">
                  <c:v>29.248100000000036</c:v>
                </c:pt>
                <c:pt idx="864">
                  <c:v>29.248200000000036</c:v>
                </c:pt>
                <c:pt idx="865">
                  <c:v>29.248300000000036</c:v>
                </c:pt>
                <c:pt idx="866">
                  <c:v>29.248400000000036</c:v>
                </c:pt>
                <c:pt idx="867">
                  <c:v>29.248500000000035</c:v>
                </c:pt>
                <c:pt idx="868">
                  <c:v>29.248600000000035</c:v>
                </c:pt>
                <c:pt idx="869">
                  <c:v>29.248700000000035</c:v>
                </c:pt>
                <c:pt idx="870">
                  <c:v>29.248800000000035</c:v>
                </c:pt>
                <c:pt idx="871">
                  <c:v>29.248900000000035</c:v>
                </c:pt>
                <c:pt idx="872">
                  <c:v>29.249000000000034</c:v>
                </c:pt>
                <c:pt idx="873">
                  <c:v>29.249100000000034</c:v>
                </c:pt>
                <c:pt idx="874">
                  <c:v>29.249200000000034</c:v>
                </c:pt>
                <c:pt idx="875">
                  <c:v>29.249300000000034</c:v>
                </c:pt>
                <c:pt idx="876">
                  <c:v>29.249400000000033</c:v>
                </c:pt>
                <c:pt idx="877">
                  <c:v>29.249500000000033</c:v>
                </c:pt>
                <c:pt idx="878">
                  <c:v>29.249600000000033</c:v>
                </c:pt>
                <c:pt idx="879">
                  <c:v>29.249700000000033</c:v>
                </c:pt>
                <c:pt idx="880">
                  <c:v>29.249800000000032</c:v>
                </c:pt>
                <c:pt idx="881">
                  <c:v>29.249900000000032</c:v>
                </c:pt>
                <c:pt idx="882">
                  <c:v>29.250000000000032</c:v>
                </c:pt>
                <c:pt idx="883">
                  <c:v>29.250100000000032</c:v>
                </c:pt>
                <c:pt idx="884">
                  <c:v>29.250200000000032</c:v>
                </c:pt>
                <c:pt idx="885">
                  <c:v>29.250300000000031</c:v>
                </c:pt>
                <c:pt idx="886">
                  <c:v>29.250400000000031</c:v>
                </c:pt>
                <c:pt idx="887">
                  <c:v>29.250500000000031</c:v>
                </c:pt>
                <c:pt idx="888">
                  <c:v>29.250600000000031</c:v>
                </c:pt>
                <c:pt idx="889">
                  <c:v>29.25070000000003</c:v>
                </c:pt>
                <c:pt idx="890">
                  <c:v>29.25080000000003</c:v>
                </c:pt>
                <c:pt idx="891">
                  <c:v>29.25090000000003</c:v>
                </c:pt>
                <c:pt idx="892">
                  <c:v>29.25100000000003</c:v>
                </c:pt>
                <c:pt idx="893">
                  <c:v>29.251100000000029</c:v>
                </c:pt>
                <c:pt idx="894">
                  <c:v>29.251200000000029</c:v>
                </c:pt>
                <c:pt idx="895">
                  <c:v>29.251300000000029</c:v>
                </c:pt>
                <c:pt idx="896">
                  <c:v>29.251400000000029</c:v>
                </c:pt>
                <c:pt idx="897">
                  <c:v>29.251500000000028</c:v>
                </c:pt>
                <c:pt idx="898">
                  <c:v>29.251600000000028</c:v>
                </c:pt>
                <c:pt idx="899">
                  <c:v>29.251700000000028</c:v>
                </c:pt>
                <c:pt idx="900">
                  <c:v>29.251800000000028</c:v>
                </c:pt>
                <c:pt idx="901">
                  <c:v>29.251900000000028</c:v>
                </c:pt>
                <c:pt idx="902">
                  <c:v>29.252000000000027</c:v>
                </c:pt>
                <c:pt idx="903">
                  <c:v>29.252100000000027</c:v>
                </c:pt>
                <c:pt idx="904">
                  <c:v>29.252200000000027</c:v>
                </c:pt>
                <c:pt idx="905">
                  <c:v>29.252300000000027</c:v>
                </c:pt>
                <c:pt idx="906">
                  <c:v>29.252400000000026</c:v>
                </c:pt>
                <c:pt idx="907">
                  <c:v>29.252500000000026</c:v>
                </c:pt>
                <c:pt idx="908">
                  <c:v>29.252600000000026</c:v>
                </c:pt>
                <c:pt idx="909">
                  <c:v>29.252700000000026</c:v>
                </c:pt>
                <c:pt idx="910">
                  <c:v>29.252800000000025</c:v>
                </c:pt>
                <c:pt idx="911">
                  <c:v>29.252900000000025</c:v>
                </c:pt>
                <c:pt idx="912">
                  <c:v>29.253000000000025</c:v>
                </c:pt>
                <c:pt idx="913">
                  <c:v>29.253100000000025</c:v>
                </c:pt>
                <c:pt idx="914">
                  <c:v>29.253200000000025</c:v>
                </c:pt>
                <c:pt idx="915">
                  <c:v>29.253300000000024</c:v>
                </c:pt>
                <c:pt idx="916">
                  <c:v>29.253400000000024</c:v>
                </c:pt>
                <c:pt idx="917">
                  <c:v>29.253500000000024</c:v>
                </c:pt>
                <c:pt idx="918">
                  <c:v>29.253600000000024</c:v>
                </c:pt>
                <c:pt idx="919">
                  <c:v>29.253700000000023</c:v>
                </c:pt>
                <c:pt idx="920">
                  <c:v>29.253800000000023</c:v>
                </c:pt>
                <c:pt idx="921">
                  <c:v>29.253900000000023</c:v>
                </c:pt>
                <c:pt idx="922">
                  <c:v>29.254000000000023</c:v>
                </c:pt>
                <c:pt idx="923">
                  <c:v>29.254100000000022</c:v>
                </c:pt>
                <c:pt idx="924">
                  <c:v>29.254200000000022</c:v>
                </c:pt>
                <c:pt idx="925">
                  <c:v>29.254300000000022</c:v>
                </c:pt>
                <c:pt idx="926">
                  <c:v>29.254400000000022</c:v>
                </c:pt>
                <c:pt idx="927">
                  <c:v>29.254500000000021</c:v>
                </c:pt>
                <c:pt idx="928">
                  <c:v>29.254600000000021</c:v>
                </c:pt>
                <c:pt idx="929">
                  <c:v>29.254700000000021</c:v>
                </c:pt>
                <c:pt idx="930">
                  <c:v>29.254800000000021</c:v>
                </c:pt>
                <c:pt idx="931">
                  <c:v>29.254900000000021</c:v>
                </c:pt>
                <c:pt idx="932">
                  <c:v>29.25500000000002</c:v>
                </c:pt>
                <c:pt idx="933">
                  <c:v>29.25510000000002</c:v>
                </c:pt>
                <c:pt idx="934">
                  <c:v>29.25520000000002</c:v>
                </c:pt>
                <c:pt idx="935">
                  <c:v>29.25530000000002</c:v>
                </c:pt>
                <c:pt idx="936">
                  <c:v>29.255400000000019</c:v>
                </c:pt>
                <c:pt idx="937">
                  <c:v>29.255500000000019</c:v>
                </c:pt>
                <c:pt idx="938">
                  <c:v>29.255600000000019</c:v>
                </c:pt>
                <c:pt idx="939">
                  <c:v>29.255700000000019</c:v>
                </c:pt>
                <c:pt idx="940">
                  <c:v>29.255800000000018</c:v>
                </c:pt>
                <c:pt idx="941">
                  <c:v>29.255900000000018</c:v>
                </c:pt>
                <c:pt idx="942">
                  <c:v>29.256000000000018</c:v>
                </c:pt>
                <c:pt idx="943">
                  <c:v>29.256100000000018</c:v>
                </c:pt>
                <c:pt idx="944">
                  <c:v>29.256200000000018</c:v>
                </c:pt>
                <c:pt idx="945">
                  <c:v>29.256300000000017</c:v>
                </c:pt>
                <c:pt idx="946">
                  <c:v>29.256400000000017</c:v>
                </c:pt>
                <c:pt idx="947">
                  <c:v>29.256500000000017</c:v>
                </c:pt>
                <c:pt idx="948">
                  <c:v>29.256600000000017</c:v>
                </c:pt>
                <c:pt idx="949">
                  <c:v>29.256700000000016</c:v>
                </c:pt>
                <c:pt idx="950">
                  <c:v>29.256800000000016</c:v>
                </c:pt>
                <c:pt idx="951">
                  <c:v>29.256900000000016</c:v>
                </c:pt>
                <c:pt idx="952">
                  <c:v>29.257000000000016</c:v>
                </c:pt>
                <c:pt idx="953">
                  <c:v>29.257100000000015</c:v>
                </c:pt>
                <c:pt idx="954">
                  <c:v>29.257200000000015</c:v>
                </c:pt>
                <c:pt idx="955">
                  <c:v>29.257300000000015</c:v>
                </c:pt>
                <c:pt idx="956">
                  <c:v>29.257400000000015</c:v>
                </c:pt>
                <c:pt idx="957">
                  <c:v>29.257500000000014</c:v>
                </c:pt>
                <c:pt idx="958">
                  <c:v>29.257600000000014</c:v>
                </c:pt>
                <c:pt idx="959">
                  <c:v>29.257700000000014</c:v>
                </c:pt>
                <c:pt idx="960">
                  <c:v>29.257800000000014</c:v>
                </c:pt>
                <c:pt idx="961">
                  <c:v>29.257900000000014</c:v>
                </c:pt>
                <c:pt idx="962">
                  <c:v>29.258000000000013</c:v>
                </c:pt>
                <c:pt idx="963">
                  <c:v>29.258100000000013</c:v>
                </c:pt>
                <c:pt idx="964">
                  <c:v>29.258200000000013</c:v>
                </c:pt>
                <c:pt idx="965">
                  <c:v>29.258300000000013</c:v>
                </c:pt>
                <c:pt idx="966">
                  <c:v>29.258400000000012</c:v>
                </c:pt>
                <c:pt idx="967">
                  <c:v>29.258500000000012</c:v>
                </c:pt>
                <c:pt idx="968">
                  <c:v>29.258600000000012</c:v>
                </c:pt>
                <c:pt idx="969">
                  <c:v>29.258700000000012</c:v>
                </c:pt>
                <c:pt idx="970">
                  <c:v>29.258800000000011</c:v>
                </c:pt>
                <c:pt idx="971">
                  <c:v>29.258900000000011</c:v>
                </c:pt>
                <c:pt idx="972">
                  <c:v>29.259000000000011</c:v>
                </c:pt>
                <c:pt idx="973">
                  <c:v>29.259100000000011</c:v>
                </c:pt>
                <c:pt idx="974">
                  <c:v>29.259200000000011</c:v>
                </c:pt>
                <c:pt idx="975">
                  <c:v>29.25930000000001</c:v>
                </c:pt>
                <c:pt idx="976">
                  <c:v>29.25940000000001</c:v>
                </c:pt>
                <c:pt idx="977">
                  <c:v>29.25950000000001</c:v>
                </c:pt>
                <c:pt idx="978">
                  <c:v>29.25960000000001</c:v>
                </c:pt>
                <c:pt idx="979">
                  <c:v>29.259700000000009</c:v>
                </c:pt>
                <c:pt idx="980">
                  <c:v>29.259800000000009</c:v>
                </c:pt>
                <c:pt idx="981">
                  <c:v>29.259900000000009</c:v>
                </c:pt>
                <c:pt idx="982">
                  <c:v>29.260000000000009</c:v>
                </c:pt>
                <c:pt idx="983">
                  <c:v>29.260100000000008</c:v>
                </c:pt>
                <c:pt idx="984">
                  <c:v>29.260200000000008</c:v>
                </c:pt>
                <c:pt idx="985">
                  <c:v>29.260300000000008</c:v>
                </c:pt>
                <c:pt idx="986">
                  <c:v>29.260400000000008</c:v>
                </c:pt>
                <c:pt idx="987">
                  <c:v>29.260500000000008</c:v>
                </c:pt>
                <c:pt idx="988">
                  <c:v>29.260600000000007</c:v>
                </c:pt>
                <c:pt idx="989">
                  <c:v>29.260700000000007</c:v>
                </c:pt>
                <c:pt idx="990">
                  <c:v>29.260800000000007</c:v>
                </c:pt>
                <c:pt idx="991">
                  <c:v>29.260900000000007</c:v>
                </c:pt>
                <c:pt idx="992">
                  <c:v>29.261000000000006</c:v>
                </c:pt>
                <c:pt idx="993">
                  <c:v>29.261100000000006</c:v>
                </c:pt>
                <c:pt idx="994">
                  <c:v>29.261200000000006</c:v>
                </c:pt>
                <c:pt idx="995">
                  <c:v>29.261300000000006</c:v>
                </c:pt>
                <c:pt idx="996">
                  <c:v>29.261400000000005</c:v>
                </c:pt>
                <c:pt idx="997">
                  <c:v>29.261500000000005</c:v>
                </c:pt>
                <c:pt idx="998">
                  <c:v>29.261600000000005</c:v>
                </c:pt>
                <c:pt idx="999">
                  <c:v>29.261700000000005</c:v>
                </c:pt>
                <c:pt idx="1000">
                  <c:v>29.261800000000004</c:v>
                </c:pt>
              </c:numCache>
            </c:numRef>
          </c:xVal>
          <c:yVal>
            <c:numRef>
              <c:f>Calculs!$K$4:$K$1004</c:f>
              <c:numCache>
                <c:formatCode>0.00</c:formatCode>
                <c:ptCount val="1001"/>
                <c:pt idx="0">
                  <c:v>574.95818926659933</c:v>
                </c:pt>
                <c:pt idx="1">
                  <c:v>576.4607643084081</c:v>
                </c:pt>
                <c:pt idx="2">
                  <c:v>577.96072910699593</c:v>
                </c:pt>
                <c:pt idx="3">
                  <c:v>579.45808951357935</c:v>
                </c:pt>
                <c:pt idx="4">
                  <c:v>580.95285135471443</c:v>
                </c:pt>
                <c:pt idx="5">
                  <c:v>582.44502043243335</c:v>
                </c:pt>
                <c:pt idx="6">
                  <c:v>583.93460252438092</c:v>
                </c:pt>
                <c:pt idx="7">
                  <c:v>585.42160338394922</c:v>
                </c:pt>
                <c:pt idx="8">
                  <c:v>586.90602874041213</c:v>
                </c:pt>
                <c:pt idx="9">
                  <c:v>588.38788429905833</c:v>
                </c:pt>
                <c:pt idx="10">
                  <c:v>589.86717574132354</c:v>
                </c:pt>
                <c:pt idx="11">
                  <c:v>591.34390871555877</c:v>
                </c:pt>
                <c:pt idx="12">
                  <c:v>592.81808882797088</c:v>
                </c:pt>
                <c:pt idx="13">
                  <c:v>594.28972165246091</c:v>
                </c:pt>
                <c:pt idx="14">
                  <c:v>595.75881274028313</c:v>
                </c:pt>
                <c:pt idx="15">
                  <c:v>597.22536762016443</c:v>
                </c:pt>
                <c:pt idx="16">
                  <c:v>598.68939179842289</c:v>
                </c:pt>
                <c:pt idx="17">
                  <c:v>600.15089075908588</c:v>
                </c:pt>
                <c:pt idx="18">
                  <c:v>601.60986996400663</c:v>
                </c:pt>
                <c:pt idx="19">
                  <c:v>603.06633485298096</c:v>
                </c:pt>
                <c:pt idx="20">
                  <c:v>604.52029084386231</c:v>
                </c:pt>
                <c:pt idx="21">
                  <c:v>605.97174333735904</c:v>
                </c:pt>
                <c:pt idx="22">
                  <c:v>607.42069772174682</c:v>
                </c:pt>
                <c:pt idx="23">
                  <c:v>608.86715936813198</c:v>
                </c:pt>
                <c:pt idx="24">
                  <c:v>610.31113362580095</c:v>
                </c:pt>
                <c:pt idx="25">
                  <c:v>611.75262582233609</c:v>
                </c:pt>
                <c:pt idx="26">
                  <c:v>613.19164126373039</c:v>
                </c:pt>
                <c:pt idx="27">
                  <c:v>614.62818523450153</c:v>
                </c:pt>
                <c:pt idx="28">
                  <c:v>616.06226299780565</c:v>
                </c:pt>
                <c:pt idx="29">
                  <c:v>617.49387979554967</c:v>
                </c:pt>
                <c:pt idx="30">
                  <c:v>618.92304084850332</c:v>
                </c:pt>
                <c:pt idx="31">
                  <c:v>620.34975135641002</c:v>
                </c:pt>
                <c:pt idx="32">
                  <c:v>621.77401649809769</c:v>
                </c:pt>
                <c:pt idx="33">
                  <c:v>623.19584143158795</c:v>
                </c:pt>
                <c:pt idx="34">
                  <c:v>624.6152312942055</c:v>
                </c:pt>
                <c:pt idx="35">
                  <c:v>626.03219120268602</c:v>
                </c:pt>
                <c:pt idx="36">
                  <c:v>627.44672625328383</c:v>
                </c:pt>
                <c:pt idx="37">
                  <c:v>628.8588415218785</c:v>
                </c:pt>
                <c:pt idx="38">
                  <c:v>630.26854206408109</c:v>
                </c:pt>
                <c:pt idx="39">
                  <c:v>631.67583291533936</c:v>
                </c:pt>
                <c:pt idx="40">
                  <c:v>633.08071909104274</c:v>
                </c:pt>
                <c:pt idx="41">
                  <c:v>634.48320558662613</c:v>
                </c:pt>
                <c:pt idx="42">
                  <c:v>635.8832973776731</c:v>
                </c:pt>
                <c:pt idx="43">
                  <c:v>637.2809994200187</c:v>
                </c:pt>
                <c:pt idx="44">
                  <c:v>638.6763166498514</c:v>
                </c:pt>
                <c:pt idx="45">
                  <c:v>640.06925398381429</c:v>
                </c:pt>
                <c:pt idx="46">
                  <c:v>641.45981631910593</c:v>
                </c:pt>
                <c:pt idx="47">
                  <c:v>642.84800853358001</c:v>
                </c:pt>
                <c:pt idx="48">
                  <c:v>644.23383548584502</c:v>
                </c:pt>
                <c:pt idx="49">
                  <c:v>645.61730201536272</c:v>
                </c:pt>
                <c:pt idx="50">
                  <c:v>646.998412942546</c:v>
                </c:pt>
                <c:pt idx="51">
                  <c:v>648.37717306885679</c:v>
                </c:pt>
                <c:pt idx="52">
                  <c:v>649.75358717690233</c:v>
                </c:pt>
                <c:pt idx="53">
                  <c:v>651.12766003053162</c:v>
                </c:pt>
                <c:pt idx="54">
                  <c:v>652.49939637493071</c:v>
                </c:pt>
                <c:pt idx="55">
                  <c:v>653.86880093671789</c:v>
                </c:pt>
                <c:pt idx="56">
                  <c:v>655.23587842403765</c:v>
                </c:pt>
                <c:pt idx="57">
                  <c:v>656.60063352665475</c:v>
                </c:pt>
                <c:pt idx="58">
                  <c:v>657.96307091604695</c:v>
                </c:pt>
                <c:pt idx="59">
                  <c:v>659.32319524549769</c:v>
                </c:pt>
                <c:pt idx="60">
                  <c:v>660.68101115018783</c:v>
                </c:pt>
                <c:pt idx="61">
                  <c:v>662.03652324728705</c:v>
                </c:pt>
                <c:pt idx="62">
                  <c:v>663.3897361360448</c:v>
                </c:pt>
                <c:pt idx="63">
                  <c:v>664.74065439787989</c:v>
                </c:pt>
                <c:pt idx="64">
                  <c:v>666.08928259647064</c:v>
                </c:pt>
                <c:pt idx="65">
                  <c:v>667.43562527784343</c:v>
                </c:pt>
                <c:pt idx="66">
                  <c:v>668.7796869704614</c:v>
                </c:pt>
                <c:pt idx="67">
                  <c:v>670.12147218531209</c:v>
                </c:pt>
                <c:pt idx="68">
                  <c:v>671.46098541599486</c:v>
                </c:pt>
                <c:pt idx="69">
                  <c:v>672.79823113880786</c:v>
                </c:pt>
                <c:pt idx="70">
                  <c:v>674.13321381283379</c:v>
                </c:pt>
                <c:pt idx="71">
                  <c:v>675.46593788002588</c:v>
                </c:pt>
                <c:pt idx="72">
                  <c:v>676.796407765293</c:v>
                </c:pt>
                <c:pt idx="73">
                  <c:v>678.12462787658399</c:v>
                </c:pt>
                <c:pt idx="74">
                  <c:v>679.45060260497189</c:v>
                </c:pt>
                <c:pt idx="75">
                  <c:v>680.77433632473753</c:v>
                </c:pt>
                <c:pt idx="76">
                  <c:v>682.09583339345238</c:v>
                </c:pt>
                <c:pt idx="77">
                  <c:v>683.41509815206109</c:v>
                </c:pt>
                <c:pt idx="78">
                  <c:v>684.73213492496325</c:v>
                </c:pt>
                <c:pt idx="79">
                  <c:v>686.04694802009521</c:v>
                </c:pt>
                <c:pt idx="80">
                  <c:v>687.35954172901086</c:v>
                </c:pt>
                <c:pt idx="81">
                  <c:v>688.66992032696169</c:v>
                </c:pt>
                <c:pt idx="82">
                  <c:v>689.97808807297724</c:v>
                </c:pt>
                <c:pt idx="83">
                  <c:v>691.28404920994433</c:v>
                </c:pt>
                <c:pt idx="84">
                  <c:v>692.58780796468591</c:v>
                </c:pt>
                <c:pt idx="85">
                  <c:v>693.88936854803956</c:v>
                </c:pt>
                <c:pt idx="86">
                  <c:v>695.18873515493533</c:v>
                </c:pt>
                <c:pt idx="87">
                  <c:v>696.48591196447353</c:v>
                </c:pt>
                <c:pt idx="88">
                  <c:v>697.78090314000133</c:v>
                </c:pt>
                <c:pt idx="89">
                  <c:v>699.07371282918962</c:v>
                </c:pt>
                <c:pt idx="90">
                  <c:v>700.36434516410873</c:v>
                </c:pt>
                <c:pt idx="91">
                  <c:v>701.65280426130437</c:v>
                </c:pt>
                <c:pt idx="92">
                  <c:v>702.93909422187232</c:v>
                </c:pt>
                <c:pt idx="93">
                  <c:v>704.22321913153348</c:v>
                </c:pt>
                <c:pt idx="94">
                  <c:v>705.50518306070762</c:v>
                </c:pt>
                <c:pt idx="95">
                  <c:v>706.78499006458765</c:v>
                </c:pt>
                <c:pt idx="96">
                  <c:v>708.06264418321234</c:v>
                </c:pt>
                <c:pt idx="97">
                  <c:v>709.3381494415396</c:v>
                </c:pt>
                <c:pt idx="98">
                  <c:v>710.6115098495186</c:v>
                </c:pt>
                <c:pt idx="99">
                  <c:v>711.88272940216177</c:v>
                </c:pt>
                <c:pt idx="100">
                  <c:v>713.15181207961643</c:v>
                </c:pt>
                <c:pt idx="101">
                  <c:v>725.72541786762235</c:v>
                </c:pt>
                <c:pt idx="102">
                  <c:v>738.08788525748264</c:v>
                </c:pt>
                <c:pt idx="103">
                  <c:v>750.2430521902437</c:v>
                </c:pt>
                <c:pt idx="104">
                  <c:v>762.1946170601999</c:v>
                </c:pt>
                <c:pt idx="105">
                  <c:v>773.94614515619912</c:v>
                </c:pt>
                <c:pt idx="106">
                  <c:v>785.50107472710852</c:v>
                </c:pt>
                <c:pt idx="107">
                  <c:v>796.8627226974711</c:v>
                </c:pt>
                <c:pt idx="108">
                  <c:v>808.03429005729367</c:v>
                </c:pt>
                <c:pt idx="109">
                  <c:v>819.01886694800919</c:v>
                </c:pt>
                <c:pt idx="110">
                  <c:v>829.81943746492709</c:v>
                </c:pt>
                <c:pt idx="111">
                  <c:v>840.43888419490906</c:v>
                </c:pt>
                <c:pt idx="112">
                  <c:v>850.87999250657367</c:v>
                </c:pt>
                <c:pt idx="113">
                  <c:v>861.14545460901888</c:v>
                </c:pt>
                <c:pt idx="114">
                  <c:v>871.2378733938541</c:v>
                </c:pt>
                <c:pt idx="115">
                  <c:v>881.15976607423579</c:v>
                </c:pt>
                <c:pt idx="116">
                  <c:v>890.91356763359624</c:v>
                </c:pt>
                <c:pt idx="117">
                  <c:v>900.50163409583297</c:v>
                </c:pt>
                <c:pt idx="118">
                  <c:v>909.92624562788183</c:v>
                </c:pt>
                <c:pt idx="119">
                  <c:v>919.18960948482049</c:v>
                </c:pt>
                <c:pt idx="120">
                  <c:v>928.29386280693427</c:v>
                </c:pt>
                <c:pt idx="121">
                  <c:v>937.24107527751994</c:v>
                </c:pt>
                <c:pt idx="122">
                  <c:v>946.0332516495987</c:v>
                </c:pt>
                <c:pt idx="123">
                  <c:v>954.67233414915154</c:v>
                </c:pt>
                <c:pt idx="124">
                  <c:v>963.16020476197571</c:v>
                </c:pt>
                <c:pt idx="125">
                  <c:v>971.49868741078672</c:v>
                </c:pt>
                <c:pt idx="126">
                  <c:v>979.689550028751</c:v>
                </c:pt>
                <c:pt idx="127">
                  <c:v>987.73450653522946</c:v>
                </c:pt>
                <c:pt idx="128">
                  <c:v>995.63521871913645</c:v>
                </c:pt>
                <c:pt idx="129">
                  <c:v>1003.3932980349711</c:v>
                </c:pt>
                <c:pt idx="130">
                  <c:v>1011.0103073162556</c:v>
                </c:pt>
                <c:pt idx="131">
                  <c:v>1018.4877624108186</c:v>
                </c:pt>
                <c:pt idx="132">
                  <c:v>1025.8271337420806</c:v>
                </c:pt>
                <c:pt idx="133">
                  <c:v>1033.0298478002455</c:v>
                </c:pt>
                <c:pt idx="134">
                  <c:v>1040.0972885670628</c:v>
                </c:pt>
                <c:pt idx="135">
                  <c:v>1047.0307988775985</c:v>
                </c:pt>
                <c:pt idx="136">
                  <c:v>1053.8316817222535</c:v>
                </c:pt>
                <c:pt idx="137">
                  <c:v>1060.5012014920705</c:v>
                </c:pt>
                <c:pt idx="138">
                  <c:v>1067.040585170196</c:v>
                </c:pt>
                <c:pt idx="139">
                  <c:v>1073.451023472192</c:v>
                </c:pt>
                <c:pt idx="140">
                  <c:v>1079.7336719377458</c:v>
                </c:pt>
                <c:pt idx="141">
                  <c:v>1085.8896519761738</c:v>
                </c:pt>
                <c:pt idx="142">
                  <c:v>1091.9200518679845</c:v>
                </c:pt>
                <c:pt idx="143">
                  <c:v>1097.825927724643</c:v>
                </c:pt>
                <c:pt idx="144">
                  <c:v>1103.6083044085585</c:v>
                </c:pt>
                <c:pt idx="145">
                  <c:v>1109.2681764152117</c:v>
                </c:pt>
                <c:pt idx="146">
                  <c:v>1114.8065087192344</c:v>
                </c:pt>
                <c:pt idx="147">
                  <c:v>1120.2242375861679</c:v>
                </c:pt>
                <c:pt idx="148">
                  <c:v>1125.5222713515259</c:v>
                </c:pt>
                <c:pt idx="149">
                  <c:v>1130.7014911687254</c:v>
                </c:pt>
                <c:pt idx="150">
                  <c:v>1135.7627517273568</c:v>
                </c:pt>
                <c:pt idx="151">
                  <c:v>1140.7068819432088</c:v>
                </c:pt>
                <c:pt idx="152">
                  <c:v>1145.5346856213951</c:v>
                </c:pt>
                <c:pt idx="153">
                  <c:v>1150.2469420938705</c:v>
                </c:pt>
                <c:pt idx="154">
                  <c:v>1154.8444068325782</c:v>
                </c:pt>
                <c:pt idx="155">
                  <c:v>1159.3278120394136</c:v>
                </c:pt>
                <c:pt idx="156">
                  <c:v>1163.6978672141579</c:v>
                </c:pt>
                <c:pt idx="157">
                  <c:v>1167.9552597014863</c:v>
                </c:pt>
                <c:pt idx="158">
                  <c:v>1172.100655218135</c:v>
                </c:pt>
                <c:pt idx="159">
                  <c:v>1176.1346983612727</c:v>
                </c:pt>
                <c:pt idx="160">
                  <c:v>1180.0580130991107</c:v>
                </c:pt>
                <c:pt idx="161">
                  <c:v>1183.8712032447586</c:v>
                </c:pt>
                <c:pt idx="162">
                  <c:v>1187.574852914332</c:v>
                </c:pt>
                <c:pt idx="163">
                  <c:v>1191.1695269703032</c:v>
                </c:pt>
                <c:pt idx="164">
                  <c:v>1194.6557714510941</c:v>
                </c:pt>
                <c:pt idx="165">
                  <c:v>1198.0341139879129</c:v>
                </c:pt>
                <c:pt idx="166">
                  <c:v>1201.3050642098508</c:v>
                </c:pt>
                <c:pt idx="167">
                  <c:v>1204.469114138278</c:v>
                </c:pt>
                <c:pt idx="168">
                  <c:v>1207.5267385716029</c:v>
                </c:pt>
                <c:pt idx="169">
                  <c:v>1210.4783954614975</c:v>
                </c:pt>
                <c:pt idx="170">
                  <c:v>1213.3245262817375</c:v>
                </c:pt>
                <c:pt idx="171">
                  <c:v>1216.0655563908572</c:v>
                </c:pt>
                <c:pt idx="172">
                  <c:v>1218.7018953898848</c:v>
                </c:pt>
                <c:pt idx="173">
                  <c:v>1221.2339374764977</c:v>
                </c:pt>
                <c:pt idx="174">
                  <c:v>1223.6620617970166</c:v>
                </c:pt>
                <c:pt idx="175">
                  <c:v>1225.986632797755</c:v>
                </c:pt>
                <c:pt idx="176">
                  <c:v>1228.2080005773382</c:v>
                </c:pt>
                <c:pt idx="177">
                  <c:v>1230.3265012417176</c:v>
                </c:pt>
                <c:pt idx="178">
                  <c:v>1232.3424572637227</c:v>
                </c:pt>
                <c:pt idx="179">
                  <c:v>1234.2561778491124</c:v>
                </c:pt>
                <c:pt idx="180">
                  <c:v>1236.0679593112077</c:v>
                </c:pt>
                <c:pt idx="181">
                  <c:v>1237.7780854563041</c:v>
                </c:pt>
                <c:pt idx="182">
                  <c:v>1239.3868279821681</c:v>
                </c:pt>
                <c:pt idx="183">
                  <c:v>1240.894446892004</c:v>
                </c:pt>
                <c:pt idx="184">
                  <c:v>1242.30119092634</c:v>
                </c:pt>
                <c:pt idx="185">
                  <c:v>1243.607298015294</c:v>
                </c:pt>
                <c:pt idx="186">
                  <c:v>1244.8129957536416</c:v>
                </c:pt>
                <c:pt idx="187">
                  <c:v>1245.9185019010076</c:v>
                </c:pt>
                <c:pt idx="188">
                  <c:v>1246.9240249093009</c:v>
                </c:pt>
                <c:pt idx="189">
                  <c:v>1247.8297644792301</c:v>
                </c:pt>
                <c:pt idx="190">
                  <c:v>1248.6359121473317</c:v>
                </c:pt>
                <c:pt idx="191">
                  <c:v>1249.3426519044181</c:v>
                </c:pt>
                <c:pt idx="192">
                  <c:v>1249.9501608457081</c:v>
                </c:pt>
                <c:pt idx="193">
                  <c:v>1250.4586098521379</c:v>
                </c:pt>
                <c:pt idx="194">
                  <c:v>1250.8681643014875</c:v>
                </c:pt>
                <c:pt idx="195">
                  <c:v>1251.1789848070164</c:v>
                </c:pt>
                <c:pt idx="196">
                  <c:v>1251.3912279803328</c:v>
                </c:pt>
                <c:pt idx="197">
                  <c:v>1251.5050472142614</c:v>
                </c:pt>
                <c:pt idx="198">
                  <c:v>1251.5205934805861</c:v>
                </c:pt>
                <c:pt idx="199">
                  <c:v>1251.4380161367837</c:v>
                </c:pt>
                <c:pt idx="200">
                  <c:v>1251.2574637352866</c:v>
                </c:pt>
                <c:pt idx="201">
                  <c:v>1250.9790848284513</c:v>
                </c:pt>
                <c:pt idx="202">
                  <c:v>1250.6030287623121</c:v>
                </c:pt>
                <c:pt idx="203">
                  <c:v>1250.1294464523469</c:v>
                </c:pt>
                <c:pt idx="204">
                  <c:v>1249.5584911348919</c:v>
                </c:pt>
                <c:pt idx="205">
                  <c:v>1248.8903190884614</c:v>
                </c:pt>
                <c:pt idx="206">
                  <c:v>1248.1250903200237</c:v>
                </c:pt>
                <c:pt idx="207">
                  <c:v>1247.2629692121948</c:v>
                </c:pt>
                <c:pt idx="208">
                  <c:v>1246.304125128288</c:v>
                </c:pt>
                <c:pt idx="209">
                  <c:v>1245.2487329731259</c:v>
                </c:pt>
                <c:pt idx="210">
                  <c:v>1244.0969737084629</c:v>
                </c:pt>
                <c:pt idx="211">
                  <c:v>1242.8490348227042</c:v>
                </c:pt>
                <c:pt idx="212">
                  <c:v>1241.5051107553631</c:v>
                </c:pt>
                <c:pt idx="213">
                  <c:v>1240.0654032773039</c:v>
                </c:pt>
                <c:pt idx="214">
                  <c:v>1238.5301218283196</c:v>
                </c:pt>
                <c:pt idx="215">
                  <c:v>1236.8994838139611</c:v>
                </c:pt>
                <c:pt idx="216">
                  <c:v>1235.1737148637885</c:v>
                </c:pt>
                <c:pt idx="217">
                  <c:v>1233.3530490533772</c:v>
                </c:pt>
                <c:pt idx="218">
                  <c:v>1231.4377290924838</c:v>
                </c:pt>
                <c:pt idx="219">
                  <c:v>1229.4280064817851</c:v>
                </c:pt>
                <c:pt idx="220">
                  <c:v>1227.3241416405558</c:v>
                </c:pt>
                <c:pt idx="221">
                  <c:v>1225.1264040075689</c:v>
                </c:pt>
                <c:pt idx="222">
                  <c:v>1222.8350721173897</c:v>
                </c:pt>
                <c:pt idx="223">
                  <c:v>1220.4504336541058</c:v>
                </c:pt>
                <c:pt idx="224">
                  <c:v>1217.9727854843968</c:v>
                </c:pt>
                <c:pt idx="225">
                  <c:v>1215.4024336717055</c:v>
                </c:pt>
                <c:pt idx="226">
                  <c:v>1212.7396934731328</c:v>
                </c:pt>
                <c:pt idx="227">
                  <c:v>1209.9848893205415</c:v>
                </c:pt>
                <c:pt idx="228">
                  <c:v>1207.1383547872249</c:v>
                </c:pt>
                <c:pt idx="229">
                  <c:v>1204.2004325413748</c:v>
                </c:pt>
                <c:pt idx="230">
                  <c:v>1201.1714742874713</c:v>
                </c:pt>
                <c:pt idx="231">
                  <c:v>1198.0518406966148</c:v>
                </c:pt>
                <c:pt idx="232">
                  <c:v>1194.8419013267237</c:v>
                </c:pt>
                <c:pt idx="233">
                  <c:v>1191.5420345334394</c:v>
                </c:pt>
                <c:pt idx="234">
                  <c:v>1188.1526273725015</c:v>
                </c:pt>
                <c:pt idx="235">
                  <c:v>1184.6740754942884</c:v>
                </c:pt>
                <c:pt idx="236">
                  <c:v>1181.1067830311554</c:v>
                </c:pt>
                <c:pt idx="237">
                  <c:v>1177.4511624781483</c:v>
                </c:pt>
                <c:pt idx="238">
                  <c:v>1173.7076345676226</c:v>
                </c:pt>
                <c:pt idx="239">
                  <c:v>1169.8766281382507</c:v>
                </c:pt>
                <c:pt idx="240">
                  <c:v>1165.9585799988668</c:v>
                </c:pt>
                <c:pt idx="241">
                  <c:v>1161.9539347875575</c:v>
                </c:pt>
                <c:pt idx="242">
                  <c:v>1157.8631448263832</c:v>
                </c:pt>
                <c:pt idx="243">
                  <c:v>1153.6866699720788</c:v>
                </c:pt>
                <c:pt idx="244">
                  <c:v>1149.4249774630684</c:v>
                </c:pt>
                <c:pt idx="245">
                  <c:v>1145.0785417630982</c:v>
                </c:pt>
                <c:pt idx="246">
                  <c:v>1140.6478444017757</c:v>
                </c:pt>
                <c:pt idx="247">
                  <c:v>1136.1333738122892</c:v>
                </c:pt>
                <c:pt idx="248">
                  <c:v>1131.5356251665596</c:v>
                </c:pt>
                <c:pt idx="249">
                  <c:v>1126.8551002080681</c:v>
                </c:pt>
                <c:pt idx="250">
                  <c:v>1122.0923070825875</c:v>
                </c:pt>
                <c:pt idx="251">
                  <c:v>1117.2477601670366</c:v>
                </c:pt>
                <c:pt idx="252">
                  <c:v>1112.3219798966618</c:v>
                </c:pt>
                <c:pt idx="253">
                  <c:v>1107.3154925907465</c:v>
                </c:pt>
                <c:pt idx="254">
                  <c:v>1102.2288302770373</c:v>
                </c:pt>
                <c:pt idx="255">
                  <c:v>1097.0625305150661</c:v>
                </c:pt>
                <c:pt idx="256">
                  <c:v>1091.8171362185449</c:v>
                </c:pt>
                <c:pt idx="257">
                  <c:v>1086.4931954769988</c:v>
                </c:pt>
                <c:pt idx="258">
                  <c:v>1081.0912613767996</c:v>
                </c:pt>
                <c:pt idx="259">
                  <c:v>1075.6118918217528</c:v>
                </c:pt>
                <c:pt idx="260">
                  <c:v>1070.0556493533909</c:v>
                </c:pt>
                <c:pt idx="261">
                  <c:v>1064.4231009711141</c:v>
                </c:pt>
                <c:pt idx="262">
                  <c:v>1058.714817952319</c:v>
                </c:pt>
                <c:pt idx="263">
                  <c:v>1052.9313756726506</c:v>
                </c:pt>
                <c:pt idx="264">
                  <c:v>1047.0733534265064</c:v>
                </c:pt>
                <c:pt idx="265">
                  <c:v>1041.1413342479179</c:v>
                </c:pt>
                <c:pt idx="266">
                  <c:v>1035.135904731932</c:v>
                </c:pt>
                <c:pt idx="267">
                  <c:v>1029.0576548566089</c:v>
                </c:pt>
                <c:pt idx="268">
                  <c:v>1022.9071778057489</c:v>
                </c:pt>
                <c:pt idx="269">
                  <c:v>1016.685069792459</c:v>
                </c:pt>
                <c:pt idx="270">
                  <c:v>1010.3919298836631</c:v>
                </c:pt>
                <c:pt idx="271">
                  <c:v>1004.0283598256586</c:v>
                </c:pt>
                <c:pt idx="272">
                  <c:v>997.59496387081708</c:v>
                </c:pt>
                <c:pt idx="273">
                  <c:v>991.09234860552283</c:v>
                </c:pt>
                <c:pt idx="274">
                  <c:v>984.52112277944161</c:v>
                </c:pt>
                <c:pt idx="275">
                  <c:v>977.88189713620557</c:v>
                </c:pt>
                <c:pt idx="276">
                  <c:v>971.17528424559862</c:v>
                </c:pt>
                <c:pt idx="277">
                  <c:v>964.40189833732336</c:v>
                </c:pt>
                <c:pt idx="278">
                  <c:v>957.56235513642582</c:v>
                </c:pt>
                <c:pt idx="279">
                  <c:v>950.65727170045216</c:v>
                </c:pt>
                <c:pt idx="280">
                  <c:v>943.68726625840804</c:v>
                </c:pt>
                <c:pt idx="281">
                  <c:v>936.65295805158758</c:v>
                </c:pt>
                <c:pt idx="282">
                  <c:v>929.55496717633605</c:v>
                </c:pt>
                <c:pt idx="283">
                  <c:v>922.39391442880708</c:v>
                </c:pt>
                <c:pt idx="284">
                  <c:v>915.17042115177196</c:v>
                </c:pt>
                <c:pt idx="285">
                  <c:v>907.88510908353646</c:v>
                </c:pt>
                <c:pt idx="286">
                  <c:v>900.53860020901504</c:v>
                </c:pt>
                <c:pt idx="287">
                  <c:v>893.13151661301288</c:v>
                </c:pt>
                <c:pt idx="288">
                  <c:v>885.66448033575966</c:v>
                </c:pt>
                <c:pt idx="289">
                  <c:v>878.13811323073867</c:v>
                </c:pt>
                <c:pt idx="290">
                  <c:v>870.55303682485089</c:v>
                </c:pt>
                <c:pt idx="291">
                  <c:v>862.90987218094995</c:v>
                </c:pt>
                <c:pt idx="292">
                  <c:v>855.20923976278334</c:v>
                </c:pt>
                <c:pt idx="293">
                  <c:v>847.45175930237019</c:v>
                </c:pt>
                <c:pt idx="294">
                  <c:v>839.63804966984435</c:v>
                </c:pt>
                <c:pt idx="295">
                  <c:v>831.7687287457893</c:v>
                </c:pt>
                <c:pt idx="296">
                  <c:v>823.84441329608705</c:v>
                </c:pt>
                <c:pt idx="297">
                  <c:v>815.86571884930288</c:v>
                </c:pt>
                <c:pt idx="298">
                  <c:v>807.83325957662373</c:v>
                </c:pt>
                <c:pt idx="299">
                  <c:v>799.74764817436551</c:v>
                </c:pt>
                <c:pt idx="300">
                  <c:v>791.60949574906363</c:v>
                </c:pt>
                <c:pt idx="301">
                  <c:v>783.41941170515702</c:v>
                </c:pt>
                <c:pt idx="302">
                  <c:v>775.17800363527499</c:v>
                </c:pt>
                <c:pt idx="303">
                  <c:v>766.88587721313297</c:v>
                </c:pt>
                <c:pt idx="304">
                  <c:v>758.54363608904168</c:v>
                </c:pt>
                <c:pt idx="305">
                  <c:v>750.15188178803203</c:v>
                </c:pt>
                <c:pt idx="306">
                  <c:v>741.71121361059613</c:v>
                </c:pt>
                <c:pt idx="307">
                  <c:v>733.22222853604183</c:v>
                </c:pt>
                <c:pt idx="308">
                  <c:v>724.68552112845816</c:v>
                </c:pt>
                <c:pt idx="309">
                  <c:v>716.10168344528552</c:v>
                </c:pt>
                <c:pt idx="310">
                  <c:v>707.47130494848273</c:v>
                </c:pt>
                <c:pt idx="311">
                  <c:v>698.79497241828267</c:v>
                </c:pt>
                <c:pt idx="312">
                  <c:v>690.07326986952512</c:v>
                </c:pt>
                <c:pt idx="313">
                  <c:v>681.30677847055483</c:v>
                </c:pt>
                <c:pt idx="314">
                  <c:v>672.49607646466973</c:v>
                </c:pt>
                <c:pt idx="315">
                  <c:v>663.64173909410499</c:v>
                </c:pt>
                <c:pt idx="316">
                  <c:v>654.7443385265351</c:v>
                </c:pt>
                <c:pt idx="317">
                  <c:v>645.80444378407583</c:v>
                </c:pt>
                <c:pt idx="318">
                  <c:v>636.82262067476665</c:v>
                </c:pt>
                <c:pt idx="319">
                  <c:v>627.7994317265119</c:v>
                </c:pt>
                <c:pt idx="320">
                  <c:v>618.73543612345918</c:v>
                </c:pt>
                <c:pt idx="321">
                  <c:v>609.63118964479133</c:v>
                </c:pt>
                <c:pt idx="322">
                  <c:v>600.4872446059079</c:v>
                </c:pt>
                <c:pt idx="323">
                  <c:v>591.30414980196986</c:v>
                </c:pt>
                <c:pt idx="324">
                  <c:v>582.0824504537818</c:v>
                </c:pt>
                <c:pt idx="325">
                  <c:v>572.822688155984</c:v>
                </c:pt>
                <c:pt idx="326">
                  <c:v>563.52540082752614</c:v>
                </c:pt>
                <c:pt idx="327">
                  <c:v>554.19112266439345</c:v>
                </c:pt>
                <c:pt idx="328">
                  <c:v>544.82038409455527</c:v>
                </c:pt>
                <c:pt idx="329">
                  <c:v>535.41371173510618</c:v>
                </c:pt>
                <c:pt idx="330">
                  <c:v>525.97162835156757</c:v>
                </c:pt>
                <c:pt idx="331">
                  <c:v>516.49465281931816</c:v>
                </c:pt>
                <c:pt idx="332">
                  <c:v>506.98330008712117</c:v>
                </c:pt>
                <c:pt idx="333">
                  <c:v>497.43808114271519</c:v>
                </c:pt>
                <c:pt idx="334">
                  <c:v>487.85950298043497</c:v>
                </c:pt>
                <c:pt idx="335">
                  <c:v>478.24806857082871</c:v>
                </c:pt>
                <c:pt idx="336">
                  <c:v>468.60427683223708</c:v>
                </c:pt>
                <c:pt idx="337">
                  <c:v>458.92862260430007</c:v>
                </c:pt>
                <c:pt idx="338">
                  <c:v>449.22159662335622</c:v>
                </c:pt>
                <c:pt idx="339">
                  <c:v>439.48368549969922</c:v>
                </c:pt>
                <c:pt idx="340">
                  <c:v>429.71537169665658</c:v>
                </c:pt>
                <c:pt idx="341">
                  <c:v>419.91713351145478</c:v>
                </c:pt>
                <c:pt idx="342">
                  <c:v>410.08944505783529</c:v>
                </c:pt>
                <c:pt idx="343">
                  <c:v>400.23277625038526</c:v>
                </c:pt>
                <c:pt idx="344">
                  <c:v>390.34759279054737</c:v>
                </c:pt>
                <c:pt idx="345">
                  <c:v>380.4343561542729</c:v>
                </c:pt>
                <c:pt idx="346">
                  <c:v>370.49352358128175</c:v>
                </c:pt>
                <c:pt idx="347">
                  <c:v>360.52554806589353</c:v>
                </c:pt>
                <c:pt idx="348">
                  <c:v>350.5308783493943</c:v>
                </c:pt>
                <c:pt idx="349">
                  <c:v>340.50995891390244</c:v>
                </c:pt>
                <c:pt idx="350">
                  <c:v>330.4632299776984</c:v>
                </c:pt>
                <c:pt idx="351">
                  <c:v>320.39112749198267</c:v>
                </c:pt>
                <c:pt idx="352">
                  <c:v>310.29408313902638</c:v>
                </c:pt>
                <c:pt idx="353">
                  <c:v>300.1725243316796</c:v>
                </c:pt>
                <c:pt idx="354">
                  <c:v>290.02687421420183</c:v>
                </c:pt>
                <c:pt idx="355">
                  <c:v>279.85755166438025</c:v>
                </c:pt>
                <c:pt idx="356">
                  <c:v>269.66497129690117</c:v>
                </c:pt>
                <c:pt idx="357">
                  <c:v>259.44954346793992</c:v>
                </c:pt>
                <c:pt idx="358">
                  <c:v>249.21167428093585</c:v>
                </c:pt>
                <c:pt idx="359">
                  <c:v>238.95176559351791</c:v>
                </c:pt>
                <c:pt idx="360">
                  <c:v>228.67021502554812</c:v>
                </c:pt>
                <c:pt idx="361">
                  <c:v>218.36741596824947</c:v>
                </c:pt>
                <c:pt idx="362">
                  <c:v>208.04375759438562</c:v>
                </c:pt>
                <c:pt idx="363">
                  <c:v>197.69962486946</c:v>
                </c:pt>
                <c:pt idx="364">
                  <c:v>187.3353985639024</c:v>
                </c:pt>
                <c:pt idx="365">
                  <c:v>176.95145526621147</c:v>
                </c:pt>
                <c:pt idx="366">
                  <c:v>166.54816739702179</c:v>
                </c:pt>
                <c:pt idx="367">
                  <c:v>156.12590322406481</c:v>
                </c:pt>
                <c:pt idx="368">
                  <c:v>145.68502687799347</c:v>
                </c:pt>
                <c:pt idx="369">
                  <c:v>135.2258983690401</c:v>
                </c:pt>
                <c:pt idx="370">
                  <c:v>124.74887360447867</c:v>
                </c:pt>
                <c:pt idx="371">
                  <c:v>114.25430440686191</c:v>
                </c:pt>
                <c:pt idx="372">
                  <c:v>103.74253853300476</c:v>
                </c:pt>
                <c:pt idx="373">
                  <c:v>93.213919693686307</c:v>
                </c:pt>
                <c:pt idx="374">
                  <c:v>82.668787574042028</c:v>
                </c:pt>
                <c:pt idx="375">
                  <c:v>72.107477854619532</c:v>
                </c:pt>
                <c:pt idx="376">
                  <c:v>61.530322233070812</c:v>
                </c:pt>
                <c:pt idx="377">
                  <c:v>50.937648446454865</c:v>
                </c:pt>
                <c:pt idx="378">
                  <c:v>40.329780294124731</c:v>
                </c:pt>
                <c:pt idx="379">
                  <c:v>29.7070376611738</c:v>
                </c:pt>
                <c:pt idx="380">
                  <c:v>19.069736542416365</c:v>
                </c:pt>
                <c:pt idx="381">
                  <c:v>8.418189066878238</c:v>
                </c:pt>
                <c:pt idx="382">
                  <c:v>-2.247296477226616</c:v>
                </c:pt>
                <c:pt idx="383">
                  <c:v>-2.2579688619526315</c:v>
                </c:pt>
                <c:pt idx="384">
                  <c:v>-2.2686412601608077</c:v>
                </c:pt>
                <c:pt idx="385">
                  <c:v>-2.2793136718508462</c:v>
                </c:pt>
                <c:pt idx="386">
                  <c:v>-2.289986097022449</c:v>
                </c:pt>
                <c:pt idx="387">
                  <c:v>-2.3006585356753178</c:v>
                </c:pt>
                <c:pt idx="388">
                  <c:v>-2.3113309878091539</c:v>
                </c:pt>
                <c:pt idx="389">
                  <c:v>-2.3220034534236591</c:v>
                </c:pt>
                <c:pt idx="390">
                  <c:v>-2.3326759325185353</c:v>
                </c:pt>
                <c:pt idx="391">
                  <c:v>-2.3433484250934842</c:v>
                </c:pt>
                <c:pt idx="392">
                  <c:v>-2.3540209311482077</c:v>
                </c:pt>
                <c:pt idx="393">
                  <c:v>-2.3646934506824073</c:v>
                </c:pt>
                <c:pt idx="394">
                  <c:v>-2.3753659836957848</c:v>
                </c:pt>
                <c:pt idx="395">
                  <c:v>-2.3860385301880416</c:v>
                </c:pt>
                <c:pt idx="396">
                  <c:v>-2.3967110901588797</c:v>
                </c:pt>
                <c:pt idx="397">
                  <c:v>-2.4073836636080008</c:v>
                </c:pt>
                <c:pt idx="398">
                  <c:v>-2.4180562505351069</c:v>
                </c:pt>
                <c:pt idx="399">
                  <c:v>-2.4287288509398994</c:v>
                </c:pt>
                <c:pt idx="400">
                  <c:v>-2.4394014648220801</c:v>
                </c:pt>
                <c:pt idx="401">
                  <c:v>-2.4500740921813509</c:v>
                </c:pt>
                <c:pt idx="402">
                  <c:v>-2.4607467330174133</c:v>
                </c:pt>
                <c:pt idx="403">
                  <c:v>-2.4714193873299695</c:v>
                </c:pt>
                <c:pt idx="404">
                  <c:v>-2.4820920551187209</c:v>
                </c:pt>
                <c:pt idx="405">
                  <c:v>-2.4927647363833692</c:v>
                </c:pt>
                <c:pt idx="406">
                  <c:v>-2.5034374311236163</c:v>
                </c:pt>
                <c:pt idx="407">
                  <c:v>-2.5141101393391638</c:v>
                </c:pt>
                <c:pt idx="408">
                  <c:v>-2.5247828610297138</c:v>
                </c:pt>
                <c:pt idx="409">
                  <c:v>-2.5354555961949679</c:v>
                </c:pt>
                <c:pt idx="410">
                  <c:v>-2.5461283448346279</c:v>
                </c:pt>
                <c:pt idx="411">
                  <c:v>-2.5568011069483956</c:v>
                </c:pt>
                <c:pt idx="412">
                  <c:v>-2.5674738825359724</c:v>
                </c:pt>
                <c:pt idx="413">
                  <c:v>-2.5781466715970605</c:v>
                </c:pt>
                <c:pt idx="414">
                  <c:v>-2.5888194741313617</c:v>
                </c:pt>
                <c:pt idx="415">
                  <c:v>-2.5994922901385777</c:v>
                </c:pt>
                <c:pt idx="416">
                  <c:v>-2.6101651196184106</c:v>
                </c:pt>
                <c:pt idx="417">
                  <c:v>-2.6208379625705618</c:v>
                </c:pt>
                <c:pt idx="418">
                  <c:v>-2.6315108189947334</c:v>
                </c:pt>
                <c:pt idx="419">
                  <c:v>-2.6421836888906269</c:v>
                </c:pt>
                <c:pt idx="420">
                  <c:v>-2.6528565722579445</c:v>
                </c:pt>
                <c:pt idx="421">
                  <c:v>-2.6635294690963875</c:v>
                </c:pt>
                <c:pt idx="422">
                  <c:v>-2.6742023794056582</c:v>
                </c:pt>
                <c:pt idx="423">
                  <c:v>-2.6848753031854584</c:v>
                </c:pt>
                <c:pt idx="424">
                  <c:v>-2.6955482404354898</c:v>
                </c:pt>
                <c:pt idx="425">
                  <c:v>-2.7062211911554543</c:v>
                </c:pt>
                <c:pt idx="426">
                  <c:v>-2.7168941553450536</c:v>
                </c:pt>
                <c:pt idx="427">
                  <c:v>-2.7275671330039897</c:v>
                </c:pt>
                <c:pt idx="428">
                  <c:v>-2.738240124131964</c:v>
                </c:pt>
                <c:pt idx="429">
                  <c:v>-2.7489131287286792</c:v>
                </c:pt>
                <c:pt idx="430">
                  <c:v>-2.7595861467938367</c:v>
                </c:pt>
                <c:pt idx="431">
                  <c:v>-2.7702591783271382</c:v>
                </c:pt>
                <c:pt idx="432">
                  <c:v>-2.7809322233282856</c:v>
                </c:pt>
                <c:pt idx="433">
                  <c:v>-2.791605281796981</c:v>
                </c:pt>
                <c:pt idx="434">
                  <c:v>-2.8022783537329259</c:v>
                </c:pt>
                <c:pt idx="435">
                  <c:v>-2.8129514391358228</c:v>
                </c:pt>
                <c:pt idx="436">
                  <c:v>-2.8236245380053728</c:v>
                </c:pt>
                <c:pt idx="437">
                  <c:v>-2.8342976503412785</c:v>
                </c:pt>
                <c:pt idx="438">
                  <c:v>-2.8449707761432412</c:v>
                </c:pt>
                <c:pt idx="439">
                  <c:v>-2.8556439154109632</c:v>
                </c:pt>
                <c:pt idx="440">
                  <c:v>-2.8663170681441463</c:v>
                </c:pt>
                <c:pt idx="441">
                  <c:v>-2.8769902343424922</c:v>
                </c:pt>
                <c:pt idx="442">
                  <c:v>-2.8876634140057029</c:v>
                </c:pt>
                <c:pt idx="443">
                  <c:v>-2.8983366071334804</c:v>
                </c:pt>
                <c:pt idx="444">
                  <c:v>-2.9090098137255267</c:v>
                </c:pt>
                <c:pt idx="445">
                  <c:v>-2.9196830337815434</c:v>
                </c:pt>
                <c:pt idx="446">
                  <c:v>-2.9303562673012329</c:v>
                </c:pt>
                <c:pt idx="447">
                  <c:v>-2.9410295142842968</c:v>
                </c:pt>
                <c:pt idx="448">
                  <c:v>-2.9517027747304367</c:v>
                </c:pt>
                <c:pt idx="449">
                  <c:v>-2.9623760486393551</c:v>
                </c:pt>
                <c:pt idx="450">
                  <c:v>-2.9730493360107535</c:v>
                </c:pt>
                <c:pt idx="451">
                  <c:v>-2.9837226368443339</c:v>
                </c:pt>
                <c:pt idx="452">
                  <c:v>-2.9943959511397984</c:v>
                </c:pt>
                <c:pt idx="453">
                  <c:v>-3.0050692788968489</c:v>
                </c:pt>
                <c:pt idx="454">
                  <c:v>-3.0157426201151876</c:v>
                </c:pt>
                <c:pt idx="455">
                  <c:v>-3.0264159747945159</c:v>
                </c:pt>
                <c:pt idx="456">
                  <c:v>-3.0370893429345363</c:v>
                </c:pt>
                <c:pt idx="457">
                  <c:v>-3.0477627245349503</c:v>
                </c:pt>
                <c:pt idx="458">
                  <c:v>-3.0584361195954601</c:v>
                </c:pt>
                <c:pt idx="459">
                  <c:v>-3.0691095281157676</c:v>
                </c:pt>
                <c:pt idx="460">
                  <c:v>-3.0797829500955749</c:v>
                </c:pt>
                <c:pt idx="461">
                  <c:v>-3.0904563855345839</c:v>
                </c:pt>
                <c:pt idx="462">
                  <c:v>-3.1011298344324962</c:v>
                </c:pt>
                <c:pt idx="463">
                  <c:v>-3.1118032967890144</c:v>
                </c:pt>
                <c:pt idx="464">
                  <c:v>-3.1224767726038403</c:v>
                </c:pt>
                <c:pt idx="465">
                  <c:v>-3.1331502618766756</c:v>
                </c:pt>
                <c:pt idx="466">
                  <c:v>-3.1438237646072222</c:v>
                </c:pt>
                <c:pt idx="467">
                  <c:v>-3.1544972807951828</c:v>
                </c:pt>
                <c:pt idx="468">
                  <c:v>-3.1651708104402587</c:v>
                </c:pt>
                <c:pt idx="469">
                  <c:v>-3.1758443535421521</c:v>
                </c:pt>
                <c:pt idx="470">
                  <c:v>-3.1865179101005654</c:v>
                </c:pt>
                <c:pt idx="471">
                  <c:v>-3.1971914801152002</c:v>
                </c:pt>
                <c:pt idx="472">
                  <c:v>-3.2078650635857584</c:v>
                </c:pt>
                <c:pt idx="473">
                  <c:v>-3.2185386605119422</c:v>
                </c:pt>
                <c:pt idx="474">
                  <c:v>-3.2292122708934539</c:v>
                </c:pt>
                <c:pt idx="475">
                  <c:v>-3.2398858947299951</c:v>
                </c:pt>
                <c:pt idx="476">
                  <c:v>-3.2505595320212679</c:v>
                </c:pt>
                <c:pt idx="477">
                  <c:v>-3.2612331827669743</c:v>
                </c:pt>
                <c:pt idx="478">
                  <c:v>-3.2719068469668167</c:v>
                </c:pt>
                <c:pt idx="479">
                  <c:v>-3.2825805246204967</c:v>
                </c:pt>
                <c:pt idx="480">
                  <c:v>-3.2932542157277163</c:v>
                </c:pt>
                <c:pt idx="481">
                  <c:v>-3.3039279202881779</c:v>
                </c:pt>
                <c:pt idx="482">
                  <c:v>-3.3146016383015837</c:v>
                </c:pt>
                <c:pt idx="483">
                  <c:v>-3.3252753697676352</c:v>
                </c:pt>
                <c:pt idx="484">
                  <c:v>-3.3359491146860347</c:v>
                </c:pt>
                <c:pt idx="485">
                  <c:v>-3.3466228730564844</c:v>
                </c:pt>
                <c:pt idx="486">
                  <c:v>-3.3572966448786863</c:v>
                </c:pt>
                <c:pt idx="487">
                  <c:v>-3.3679704301523423</c:v>
                </c:pt>
                <c:pt idx="488">
                  <c:v>-3.3786442288771545</c:v>
                </c:pt>
                <c:pt idx="489">
                  <c:v>-3.389318041052825</c:v>
                </c:pt>
                <c:pt idx="490">
                  <c:v>-3.3999918666790561</c:v>
                </c:pt>
                <c:pt idx="491">
                  <c:v>-3.4106657057555494</c:v>
                </c:pt>
                <c:pt idx="492">
                  <c:v>-3.4213395582820074</c:v>
                </c:pt>
                <c:pt idx="493">
                  <c:v>-3.4320134242581322</c:v>
                </c:pt>
                <c:pt idx="494">
                  <c:v>-3.4426873036836256</c:v>
                </c:pt>
                <c:pt idx="495">
                  <c:v>-3.4533611965581903</c:v>
                </c:pt>
                <c:pt idx="496">
                  <c:v>-3.4640351028815277</c:v>
                </c:pt>
                <c:pt idx="497">
                  <c:v>-3.4747090226533404</c:v>
                </c:pt>
                <c:pt idx="498">
                  <c:v>-3.4853829558733302</c:v>
                </c:pt>
                <c:pt idx="499">
                  <c:v>-3.4960569025411994</c:v>
                </c:pt>
                <c:pt idx="500">
                  <c:v>-3.5067308626566498</c:v>
                </c:pt>
                <c:pt idx="501">
                  <c:v>-3.5174048362193839</c:v>
                </c:pt>
                <c:pt idx="502">
                  <c:v>-3.5280788232291038</c:v>
                </c:pt>
                <c:pt idx="503">
                  <c:v>-3.5387528236855115</c:v>
                </c:pt>
                <c:pt idx="504">
                  <c:v>-3.5494268375883089</c:v>
                </c:pt>
                <c:pt idx="505">
                  <c:v>-3.5601008649371986</c:v>
                </c:pt>
                <c:pt idx="506">
                  <c:v>-3.5707749057318821</c:v>
                </c:pt>
                <c:pt idx="507">
                  <c:v>-3.5814489599720623</c:v>
                </c:pt>
                <c:pt idx="508">
                  <c:v>-3.5921230276574407</c:v>
                </c:pt>
                <c:pt idx="509">
                  <c:v>-3.60279710878772</c:v>
                </c:pt>
                <c:pt idx="510">
                  <c:v>-3.613471203362602</c:v>
                </c:pt>
                <c:pt idx="511">
                  <c:v>-3.6241453113817887</c:v>
                </c:pt>
                <c:pt idx="512">
                  <c:v>-3.6348194328449828</c:v>
                </c:pt>
                <c:pt idx="513">
                  <c:v>-3.645493567751886</c:v>
                </c:pt>
                <c:pt idx="514">
                  <c:v>-3.6561677161022006</c:v>
                </c:pt>
                <c:pt idx="515">
                  <c:v>-3.6668418778956289</c:v>
                </c:pt>
                <c:pt idx="516">
                  <c:v>-3.6775160531318729</c:v>
                </c:pt>
                <c:pt idx="517">
                  <c:v>-3.6881902418106352</c:v>
                </c:pt>
                <c:pt idx="518">
                  <c:v>-3.6988644439316172</c:v>
                </c:pt>
                <c:pt idx="519">
                  <c:v>-3.7095386594945219</c:v>
                </c:pt>
                <c:pt idx="520">
                  <c:v>-3.7202128884990509</c:v>
                </c:pt>
                <c:pt idx="521">
                  <c:v>-3.7308871309449065</c:v>
                </c:pt>
                <c:pt idx="522">
                  <c:v>-3.7415613868317914</c:v>
                </c:pt>
                <c:pt idx="523">
                  <c:v>-3.752235656159407</c:v>
                </c:pt>
                <c:pt idx="524">
                  <c:v>-3.7629099389274563</c:v>
                </c:pt>
                <c:pt idx="525">
                  <c:v>-3.7735842351356408</c:v>
                </c:pt>
                <c:pt idx="526">
                  <c:v>-3.784258544783663</c:v>
                </c:pt>
                <c:pt idx="527">
                  <c:v>-3.7949328678712253</c:v>
                </c:pt>
                <c:pt idx="528">
                  <c:v>-3.8056072043980298</c:v>
                </c:pt>
                <c:pt idx="529">
                  <c:v>-3.8162815543637789</c:v>
                </c:pt>
                <c:pt idx="530">
                  <c:v>-3.8269559177681747</c:v>
                </c:pt>
                <c:pt idx="531">
                  <c:v>-3.8376302946109191</c:v>
                </c:pt>
                <c:pt idx="532">
                  <c:v>-3.8483046848917146</c:v>
                </c:pt>
                <c:pt idx="533">
                  <c:v>-3.8589790886102633</c:v>
                </c:pt>
                <c:pt idx="534">
                  <c:v>-3.8696535057662675</c:v>
                </c:pt>
                <c:pt idx="535">
                  <c:v>-3.8803279363594299</c:v>
                </c:pt>
                <c:pt idx="536">
                  <c:v>-3.8910023803894522</c:v>
                </c:pt>
                <c:pt idx="537">
                  <c:v>-3.9016768378560367</c:v>
                </c:pt>
                <c:pt idx="538">
                  <c:v>-3.9123513087588861</c:v>
                </c:pt>
                <c:pt idx="539">
                  <c:v>-3.9230257930977022</c:v>
                </c:pt>
                <c:pt idx="540">
                  <c:v>-3.9337002908721872</c:v>
                </c:pt>
                <c:pt idx="541">
                  <c:v>-3.9443748020820437</c:v>
                </c:pt>
                <c:pt idx="542">
                  <c:v>-3.9550493267269742</c:v>
                </c:pt>
                <c:pt idx="543">
                  <c:v>-3.9657238648066802</c:v>
                </c:pt>
                <c:pt idx="544">
                  <c:v>-3.9763984163208645</c:v>
                </c:pt>
                <c:pt idx="545">
                  <c:v>-3.9870729812692294</c:v>
                </c:pt>
                <c:pt idx="546">
                  <c:v>-3.9977475596514771</c:v>
                </c:pt>
                <c:pt idx="547">
                  <c:v>-4.0084221514673102</c:v>
                </c:pt>
                <c:pt idx="548">
                  <c:v>-4.0190967567164302</c:v>
                </c:pt>
                <c:pt idx="549">
                  <c:v>-4.02977137539854</c:v>
                </c:pt>
                <c:pt idx="550">
                  <c:v>-4.0404460075133422</c:v>
                </c:pt>
                <c:pt idx="551">
                  <c:v>-4.0511206530605381</c:v>
                </c:pt>
                <c:pt idx="552">
                  <c:v>-4.0617953120398305</c:v>
                </c:pt>
                <c:pt idx="553">
                  <c:v>-4.0724699844509216</c:v>
                </c:pt>
                <c:pt idx="554">
                  <c:v>-4.0831446702935139</c:v>
                </c:pt>
                <c:pt idx="555">
                  <c:v>-4.09381936956731</c:v>
                </c:pt>
                <c:pt idx="556">
                  <c:v>-4.1044940822720122</c:v>
                </c:pt>
                <c:pt idx="557">
                  <c:v>-4.1151688084073221</c:v>
                </c:pt>
                <c:pt idx="558">
                  <c:v>-4.1258435479729432</c:v>
                </c:pt>
                <c:pt idx="559">
                  <c:v>-4.1365183009685769</c:v>
                </c:pt>
                <c:pt idx="560">
                  <c:v>-4.1471930673939257</c:v>
                </c:pt>
                <c:pt idx="561">
                  <c:v>-4.1578678472486921</c:v>
                </c:pt>
                <c:pt idx="562">
                  <c:v>-4.1685426405325785</c:v>
                </c:pt>
                <c:pt idx="563">
                  <c:v>-4.1792174472452865</c:v>
                </c:pt>
                <c:pt idx="564">
                  <c:v>-4.1898922673865195</c:v>
                </c:pt>
                <c:pt idx="565">
                  <c:v>-4.2005671009559791</c:v>
                </c:pt>
                <c:pt idx="566">
                  <c:v>-4.2112419479533685</c:v>
                </c:pt>
                <c:pt idx="567">
                  <c:v>-4.2219168083783893</c:v>
                </c:pt>
                <c:pt idx="568">
                  <c:v>-4.2325916822307441</c:v>
                </c:pt>
                <c:pt idx="569">
                  <c:v>-4.2432665695101353</c:v>
                </c:pt>
                <c:pt idx="570">
                  <c:v>-4.2539414702162652</c:v>
                </c:pt>
                <c:pt idx="571">
                  <c:v>-4.2646163843488365</c:v>
                </c:pt>
                <c:pt idx="572">
                  <c:v>-4.2752913119075515</c:v>
                </c:pt>
                <c:pt idx="573">
                  <c:v>-4.2859662528921119</c:v>
                </c:pt>
                <c:pt idx="574">
                  <c:v>-4.2966412073022209</c:v>
                </c:pt>
                <c:pt idx="575">
                  <c:v>-4.307316175137581</c:v>
                </c:pt>
                <c:pt idx="576">
                  <c:v>-4.3179911563978939</c:v>
                </c:pt>
                <c:pt idx="577">
                  <c:v>-4.3286661510828619</c:v>
                </c:pt>
                <c:pt idx="578">
                  <c:v>-4.3393411591921884</c:v>
                </c:pt>
                <c:pt idx="579">
                  <c:v>-4.3500161807255751</c:v>
                </c:pt>
                <c:pt idx="580">
                  <c:v>-4.3606912156827242</c:v>
                </c:pt>
                <c:pt idx="581">
                  <c:v>-4.3713662640633384</c:v>
                </c:pt>
                <c:pt idx="582">
                  <c:v>-4.3820413258671209</c:v>
                </c:pt>
                <c:pt idx="583">
                  <c:v>-4.3927164010937734</c:v>
                </c:pt>
                <c:pt idx="584">
                  <c:v>-4.4033914897429982</c:v>
                </c:pt>
                <c:pt idx="585">
                  <c:v>-4.4140665918144979</c:v>
                </c:pt>
                <c:pt idx="586">
                  <c:v>-4.4247417073079749</c:v>
                </c:pt>
                <c:pt idx="587">
                  <c:v>-4.4354168362231317</c:v>
                </c:pt>
                <c:pt idx="588">
                  <c:v>-4.4460919785596706</c:v>
                </c:pt>
                <c:pt idx="589">
                  <c:v>-4.4567671343172943</c:v>
                </c:pt>
                <c:pt idx="590">
                  <c:v>-4.4674423034957051</c:v>
                </c:pt>
                <c:pt idx="591">
                  <c:v>-4.4781174860946056</c:v>
                </c:pt>
                <c:pt idx="592">
                  <c:v>-4.4887926821136972</c:v>
                </c:pt>
                <c:pt idx="593">
                  <c:v>-4.4994678915526833</c:v>
                </c:pt>
                <c:pt idx="594">
                  <c:v>-4.5101431144112665</c:v>
                </c:pt>
                <c:pt idx="595">
                  <c:v>-4.5208183506891491</c:v>
                </c:pt>
                <c:pt idx="596">
                  <c:v>-4.5314936003860335</c:v>
                </c:pt>
                <c:pt idx="597">
                  <c:v>-4.5421688635016224</c:v>
                </c:pt>
                <c:pt idx="598">
                  <c:v>-4.5528441400356181</c:v>
                </c:pt>
                <c:pt idx="599">
                  <c:v>-4.5635194299877231</c:v>
                </c:pt>
                <c:pt idx="600">
                  <c:v>-4.5741947333576398</c:v>
                </c:pt>
                <c:pt idx="601">
                  <c:v>-4.5848700501450708</c:v>
                </c:pt>
                <c:pt idx="602">
                  <c:v>-4.5955453803497184</c:v>
                </c:pt>
                <c:pt idx="603">
                  <c:v>-4.606220723971286</c:v>
                </c:pt>
                <c:pt idx="604">
                  <c:v>-4.6168960810094752</c:v>
                </c:pt>
                <c:pt idx="605">
                  <c:v>-4.6275714514639885</c:v>
                </c:pt>
                <c:pt idx="606">
                  <c:v>-4.6382468353345283</c:v>
                </c:pt>
                <c:pt idx="607">
                  <c:v>-4.648922232620798</c:v>
                </c:pt>
                <c:pt idx="608">
                  <c:v>-4.659597643322499</c:v>
                </c:pt>
                <c:pt idx="609">
                  <c:v>-4.6702730674393349</c:v>
                </c:pt>
                <c:pt idx="610">
                  <c:v>-4.6809485049710071</c:v>
                </c:pt>
                <c:pt idx="611">
                  <c:v>-4.691623955917219</c:v>
                </c:pt>
                <c:pt idx="612">
                  <c:v>-4.7022994202776731</c:v>
                </c:pt>
                <c:pt idx="613">
                  <c:v>-4.7129748980520718</c:v>
                </c:pt>
                <c:pt idx="614">
                  <c:v>-4.7236503892401176</c:v>
                </c:pt>
                <c:pt idx="615">
                  <c:v>-4.7343258938415129</c:v>
                </c:pt>
                <c:pt idx="616">
                  <c:v>-4.7450014118559602</c:v>
                </c:pt>
                <c:pt idx="617">
                  <c:v>-4.755676943283162</c:v>
                </c:pt>
                <c:pt idx="618">
                  <c:v>-4.7663524881228208</c:v>
                </c:pt>
                <c:pt idx="619">
                  <c:v>-4.7770280463746397</c:v>
                </c:pt>
                <c:pt idx="620">
                  <c:v>-4.7877036180383206</c:v>
                </c:pt>
                <c:pt idx="621">
                  <c:v>-4.7983792031135666</c:v>
                </c:pt>
                <c:pt idx="622">
                  <c:v>-4.8090548016000803</c:v>
                </c:pt>
                <c:pt idx="623">
                  <c:v>-4.819730413497564</c:v>
                </c:pt>
                <c:pt idx="624">
                  <c:v>-4.8304060388057204</c:v>
                </c:pt>
                <c:pt idx="625">
                  <c:v>-4.8410816775242518</c:v>
                </c:pt>
                <c:pt idx="626">
                  <c:v>-4.8517573296528607</c:v>
                </c:pt>
                <c:pt idx="627">
                  <c:v>-4.8624329951912504</c:v>
                </c:pt>
                <c:pt idx="628">
                  <c:v>-4.8731086741391225</c:v>
                </c:pt>
                <c:pt idx="629">
                  <c:v>-4.8837843664961804</c:v>
                </c:pt>
                <c:pt idx="630">
                  <c:v>-4.8944600722621265</c:v>
                </c:pt>
                <c:pt idx="631">
                  <c:v>-4.9051357914366633</c:v>
                </c:pt>
                <c:pt idx="632">
                  <c:v>-4.9158115240194933</c:v>
                </c:pt>
                <c:pt idx="633">
                  <c:v>-4.9264872700103197</c:v>
                </c:pt>
                <c:pt idx="634">
                  <c:v>-4.9371630294088442</c:v>
                </c:pt>
                <c:pt idx="635">
                  <c:v>-4.9478388022147701</c:v>
                </c:pt>
                <c:pt idx="636">
                  <c:v>-4.9585145884277999</c:v>
                </c:pt>
                <c:pt idx="637">
                  <c:v>-4.969190388047636</c:v>
                </c:pt>
                <c:pt idx="638">
                  <c:v>-4.9798662010739809</c:v>
                </c:pt>
                <c:pt idx="639">
                  <c:v>-4.990542027506538</c:v>
                </c:pt>
                <c:pt idx="640">
                  <c:v>-5.0012178673450096</c:v>
                </c:pt>
                <c:pt idx="641">
                  <c:v>-5.0118937205890983</c:v>
                </c:pt>
                <c:pt idx="642">
                  <c:v>-5.0225695872385065</c:v>
                </c:pt>
                <c:pt idx="643">
                  <c:v>-5.0332454672929368</c:v>
                </c:pt>
                <c:pt idx="644">
                  <c:v>-5.0439213607520923</c:v>
                </c:pt>
                <c:pt idx="645">
                  <c:v>-5.0545972676156747</c:v>
                </c:pt>
                <c:pt idx="646">
                  <c:v>-5.0652731878833874</c:v>
                </c:pt>
                <c:pt idx="647">
                  <c:v>-5.0759491215549337</c:v>
                </c:pt>
                <c:pt idx="648">
                  <c:v>-5.0866250686300152</c:v>
                </c:pt>
                <c:pt idx="649">
                  <c:v>-5.0973010291083352</c:v>
                </c:pt>
                <c:pt idx="650">
                  <c:v>-5.1079770029895961</c:v>
                </c:pt>
                <c:pt idx="651">
                  <c:v>-5.1186529902735005</c:v>
                </c:pt>
                <c:pt idx="652">
                  <c:v>-5.1293289909597508</c:v>
                </c:pt>
                <c:pt idx="653">
                  <c:v>-5.1400050050480504</c:v>
                </c:pt>
                <c:pt idx="654">
                  <c:v>-5.1506810325381016</c:v>
                </c:pt>
                <c:pt idx="655">
                  <c:v>-5.161357073429607</c:v>
                </c:pt>
                <c:pt idx="656">
                  <c:v>-5.17203312772227</c:v>
                </c:pt>
                <c:pt idx="657">
                  <c:v>-5.182709195415792</c:v>
                </c:pt>
                <c:pt idx="658">
                  <c:v>-5.1933852765098765</c:v>
                </c:pt>
                <c:pt idx="659">
                  <c:v>-5.2040613710042267</c:v>
                </c:pt>
                <c:pt idx="660">
                  <c:v>-5.2147374788985443</c:v>
                </c:pt>
                <c:pt idx="661">
                  <c:v>-5.2254136001925326</c:v>
                </c:pt>
                <c:pt idx="662">
                  <c:v>-5.2360897348858941</c:v>
                </c:pt>
                <c:pt idx="663">
                  <c:v>-5.2467658829783321</c:v>
                </c:pt>
                <c:pt idx="664">
                  <c:v>-5.2574420444695482</c:v>
                </c:pt>
                <c:pt idx="665">
                  <c:v>-5.2681182193592457</c:v>
                </c:pt>
                <c:pt idx="666">
                  <c:v>-5.278794407647128</c:v>
                </c:pt>
                <c:pt idx="667">
                  <c:v>-5.2894706093328967</c:v>
                </c:pt>
                <c:pt idx="668">
                  <c:v>-5.3001468244162551</c:v>
                </c:pt>
                <c:pt idx="669">
                  <c:v>-5.3108230528969065</c:v>
                </c:pt>
                <c:pt idx="670">
                  <c:v>-5.3214992947745525</c:v>
                </c:pt>
                <c:pt idx="671">
                  <c:v>-5.3321755500488965</c:v>
                </c:pt>
                <c:pt idx="672">
                  <c:v>-5.3428518187196419</c:v>
                </c:pt>
                <c:pt idx="673">
                  <c:v>-5.3535281007864901</c:v>
                </c:pt>
                <c:pt idx="674">
                  <c:v>-5.3642043962491446</c:v>
                </c:pt>
                <c:pt idx="675">
                  <c:v>-5.3748807051073078</c:v>
                </c:pt>
                <c:pt idx="676">
                  <c:v>-5.385557027360683</c:v>
                </c:pt>
                <c:pt idx="677">
                  <c:v>-5.3962333630089727</c:v>
                </c:pt>
                <c:pt idx="678">
                  <c:v>-5.4069097120518794</c:v>
                </c:pt>
                <c:pt idx="679">
                  <c:v>-5.4175860744891065</c:v>
                </c:pt>
                <c:pt idx="680">
                  <c:v>-5.4282624503203563</c:v>
                </c:pt>
                <c:pt idx="681">
                  <c:v>-5.4389388395453322</c:v>
                </c:pt>
                <c:pt idx="682">
                  <c:v>-5.4496152421637358</c:v>
                </c:pt>
                <c:pt idx="683">
                  <c:v>-5.4602916581752714</c:v>
                </c:pt>
                <c:pt idx="684">
                  <c:v>-5.4709680875796405</c:v>
                </c:pt>
                <c:pt idx="685">
                  <c:v>-5.4816445303765464</c:v>
                </c:pt>
                <c:pt idx="686">
                  <c:v>-5.4923209865656926</c:v>
                </c:pt>
                <c:pt idx="687">
                  <c:v>-5.5029974561467805</c:v>
                </c:pt>
                <c:pt idx="688">
                  <c:v>-5.5136739391195144</c:v>
                </c:pt>
                <c:pt idx="689">
                  <c:v>-5.5243504354835959</c:v>
                </c:pt>
                <c:pt idx="690">
                  <c:v>-5.5350269452387284</c:v>
                </c:pt>
                <c:pt idx="691">
                  <c:v>-5.5457034683846143</c:v>
                </c:pt>
                <c:pt idx="692">
                  <c:v>-5.5563800049209568</c:v>
                </c:pt>
                <c:pt idx="693">
                  <c:v>-5.5670565548474586</c:v>
                </c:pt>
                <c:pt idx="694">
                  <c:v>-5.577733118163823</c:v>
                </c:pt>
                <c:pt idx="695">
                  <c:v>-5.5884096948697524</c:v>
                </c:pt>
                <c:pt idx="696">
                  <c:v>-5.5990862849649501</c:v>
                </c:pt>
                <c:pt idx="697">
                  <c:v>-5.6097628884491186</c:v>
                </c:pt>
                <c:pt idx="698">
                  <c:v>-5.6204395053219605</c:v>
                </c:pt>
                <c:pt idx="699">
                  <c:v>-5.6311161355831789</c:v>
                </c:pt>
                <c:pt idx="700">
                  <c:v>-5.6417927792324765</c:v>
                </c:pt>
                <c:pt idx="701">
                  <c:v>-5.6524694362695564</c:v>
                </c:pt>
                <c:pt idx="702">
                  <c:v>-5.6631461066941213</c:v>
                </c:pt>
                <c:pt idx="703">
                  <c:v>-5.6738227905058745</c:v>
                </c:pt>
                <c:pt idx="704">
                  <c:v>-5.6844994877045183</c:v>
                </c:pt>
                <c:pt idx="705">
                  <c:v>-5.6951761982897553</c:v>
                </c:pt>
                <c:pt idx="706">
                  <c:v>-5.7058529222612888</c:v>
                </c:pt>
                <c:pt idx="707">
                  <c:v>-5.7165296596188222</c:v>
                </c:pt>
                <c:pt idx="708">
                  <c:v>-5.7272064103620579</c:v>
                </c:pt>
                <c:pt idx="709">
                  <c:v>-5.7378831744906984</c:v>
                </c:pt>
                <c:pt idx="710">
                  <c:v>-5.748559952004447</c:v>
                </c:pt>
                <c:pt idx="711">
                  <c:v>-5.7592367429030071</c:v>
                </c:pt>
                <c:pt idx="712">
                  <c:v>-5.7699135471860812</c:v>
                </c:pt>
                <c:pt idx="713">
                  <c:v>-5.7805903648533716</c:v>
                </c:pt>
                <c:pt idx="714">
                  <c:v>-5.7912671959045818</c:v>
                </c:pt>
                <c:pt idx="715">
                  <c:v>-5.8019440403394151</c:v>
                </c:pt>
                <c:pt idx="716">
                  <c:v>-5.812620898157574</c:v>
                </c:pt>
                <c:pt idx="717">
                  <c:v>-5.8232977693587618</c:v>
                </c:pt>
                <c:pt idx="718">
                  <c:v>-5.8339746539426809</c:v>
                </c:pt>
                <c:pt idx="719">
                  <c:v>-5.8446515519090338</c:v>
                </c:pt>
                <c:pt idx="720">
                  <c:v>-5.855328463257524</c:v>
                </c:pt>
                <c:pt idx="721">
                  <c:v>-5.8660053879878546</c:v>
                </c:pt>
                <c:pt idx="722">
                  <c:v>-5.8766823260997283</c:v>
                </c:pt>
                <c:pt idx="723">
                  <c:v>-5.8873592775928483</c:v>
                </c:pt>
                <c:pt idx="724">
                  <c:v>-5.898036242466917</c:v>
                </c:pt>
                <c:pt idx="725">
                  <c:v>-5.908713220721638</c:v>
                </c:pt>
                <c:pt idx="726">
                  <c:v>-5.9193902123567144</c:v>
                </c:pt>
                <c:pt idx="727">
                  <c:v>-5.9300672173718487</c:v>
                </c:pt>
                <c:pt idx="728">
                  <c:v>-5.9407442357667435</c:v>
                </c:pt>
                <c:pt idx="729">
                  <c:v>-5.951421267541102</c:v>
                </c:pt>
                <c:pt idx="730">
                  <c:v>-5.9620983126946276</c:v>
                </c:pt>
                <c:pt idx="731">
                  <c:v>-5.9727753712270228</c:v>
                </c:pt>
                <c:pt idx="732">
                  <c:v>-5.983452443137991</c:v>
                </c:pt>
                <c:pt idx="733">
                  <c:v>-5.9941295284272345</c:v>
                </c:pt>
                <c:pt idx="734">
                  <c:v>-6.0048066270944576</c:v>
                </c:pt>
                <c:pt idx="735">
                  <c:v>-6.0154837391393619</c:v>
                </c:pt>
                <c:pt idx="736">
                  <c:v>-6.0261608645616507</c:v>
                </c:pt>
                <c:pt idx="737">
                  <c:v>-6.0368380033610274</c:v>
                </c:pt>
                <c:pt idx="738">
                  <c:v>-6.0475151555371953</c:v>
                </c:pt>
                <c:pt idx="739">
                  <c:v>-6.0581923210898569</c:v>
                </c:pt>
                <c:pt idx="740">
                  <c:v>-6.0688695000187147</c:v>
                </c:pt>
                <c:pt idx="741">
                  <c:v>-6.0795466923234729</c:v>
                </c:pt>
                <c:pt idx="742">
                  <c:v>-6.0902238980038339</c:v>
                </c:pt>
                <c:pt idx="743">
                  <c:v>-6.1009011170595002</c:v>
                </c:pt>
                <c:pt idx="744">
                  <c:v>-6.1115783494901752</c:v>
                </c:pt>
                <c:pt idx="745">
                  <c:v>-6.1222555952955622</c:v>
                </c:pt>
                <c:pt idx="746">
                  <c:v>-6.1329328544753645</c:v>
                </c:pt>
                <c:pt idx="747">
                  <c:v>-6.1436101270292847</c:v>
                </c:pt>
                <c:pt idx="748">
                  <c:v>-6.1542874129570251</c:v>
                </c:pt>
                <c:pt idx="749">
                  <c:v>-6.16496471225829</c:v>
                </c:pt>
                <c:pt idx="750">
                  <c:v>-6.1756420249327819</c:v>
                </c:pt>
                <c:pt idx="751">
                  <c:v>-6.1863193509802041</c:v>
                </c:pt>
                <c:pt idx="752">
                  <c:v>-6.1969966904002591</c:v>
                </c:pt>
                <c:pt idx="753">
                  <c:v>-6.2076740431926503</c:v>
                </c:pt>
                <c:pt idx="754">
                  <c:v>-6.2183514093570809</c:v>
                </c:pt>
                <c:pt idx="755">
                  <c:v>-6.2290287888932534</c:v>
                </c:pt>
                <c:pt idx="756">
                  <c:v>-6.2397061818008712</c:v>
                </c:pt>
                <c:pt idx="757">
                  <c:v>-6.2503835880796377</c:v>
                </c:pt>
                <c:pt idx="758">
                  <c:v>-6.2610610077292561</c:v>
                </c:pt>
                <c:pt idx="759">
                  <c:v>-6.271738440749429</c:v>
                </c:pt>
                <c:pt idx="760">
                  <c:v>-6.2824158871398597</c:v>
                </c:pt>
                <c:pt idx="761">
                  <c:v>-6.2930933469002506</c:v>
                </c:pt>
                <c:pt idx="762">
                  <c:v>-6.303770820030306</c:v>
                </c:pt>
                <c:pt idx="763">
                  <c:v>-6.3144483065297283</c:v>
                </c:pt>
                <c:pt idx="764">
                  <c:v>-6.3251258063982201</c:v>
                </c:pt>
                <c:pt idx="765">
                  <c:v>-6.3358033196354855</c:v>
                </c:pt>
                <c:pt idx="766">
                  <c:v>-6.346480846241227</c:v>
                </c:pt>
                <c:pt idx="767">
                  <c:v>-6.3571583862151479</c:v>
                </c:pt>
                <c:pt idx="768">
                  <c:v>-6.3678359395569508</c:v>
                </c:pt>
                <c:pt idx="769">
                  <c:v>-6.3785135062663398</c:v>
                </c:pt>
                <c:pt idx="770">
                  <c:v>-6.3891910863430175</c:v>
                </c:pt>
                <c:pt idx="771">
                  <c:v>-6.3998686797866871</c:v>
                </c:pt>
                <c:pt idx="772">
                  <c:v>-6.4105462865970511</c:v>
                </c:pt>
                <c:pt idx="773">
                  <c:v>-6.4212239067738137</c:v>
                </c:pt>
                <c:pt idx="774">
                  <c:v>-6.4319015403166775</c:v>
                </c:pt>
                <c:pt idx="775">
                  <c:v>-6.4425791872253457</c:v>
                </c:pt>
                <c:pt idx="776">
                  <c:v>-6.4532568474995209</c:v>
                </c:pt>
                <c:pt idx="777">
                  <c:v>-6.4639345211389072</c:v>
                </c:pt>
                <c:pt idx="778">
                  <c:v>-6.4746122081432071</c:v>
                </c:pt>
                <c:pt idx="779">
                  <c:v>-6.4852899085121241</c:v>
                </c:pt>
                <c:pt idx="780">
                  <c:v>-6.4959676222453613</c:v>
                </c:pt>
                <c:pt idx="781">
                  <c:v>-6.5066453493426213</c:v>
                </c:pt>
                <c:pt idx="782">
                  <c:v>-6.5173230898036083</c:v>
                </c:pt>
                <c:pt idx="783">
                  <c:v>-6.5280008436280248</c:v>
                </c:pt>
                <c:pt idx="784">
                  <c:v>-6.5386786108155741</c:v>
                </c:pt>
                <c:pt idx="785">
                  <c:v>-6.5493563913659587</c:v>
                </c:pt>
                <c:pt idx="786">
                  <c:v>-6.5600341852788828</c:v>
                </c:pt>
                <c:pt idx="787">
                  <c:v>-6.5707119925540489</c:v>
                </c:pt>
                <c:pt idx="788">
                  <c:v>-6.5813898131911603</c:v>
                </c:pt>
                <c:pt idx="789">
                  <c:v>-6.5920676471899204</c:v>
                </c:pt>
                <c:pt idx="790">
                  <c:v>-6.6027454945500326</c:v>
                </c:pt>
                <c:pt idx="791">
                  <c:v>-6.6134233552712001</c:v>
                </c:pt>
                <c:pt idx="792">
                  <c:v>-6.6241012293531254</c:v>
                </c:pt>
                <c:pt idx="793">
                  <c:v>-6.6347791167955128</c:v>
                </c:pt>
                <c:pt idx="794">
                  <c:v>-6.6454570175980647</c:v>
                </c:pt>
                <c:pt idx="795">
                  <c:v>-6.6561349317604845</c:v>
                </c:pt>
                <c:pt idx="796">
                  <c:v>-6.6668128592824756</c:v>
                </c:pt>
                <c:pt idx="797">
                  <c:v>-6.6774908001637412</c:v>
                </c:pt>
                <c:pt idx="798">
                  <c:v>-6.6881687544039838</c:v>
                </c:pt>
                <c:pt idx="799">
                  <c:v>-6.6988467220029078</c:v>
                </c:pt>
                <c:pt idx="800">
                  <c:v>-6.7095247029602154</c:v>
                </c:pt>
                <c:pt idx="801">
                  <c:v>-6.7202026972756101</c:v>
                </c:pt>
                <c:pt idx="802">
                  <c:v>-6.7308807049487953</c:v>
                </c:pt>
                <c:pt idx="803">
                  <c:v>-6.7415587259794743</c:v>
                </c:pt>
                <c:pt idx="804">
                  <c:v>-6.7522367603673503</c:v>
                </c:pt>
                <c:pt idx="805">
                  <c:v>-6.7629148081121269</c:v>
                </c:pt>
                <c:pt idx="806">
                  <c:v>-6.7735928692135063</c:v>
                </c:pt>
                <c:pt idx="807">
                  <c:v>-6.784270943671193</c:v>
                </c:pt>
                <c:pt idx="808">
                  <c:v>-6.7949490314848893</c:v>
                </c:pt>
                <c:pt idx="809">
                  <c:v>-6.8056271326542985</c:v>
                </c:pt>
                <c:pt idx="810">
                  <c:v>-6.816305247179125</c:v>
                </c:pt>
                <c:pt idx="811">
                  <c:v>-6.8269833750590712</c:v>
                </c:pt>
                <c:pt idx="812">
                  <c:v>-6.8376615162938403</c:v>
                </c:pt>
                <c:pt idx="813">
                  <c:v>-6.8483396708831359</c:v>
                </c:pt>
                <c:pt idx="814">
                  <c:v>-6.8590178388266612</c:v>
                </c:pt>
                <c:pt idx="815">
                  <c:v>-6.8696960201241186</c:v>
                </c:pt>
                <c:pt idx="816">
                  <c:v>-6.8803742147752125</c:v>
                </c:pt>
                <c:pt idx="817">
                  <c:v>-6.8910524227796461</c:v>
                </c:pt>
                <c:pt idx="818">
                  <c:v>-6.901730644137122</c:v>
                </c:pt>
                <c:pt idx="819">
                  <c:v>-6.9124088788473443</c:v>
                </c:pt>
                <c:pt idx="820">
                  <c:v>-6.9230871269100165</c:v>
                </c:pt>
                <c:pt idx="821">
                  <c:v>-6.9337653883248409</c:v>
                </c:pt>
                <c:pt idx="822">
                  <c:v>-6.9444436630915209</c:v>
                </c:pt>
                <c:pt idx="823">
                  <c:v>-6.9551219512097608</c:v>
                </c:pt>
                <c:pt idx="824">
                  <c:v>-6.9658002526792631</c:v>
                </c:pt>
                <c:pt idx="825">
                  <c:v>-6.9764785674997318</c:v>
                </c:pt>
                <c:pt idx="826">
                  <c:v>-6.9871568956708696</c:v>
                </c:pt>
                <c:pt idx="827">
                  <c:v>-6.9978352371923798</c:v>
                </c:pt>
                <c:pt idx="828">
                  <c:v>-7.0085135920639665</c:v>
                </c:pt>
                <c:pt idx="829">
                  <c:v>-7.0191919602853323</c:v>
                </c:pt>
                <c:pt idx="830">
                  <c:v>-7.0298703418561805</c:v>
                </c:pt>
                <c:pt idx="831">
                  <c:v>-7.0405487367762145</c:v>
                </c:pt>
                <c:pt idx="832">
                  <c:v>-7.0512271450451385</c:v>
                </c:pt>
                <c:pt idx="833">
                  <c:v>-7.0619055666626549</c:v>
                </c:pt>
                <c:pt idx="834">
                  <c:v>-7.0725840016284671</c:v>
                </c:pt>
                <c:pt idx="835">
                  <c:v>-7.0832624499422785</c:v>
                </c:pt>
                <c:pt idx="836">
                  <c:v>-7.0939409116037933</c:v>
                </c:pt>
                <c:pt idx="837">
                  <c:v>-7.1046193866127139</c:v>
                </c:pt>
                <c:pt idx="838">
                  <c:v>-7.1152978749687437</c:v>
                </c:pt>
                <c:pt idx="839">
                  <c:v>-7.1259763766715869</c:v>
                </c:pt>
                <c:pt idx="840">
                  <c:v>-7.136654891720946</c:v>
                </c:pt>
                <c:pt idx="841">
                  <c:v>-7.1473334201165253</c:v>
                </c:pt>
                <c:pt idx="842">
                  <c:v>-7.1580119618580271</c:v>
                </c:pt>
                <c:pt idx="843">
                  <c:v>-7.1686905169451558</c:v>
                </c:pt>
                <c:pt idx="844">
                  <c:v>-7.1793690853776138</c:v>
                </c:pt>
                <c:pt idx="845">
                  <c:v>-7.1900476671551052</c:v>
                </c:pt>
                <c:pt idx="846">
                  <c:v>-7.2007262622773336</c:v>
                </c:pt>
                <c:pt idx="847">
                  <c:v>-7.2114048707440013</c:v>
                </c:pt>
                <c:pt idx="848">
                  <c:v>-7.2220834925548125</c:v>
                </c:pt>
                <c:pt idx="849">
                  <c:v>-7.2327621277094707</c:v>
                </c:pt>
                <c:pt idx="850">
                  <c:v>-7.2434407762076791</c:v>
                </c:pt>
                <c:pt idx="851">
                  <c:v>-7.2541194380491412</c:v>
                </c:pt>
                <c:pt idx="852">
                  <c:v>-7.2647981132335602</c:v>
                </c:pt>
                <c:pt idx="853">
                  <c:v>-7.2754768017606404</c:v>
                </c:pt>
                <c:pt idx="854">
                  <c:v>-7.2861555036300842</c:v>
                </c:pt>
                <c:pt idx="855">
                  <c:v>-7.296834218841596</c:v>
                </c:pt>
                <c:pt idx="856">
                  <c:v>-7.3075129473948781</c:v>
                </c:pt>
                <c:pt idx="857">
                  <c:v>-7.3181916892896348</c:v>
                </c:pt>
                <c:pt idx="858">
                  <c:v>-7.3288704445255686</c:v>
                </c:pt>
                <c:pt idx="859">
                  <c:v>-7.3395492131023836</c:v>
                </c:pt>
                <c:pt idx="860">
                  <c:v>-7.3502279950197833</c:v>
                </c:pt>
                <c:pt idx="861">
                  <c:v>-7.360906790277471</c:v>
                </c:pt>
                <c:pt idx="862">
                  <c:v>-7.3715855988751509</c:v>
                </c:pt>
                <c:pt idx="863">
                  <c:v>-7.3822644208125254</c:v>
                </c:pt>
                <c:pt idx="864">
                  <c:v>-7.3929432560892989</c:v>
                </c:pt>
                <c:pt idx="865">
                  <c:v>-7.4036221047051738</c:v>
                </c:pt>
                <c:pt idx="866">
                  <c:v>-7.4143009666598543</c:v>
                </c:pt>
                <c:pt idx="867">
                  <c:v>-7.4249798419530437</c:v>
                </c:pt>
                <c:pt idx="868">
                  <c:v>-7.4356587305844455</c:v>
                </c:pt>
                <c:pt idx="869">
                  <c:v>-7.4463376325537629</c:v>
                </c:pt>
                <c:pt idx="870">
                  <c:v>-7.4570165478607002</c:v>
                </c:pt>
                <c:pt idx="871">
                  <c:v>-7.4676954765049599</c:v>
                </c:pt>
                <c:pt idx="872">
                  <c:v>-7.4783744184862462</c:v>
                </c:pt>
                <c:pt idx="873">
                  <c:v>-7.4890533738042624</c:v>
                </c:pt>
                <c:pt idx="874">
                  <c:v>-7.4997323424587119</c:v>
                </c:pt>
                <c:pt idx="875">
                  <c:v>-7.510411324449298</c:v>
                </c:pt>
                <c:pt idx="876">
                  <c:v>-7.5210903197757251</c:v>
                </c:pt>
                <c:pt idx="877">
                  <c:v>-7.5317693284376954</c:v>
                </c:pt>
                <c:pt idx="878">
                  <c:v>-7.5424483504349134</c:v>
                </c:pt>
                <c:pt idx="879">
                  <c:v>-7.5531273857670822</c:v>
                </c:pt>
                <c:pt idx="880">
                  <c:v>-7.5638064344339053</c:v>
                </c:pt>
                <c:pt idx="881">
                  <c:v>-7.574485496435087</c:v>
                </c:pt>
                <c:pt idx="882">
                  <c:v>-7.5851645717703295</c:v>
                </c:pt>
                <c:pt idx="883">
                  <c:v>-7.5958436604393373</c:v>
                </c:pt>
                <c:pt idx="884">
                  <c:v>-7.6065227624418137</c:v>
                </c:pt>
                <c:pt idx="885">
                  <c:v>-7.6172018777774619</c:v>
                </c:pt>
                <c:pt idx="886">
                  <c:v>-7.6278810064459863</c:v>
                </c:pt>
                <c:pt idx="887">
                  <c:v>-7.6385601484470902</c:v>
                </c:pt>
                <c:pt idx="888">
                  <c:v>-7.6492393037804769</c:v>
                </c:pt>
                <c:pt idx="889">
                  <c:v>-7.6599184724458498</c:v>
                </c:pt>
                <c:pt idx="890">
                  <c:v>-7.6705976544429122</c:v>
                </c:pt>
                <c:pt idx="891">
                  <c:v>-7.6812768497713684</c:v>
                </c:pt>
                <c:pt idx="892">
                  <c:v>-7.6919560584309217</c:v>
                </c:pt>
                <c:pt idx="893">
                  <c:v>-7.7026352804212754</c:v>
                </c:pt>
                <c:pt idx="894">
                  <c:v>-7.7133145157421339</c:v>
                </c:pt>
                <c:pt idx="895">
                  <c:v>-7.7239937643931995</c:v>
                </c:pt>
                <c:pt idx="896">
                  <c:v>-7.7346730263741774</c:v>
                </c:pt>
                <c:pt idx="897">
                  <c:v>-7.7453523016847701</c:v>
                </c:pt>
                <c:pt idx="898">
                  <c:v>-7.7560315903246808</c:v>
                </c:pt>
                <c:pt idx="899">
                  <c:v>-7.7667108922936139</c:v>
                </c:pt>
                <c:pt idx="900">
                  <c:v>-7.7773902075912726</c:v>
                </c:pt>
                <c:pt idx="901">
                  <c:v>-7.7880695362173613</c:v>
                </c:pt>
                <c:pt idx="902">
                  <c:v>-7.7987488781715824</c:v>
                </c:pt>
                <c:pt idx="903">
                  <c:v>-7.80942823345364</c:v>
                </c:pt>
                <c:pt idx="904">
                  <c:v>-7.8201076020632385</c:v>
                </c:pt>
                <c:pt idx="905">
                  <c:v>-7.8307869840000803</c:v>
                </c:pt>
                <c:pt idx="906">
                  <c:v>-7.8414663792638697</c:v>
                </c:pt>
                <c:pt idx="907">
                  <c:v>-7.8521457878543108</c:v>
                </c:pt>
                <c:pt idx="908">
                  <c:v>-7.8628252097711062</c:v>
                </c:pt>
                <c:pt idx="909">
                  <c:v>-7.8735046450139601</c:v>
                </c:pt>
                <c:pt idx="910">
                  <c:v>-7.8841840935825758</c:v>
                </c:pt>
                <c:pt idx="911">
                  <c:v>-7.8948635554766575</c:v>
                </c:pt>
                <c:pt idx="912">
                  <c:v>-7.9055430306959087</c:v>
                </c:pt>
                <c:pt idx="913">
                  <c:v>-7.9162225192400326</c:v>
                </c:pt>
                <c:pt idx="914">
                  <c:v>-7.9269020211087327</c:v>
                </c:pt>
                <c:pt idx="915">
                  <c:v>-7.937581536301713</c:v>
                </c:pt>
                <c:pt idx="916">
                  <c:v>-7.9482610648186771</c:v>
                </c:pt>
                <c:pt idx="917">
                  <c:v>-7.9589406066593291</c:v>
                </c:pt>
                <c:pt idx="918">
                  <c:v>-7.9696201618233724</c:v>
                </c:pt>
                <c:pt idx="919">
                  <c:v>-7.9802997303105103</c:v>
                </c:pt>
                <c:pt idx="920">
                  <c:v>-7.9909793121204471</c:v>
                </c:pt>
                <c:pt idx="921">
                  <c:v>-8.001658907252887</c:v>
                </c:pt>
                <c:pt idx="922">
                  <c:v>-8.0123385157075315</c:v>
                </c:pt>
                <c:pt idx="923">
                  <c:v>-8.0230181374840868</c:v>
                </c:pt>
                <c:pt idx="924">
                  <c:v>-8.0336977725822543</c:v>
                </c:pt>
                <c:pt idx="925">
                  <c:v>-8.0443774210017391</c:v>
                </c:pt>
                <c:pt idx="926">
                  <c:v>-8.0550570827422447</c:v>
                </c:pt>
                <c:pt idx="927">
                  <c:v>-8.0657367578034744</c:v>
                </c:pt>
                <c:pt idx="928">
                  <c:v>-8.0764164461851333</c:v>
                </c:pt>
                <c:pt idx="929">
                  <c:v>-8.087096147886923</c:v>
                </c:pt>
                <c:pt idx="930">
                  <c:v>-8.0977758629085486</c:v>
                </c:pt>
                <c:pt idx="931">
                  <c:v>-8.1084555912497134</c:v>
                </c:pt>
                <c:pt idx="932">
                  <c:v>-8.1191353329101208</c:v>
                </c:pt>
                <c:pt idx="933">
                  <c:v>-8.1298150878894759</c:v>
                </c:pt>
                <c:pt idx="934">
                  <c:v>-8.1404948561874804</c:v>
                </c:pt>
                <c:pt idx="935">
                  <c:v>-8.1511746378038392</c:v>
                </c:pt>
                <c:pt idx="936">
                  <c:v>-8.1618544327382558</c:v>
                </c:pt>
                <c:pt idx="937">
                  <c:v>-8.1725342409904354</c:v>
                </c:pt>
                <c:pt idx="938">
                  <c:v>-8.1832140625600793</c:v>
                </c:pt>
                <c:pt idx="939">
                  <c:v>-8.1938938974468929</c:v>
                </c:pt>
                <c:pt idx="940">
                  <c:v>-8.2045737456505794</c:v>
                </c:pt>
                <c:pt idx="941">
                  <c:v>-8.2152536071708422</c:v>
                </c:pt>
                <c:pt idx="942">
                  <c:v>-8.2259334820073864</c:v>
                </c:pt>
                <c:pt idx="943">
                  <c:v>-8.2366133701599136</c:v>
                </c:pt>
                <c:pt idx="944">
                  <c:v>-8.2472932716281289</c:v>
                </c:pt>
                <c:pt idx="945">
                  <c:v>-8.2579731864117356</c:v>
                </c:pt>
                <c:pt idx="946">
                  <c:v>-8.2686531145104389</c:v>
                </c:pt>
                <c:pt idx="947">
                  <c:v>-8.2793330559239404</c:v>
                </c:pt>
                <c:pt idx="948">
                  <c:v>-8.2900130106519452</c:v>
                </c:pt>
                <c:pt idx="949">
                  <c:v>-8.3006929786941566</c:v>
                </c:pt>
                <c:pt idx="950">
                  <c:v>-8.3113729600502797</c:v>
                </c:pt>
                <c:pt idx="951">
                  <c:v>-8.3220529547200162</c:v>
                </c:pt>
                <c:pt idx="952">
                  <c:v>-8.3327329627030711</c:v>
                </c:pt>
                <c:pt idx="953">
                  <c:v>-8.3434129839991478</c:v>
                </c:pt>
                <c:pt idx="954">
                  <c:v>-8.3540930186079496</c:v>
                </c:pt>
                <c:pt idx="955">
                  <c:v>-8.3647730665291817</c:v>
                </c:pt>
                <c:pt idx="956">
                  <c:v>-8.3754531277625475</c:v>
                </c:pt>
                <c:pt idx="957">
                  <c:v>-8.3861332023077502</c:v>
                </c:pt>
                <c:pt idx="958">
                  <c:v>-8.3968132901644932</c:v>
                </c:pt>
                <c:pt idx="959">
                  <c:v>-8.4074933913324816</c:v>
                </c:pt>
                <c:pt idx="960">
                  <c:v>-8.4181735058114189</c:v>
                </c:pt>
                <c:pt idx="961">
                  <c:v>-8.4288536336010083</c:v>
                </c:pt>
                <c:pt idx="962">
                  <c:v>-8.4395337747009549</c:v>
                </c:pt>
                <c:pt idx="963">
                  <c:v>-8.4502139291109604</c:v>
                </c:pt>
                <c:pt idx="964">
                  <c:v>-8.4608940968307298</c:v>
                </c:pt>
                <c:pt idx="965">
                  <c:v>-8.4715742778599683</c:v>
                </c:pt>
                <c:pt idx="966">
                  <c:v>-8.4822544721983775</c:v>
                </c:pt>
                <c:pt idx="967">
                  <c:v>-8.4929346798456624</c:v>
                </c:pt>
                <c:pt idx="968">
                  <c:v>-8.5036149008015265</c:v>
                </c:pt>
                <c:pt idx="969">
                  <c:v>-8.5142951350656748</c:v>
                </c:pt>
                <c:pt idx="970">
                  <c:v>-8.524975382637809</c:v>
                </c:pt>
                <c:pt idx="971">
                  <c:v>-8.5356556435176358</c:v>
                </c:pt>
                <c:pt idx="972">
                  <c:v>-8.546335917704857</c:v>
                </c:pt>
                <c:pt idx="973">
                  <c:v>-8.5570162051991758</c:v>
                </c:pt>
                <c:pt idx="974">
                  <c:v>-8.5676965060002974</c:v>
                </c:pt>
                <c:pt idx="975">
                  <c:v>-8.5783768201079251</c:v>
                </c:pt>
                <c:pt idx="976">
                  <c:v>-8.5890571475217641</c:v>
                </c:pt>
                <c:pt idx="977">
                  <c:v>-8.5997374882415176</c:v>
                </c:pt>
                <c:pt idx="978">
                  <c:v>-8.6104178422668891</c:v>
                </c:pt>
                <c:pt idx="979">
                  <c:v>-8.6210982095975819</c:v>
                </c:pt>
                <c:pt idx="980">
                  <c:v>-8.6317785902333011</c:v>
                </c:pt>
                <c:pt idx="981">
                  <c:v>-8.64245898417375</c:v>
                </c:pt>
                <c:pt idx="982">
                  <c:v>-8.6531393914186321</c:v>
                </c:pt>
                <c:pt idx="983">
                  <c:v>-8.6638198119676524</c:v>
                </c:pt>
                <c:pt idx="984">
                  <c:v>-8.6745002458205143</c:v>
                </c:pt>
                <c:pt idx="985">
                  <c:v>-8.6851806929769211</c:v>
                </c:pt>
                <c:pt idx="986">
                  <c:v>-8.695861153436578</c:v>
                </c:pt>
                <c:pt idx="987">
                  <c:v>-8.7065416271991882</c:v>
                </c:pt>
                <c:pt idx="988">
                  <c:v>-8.7172221142644553</c:v>
                </c:pt>
                <c:pt idx="989">
                  <c:v>-8.7279026146320842</c:v>
                </c:pt>
                <c:pt idx="990">
                  <c:v>-8.7385831283017783</c:v>
                </c:pt>
                <c:pt idx="991">
                  <c:v>-8.749263655273241</c:v>
                </c:pt>
                <c:pt idx="992">
                  <c:v>-8.7599441955461774</c:v>
                </c:pt>
                <c:pt idx="993">
                  <c:v>-8.7706247491202909</c:v>
                </c:pt>
                <c:pt idx="994">
                  <c:v>-8.7813053159952847</c:v>
                </c:pt>
                <c:pt idx="995">
                  <c:v>-8.7919858961708623</c:v>
                </c:pt>
                <c:pt idx="996">
                  <c:v>-8.8026664896467288</c:v>
                </c:pt>
                <c:pt idx="997">
                  <c:v>-8.8133470964225893</c:v>
                </c:pt>
                <c:pt idx="998">
                  <c:v>-8.8240277164981453</c:v>
                </c:pt>
                <c:pt idx="999">
                  <c:v>-8.8347083498731021</c:v>
                </c:pt>
                <c:pt idx="1000">
                  <c:v>-8.8453889965471646</c:v>
                </c:pt>
              </c:numCache>
            </c:numRef>
          </c:yVal>
          <c:smooth val="0"/>
          <c:extLst>
            <c:ext xmlns:c16="http://schemas.microsoft.com/office/drawing/2014/chart" uri="{C3380CC4-5D6E-409C-BE32-E72D297353CC}">
              <c16:uniqueId val="{00000001-B5CC-4BD6-9E0D-EA30945FB569}"/>
            </c:ext>
          </c:extLst>
        </c:ser>
        <c:dLbls>
          <c:showLegendKey val="0"/>
          <c:showVal val="0"/>
          <c:showCatName val="0"/>
          <c:showSerName val="0"/>
          <c:showPercent val="0"/>
          <c:showBubbleSize val="0"/>
        </c:dLbls>
        <c:axId val="149619072"/>
        <c:axId val="149620992"/>
      </c:scatterChart>
      <c:valAx>
        <c:axId val="149619072"/>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0"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620992"/>
        <c:crosses val="autoZero"/>
        <c:crossBetween val="midCat"/>
      </c:valAx>
      <c:valAx>
        <c:axId val="149620992"/>
        <c:scaling>
          <c:orientation val="minMax"/>
          <c:min val="0"/>
        </c:scaling>
        <c:delete val="0"/>
        <c:axPos val="l"/>
        <c:majorGridlines>
          <c:spPr>
            <a:ln w="3175">
              <a:solidFill>
                <a:srgbClr val="000000"/>
              </a:solidFill>
              <a:prstDash val="sysDash"/>
            </a:ln>
          </c:spPr>
        </c:majorGridlines>
        <c:title>
          <c:tx>
            <c:rich>
              <a:bodyPr/>
              <a:lstStyle/>
              <a:p>
                <a:pPr>
                  <a:defRPr sz="1175" b="1" i="0" u="none" strike="noStrike" baseline="0">
                    <a:solidFill>
                      <a:srgbClr val="000000"/>
                    </a:solidFill>
                    <a:latin typeface="Arial"/>
                    <a:ea typeface="Arial"/>
                    <a:cs typeface="Arial"/>
                  </a:defRPr>
                </a:pPr>
                <a:r>
                  <a:rPr lang="fr-FR"/>
                  <a:t>Positions [m]</a:t>
                </a:r>
              </a:p>
            </c:rich>
          </c:tx>
          <c:layout>
            <c:manualLayout>
              <c:xMode val="edge"/>
              <c:yMode val="edge"/>
              <c:x val="2.0047169811320761E-2"/>
              <c:y val="0.30065476815398084"/>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619072"/>
        <c:crosses val="autoZero"/>
        <c:crossBetween val="midCat"/>
      </c:valAx>
      <c:spPr>
        <a:noFill/>
        <a:ln w="12700">
          <a:solidFill>
            <a:srgbClr val="808080"/>
          </a:solidFill>
          <a:prstDash val="solid"/>
        </a:ln>
      </c:spPr>
    </c:plotArea>
    <c:legend>
      <c:legendPos val="r"/>
      <c:layout>
        <c:manualLayout>
          <c:xMode val="edge"/>
          <c:yMode val="edge"/>
          <c:x val="0.8286169712276531"/>
          <c:y val="0.4888892388451444"/>
          <c:w val="0.13679257663546773"/>
          <c:h val="0.15777777777777779"/>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Propu!$A$2</c:f>
          <c:strCache>
            <c:ptCount val="1"/>
            <c:pt idx="0">
              <c:v>Aucun (2e ét. inerte)</c:v>
            </c:pt>
          </c:strCache>
        </c:strRef>
      </c:tx>
      <c:layout>
        <c:manualLayout>
          <c:xMode val="edge"/>
          <c:yMode val="edge"/>
          <c:x val="0.47127077646762688"/>
          <c:y val="3.9178592393174498E-2"/>
        </c:manualLayout>
      </c:layout>
      <c:overlay val="0"/>
      <c:txPr>
        <a:bodyPr/>
        <a:lstStyle/>
        <a:p>
          <a:pPr>
            <a:defRPr sz="1200" b="0" i="0" u="none" strike="noStrike" baseline="0">
              <a:solidFill>
                <a:srgbClr val="000000"/>
              </a:solidFill>
              <a:latin typeface="Arial"/>
              <a:ea typeface="Arial"/>
              <a:cs typeface="Arial"/>
            </a:defRPr>
          </a:pPr>
          <a:endParaRPr lang="fr-FR"/>
        </a:p>
      </c:txPr>
    </c:title>
    <c:autoTitleDeleted val="0"/>
    <c:plotArea>
      <c:layout>
        <c:manualLayout>
          <c:layoutTarget val="inner"/>
          <c:xMode val="edge"/>
          <c:yMode val="edge"/>
          <c:x val="7.2496559551677733E-2"/>
          <c:y val="5.5426586068345711E-2"/>
          <c:w val="0.88973722710617964"/>
          <c:h val="0.82390179871348956"/>
        </c:manualLayout>
      </c:layout>
      <c:scatterChart>
        <c:scatterStyle val="lineMarker"/>
        <c:varyColors val="0"/>
        <c:ser>
          <c:idx val="0"/>
          <c:order val="0"/>
          <c:tx>
            <c:strRef>
              <c:f>Propu!$A$4</c:f>
              <c:strCache>
                <c:ptCount val="1"/>
                <c:pt idx="0">
                  <c:v>Poussée (en N)</c:v>
                </c:pt>
              </c:strCache>
            </c:strRef>
          </c:tx>
          <c:spPr>
            <a:ln w="25400">
              <a:solidFill>
                <a:srgbClr val="004586"/>
              </a:solidFill>
              <a:prstDash val="solid"/>
            </a:ln>
          </c:spPr>
          <c:marker>
            <c:symbol val="square"/>
            <c:size val="4"/>
            <c:spPr>
              <a:solidFill>
                <a:srgbClr val="004586"/>
              </a:solidFill>
              <a:ln>
                <a:solidFill>
                  <a:srgbClr val="004586"/>
                </a:solidFill>
                <a:prstDash val="solid"/>
              </a:ln>
            </c:spPr>
          </c:marker>
          <c:xVal>
            <c:numRef>
              <c:f>Propu!$B$3:$X$3</c:f>
              <c:numCache>
                <c:formatCode>General</c:formatCode>
                <c:ptCount val="23"/>
                <c:pt idx="0">
                  <c:v>0</c:v>
                </c:pt>
                <c:pt idx="1">
                  <c:v>0.1</c:v>
                </c:pt>
                <c:pt idx="2">
                  <c:v>0.2</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numCache>
            </c:numRef>
          </c:xVal>
          <c:yVal>
            <c:numRef>
              <c:f>Propu!$B$4:$X$4</c:f>
              <c:numCache>
                <c:formatCode>General</c:formatCode>
                <c:ptCount val="23"/>
                <c:pt idx="0">
                  <c:v>0</c:v>
                </c:pt>
                <c:pt idx="1">
                  <c:v>0.01</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00-8EF7-4299-9A20-8D075AE9918F}"/>
            </c:ext>
          </c:extLst>
        </c:ser>
        <c:dLbls>
          <c:showLegendKey val="0"/>
          <c:showVal val="0"/>
          <c:showCatName val="0"/>
          <c:showSerName val="0"/>
          <c:showPercent val="0"/>
          <c:showBubbleSize val="0"/>
        </c:dLbls>
        <c:axId val="193428480"/>
        <c:axId val="193451520"/>
      </c:scatterChart>
      <c:valAx>
        <c:axId val="193428480"/>
        <c:scaling>
          <c:orientation val="minMax"/>
        </c:scaling>
        <c:delete val="0"/>
        <c:axPos val="b"/>
        <c:majorGridlines>
          <c:spPr>
            <a:ln w="3175">
              <a:solidFill>
                <a:srgbClr val="B3B3B3"/>
              </a:solidFill>
              <a:prstDash val="sysDash"/>
            </a:ln>
          </c:spPr>
        </c:majorGridlines>
        <c:title>
          <c:tx>
            <c:rich>
              <a:bodyPr/>
              <a:lstStyle/>
              <a:p>
                <a:pPr>
                  <a:defRPr sz="1000" b="0" i="0" u="none" strike="noStrike" baseline="0">
                    <a:solidFill>
                      <a:srgbClr val="000000"/>
                    </a:solidFill>
                    <a:latin typeface="Arial"/>
                    <a:ea typeface="Arial"/>
                    <a:cs typeface="Arial"/>
                  </a:defRPr>
                </a:pPr>
                <a:r>
                  <a:rPr lang="fr-FR"/>
                  <a:t>Temps / Time [s]</a:t>
                </a:r>
              </a:p>
            </c:rich>
          </c:tx>
          <c:layout>
            <c:manualLayout>
              <c:xMode val="edge"/>
              <c:yMode val="edge"/>
              <c:x val="0.78665554917523417"/>
              <c:y val="0.68868125417484782"/>
            </c:manualLayout>
          </c:layout>
          <c:overlay val="0"/>
          <c:spPr>
            <a:noFill/>
            <a:ln w="25400">
              <a:noFill/>
            </a:ln>
          </c:spPr>
        </c:title>
        <c:numFmt formatCode="General" sourceLinked="1"/>
        <c:majorTickMark val="out"/>
        <c:minorTickMark val="none"/>
        <c:tickLblPos val="nextTo"/>
        <c:spPr>
          <a:ln w="3175">
            <a:solidFill>
              <a:srgbClr val="B3B3B3"/>
            </a:solidFill>
            <a:prstDash val="solid"/>
          </a:ln>
        </c:spPr>
        <c:txPr>
          <a:bodyPr rot="0" vert="horz"/>
          <a:lstStyle/>
          <a:p>
            <a:pPr>
              <a:defRPr sz="1000" b="0" i="0" u="none" strike="noStrike" baseline="0">
                <a:solidFill>
                  <a:srgbClr val="000000"/>
                </a:solidFill>
                <a:latin typeface="Arial"/>
                <a:ea typeface="Arial"/>
                <a:cs typeface="Arial"/>
              </a:defRPr>
            </a:pPr>
            <a:endParaRPr lang="fr-FR"/>
          </a:p>
        </c:txPr>
        <c:crossAx val="193451520"/>
        <c:crosses val="autoZero"/>
        <c:crossBetween val="midCat"/>
      </c:valAx>
      <c:valAx>
        <c:axId val="193451520"/>
        <c:scaling>
          <c:orientation val="minMax"/>
        </c:scaling>
        <c:delete val="0"/>
        <c:axPos val="l"/>
        <c:majorGridlines>
          <c:spPr>
            <a:ln w="3175">
              <a:solidFill>
                <a:srgbClr val="B3B3B3"/>
              </a:solidFill>
              <a:prstDash val="sysDash"/>
            </a:ln>
          </c:spPr>
        </c:majorGridlines>
        <c:title>
          <c:tx>
            <c:rich>
              <a:bodyPr/>
              <a:lstStyle/>
              <a:p>
                <a:pPr>
                  <a:defRPr sz="1000" b="0" i="0" u="none" strike="noStrike" baseline="0">
                    <a:solidFill>
                      <a:srgbClr val="000000"/>
                    </a:solidFill>
                    <a:latin typeface="Arial"/>
                    <a:ea typeface="Arial"/>
                    <a:cs typeface="Arial"/>
                  </a:defRPr>
                </a:pPr>
                <a:r>
                  <a:rPr lang="fr-FR"/>
                  <a:t>Poussée / Thrust [N]</a:t>
                </a:r>
              </a:p>
            </c:rich>
          </c:tx>
          <c:layout>
            <c:manualLayout>
              <c:xMode val="edge"/>
              <c:yMode val="edge"/>
              <c:x val="8.5144147191391295E-2"/>
              <c:y val="0.35327652166872459"/>
            </c:manualLayout>
          </c:layout>
          <c:overlay val="0"/>
          <c:spPr>
            <a:noFill/>
            <a:ln w="25400">
              <a:noFill/>
            </a:ln>
          </c:spPr>
        </c:title>
        <c:numFmt formatCode="General" sourceLinked="1"/>
        <c:majorTickMark val="out"/>
        <c:minorTickMark val="none"/>
        <c:tickLblPos val="nextTo"/>
        <c:spPr>
          <a:ln w="3175">
            <a:solidFill>
              <a:srgbClr val="B3B3B3"/>
            </a:solidFill>
            <a:prstDash val="solid"/>
          </a:ln>
        </c:spPr>
        <c:txPr>
          <a:bodyPr rot="0" vert="horz"/>
          <a:lstStyle/>
          <a:p>
            <a:pPr>
              <a:defRPr sz="1000" b="0" i="0" u="none" strike="noStrike" baseline="0">
                <a:solidFill>
                  <a:srgbClr val="000000"/>
                </a:solidFill>
                <a:latin typeface="Arial"/>
                <a:ea typeface="Arial"/>
                <a:cs typeface="Arial"/>
              </a:defRPr>
            </a:pPr>
            <a:endParaRPr lang="fr-FR"/>
          </a:p>
        </c:txPr>
        <c:crossAx val="193428480"/>
        <c:crosses val="autoZero"/>
        <c:crossBetween val="midCat"/>
      </c:valAx>
      <c:spPr>
        <a:noFill/>
        <a:ln w="3175">
          <a:solidFill>
            <a:srgbClr val="B3B3B3"/>
          </a:solidFill>
          <a:prstDash val="solid"/>
        </a:ln>
      </c:spPr>
    </c:plotArea>
    <c:plotVisOnly val="0"/>
    <c:dispBlanksAs val="gap"/>
    <c:showDLblsOverMax val="0"/>
  </c:chart>
  <c:spPr>
    <a:solidFill>
      <a:srgbClr val="FFFFFF"/>
    </a:solidFill>
    <a:ln w="9525">
      <a:noFill/>
    </a:ln>
  </c:spPr>
  <c:txPr>
    <a:bodyPr/>
    <a:lstStyle/>
    <a:p>
      <a:pPr>
        <a:defRPr sz="12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orientation="landscape" horizontalDpi="1200" verticalDpi="1200"/>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Abaco!$B$77</c:f>
          <c:strCache>
            <c:ptCount val="1"/>
            <c:pt idx="0">
              <c:v>Vitesse max / Masse totale</c:v>
            </c:pt>
          </c:strCache>
        </c:strRef>
      </c:tx>
      <c:layout>
        <c:manualLayout>
          <c:xMode val="edge"/>
          <c:yMode val="edge"/>
          <c:x val="0.32580555555555563"/>
          <c:y val="3.2407484861159096E-2"/>
        </c:manualLayout>
      </c:layout>
      <c:overlay val="1"/>
      <c:txPr>
        <a:bodyPr/>
        <a:lstStyle/>
        <a:p>
          <a:pPr>
            <a:defRPr sz="18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0.13612729658792738"/>
          <c:y val="5.1400554097404488E-2"/>
          <c:w val="0.81367125984251965"/>
          <c:h val="0.8326195683872849"/>
        </c:manualLayout>
      </c:layout>
      <c:scatterChart>
        <c:scatterStyle val="lineMarker"/>
        <c:varyColors val="0"/>
        <c:ser>
          <c:idx val="0"/>
          <c:order val="0"/>
          <c:tx>
            <c:strRef>
              <c:f>Abaco!$B$43</c:f>
              <c:strCache>
                <c:ptCount val="1"/>
                <c:pt idx="0">
                  <c:v>Ø = 52 mm</c:v>
                </c:pt>
              </c:strCache>
            </c:strRef>
          </c:tx>
          <c:xVal>
            <c:numRef>
              <c:f>Abaco!$D$43:$D$51</c:f>
              <c:numCache>
                <c:formatCode>General\ "kg"</c:formatCode>
                <c:ptCount val="9"/>
                <c:pt idx="0">
                  <c:v>1E-4</c:v>
                </c:pt>
                <c:pt idx="1">
                  <c:v>1.27085</c:v>
                </c:pt>
                <c:pt idx="2">
                  <c:v>2.5416000000000003</c:v>
                </c:pt>
                <c:pt idx="3">
                  <c:v>3.8123500000000003</c:v>
                </c:pt>
                <c:pt idx="4">
                  <c:v>5.0831</c:v>
                </c:pt>
                <c:pt idx="5">
                  <c:v>6.3538499999999996</c:v>
                </c:pt>
                <c:pt idx="6">
                  <c:v>7.6246</c:v>
                </c:pt>
                <c:pt idx="7">
                  <c:v>8.8953500000000005</c:v>
                </c:pt>
                <c:pt idx="8">
                  <c:v>10.1661</c:v>
                </c:pt>
              </c:numCache>
            </c:numRef>
          </c:xVal>
          <c:yVal>
            <c:numRef>
              <c:f>Abaco!$K$43:$K$51</c:f>
              <c:numCache>
                <c:formatCode>General" m/s"</c:formatCode>
                <c:ptCount val="9"/>
                <c:pt idx="0">
                  <c:v>0.80796981852254368</c:v>
                </c:pt>
                <c:pt idx="1">
                  <c:v>0</c:v>
                </c:pt>
                <c:pt idx="2">
                  <c:v>0</c:v>
                </c:pt>
                <c:pt idx="3">
                  <c:v>0</c:v>
                </c:pt>
                <c:pt idx="4">
                  <c:v>0</c:v>
                </c:pt>
                <c:pt idx="5">
                  <c:v>0</c:v>
                </c:pt>
                <c:pt idx="6">
                  <c:v>0</c:v>
                </c:pt>
                <c:pt idx="7">
                  <c:v>0</c:v>
                </c:pt>
                <c:pt idx="8">
                  <c:v>0</c:v>
                </c:pt>
              </c:numCache>
            </c:numRef>
          </c:yVal>
          <c:smooth val="0"/>
          <c:extLst>
            <c:ext xmlns:c16="http://schemas.microsoft.com/office/drawing/2014/chart" uri="{C3380CC4-5D6E-409C-BE32-E72D297353CC}">
              <c16:uniqueId val="{00000000-8857-4FF4-B70E-166DFD57E3E3}"/>
            </c:ext>
          </c:extLst>
        </c:ser>
        <c:ser>
          <c:idx val="1"/>
          <c:order val="1"/>
          <c:tx>
            <c:strRef>
              <c:f>Abaco!$B$52</c:f>
              <c:strCache>
                <c:ptCount val="1"/>
                <c:pt idx="0">
                  <c:v>Ø = 104 mm</c:v>
                </c:pt>
              </c:strCache>
            </c:strRef>
          </c:tx>
          <c:xVal>
            <c:numRef>
              <c:f>Abaco!$D$52:$D$60</c:f>
              <c:numCache>
                <c:formatCode>General\ "kg"</c:formatCode>
                <c:ptCount val="9"/>
                <c:pt idx="0">
                  <c:v>1E-4</c:v>
                </c:pt>
                <c:pt idx="1">
                  <c:v>1.27085</c:v>
                </c:pt>
                <c:pt idx="2">
                  <c:v>2.5416000000000003</c:v>
                </c:pt>
                <c:pt idx="3">
                  <c:v>3.8123500000000003</c:v>
                </c:pt>
                <c:pt idx="4">
                  <c:v>5.0831</c:v>
                </c:pt>
                <c:pt idx="5">
                  <c:v>6.3538499999999996</c:v>
                </c:pt>
                <c:pt idx="6">
                  <c:v>7.6246</c:v>
                </c:pt>
                <c:pt idx="7">
                  <c:v>8.8953500000000005</c:v>
                </c:pt>
                <c:pt idx="8">
                  <c:v>10.1661</c:v>
                </c:pt>
              </c:numCache>
            </c:numRef>
          </c:xVal>
          <c:yVal>
            <c:numRef>
              <c:f>Abaco!$K$52:$K$60</c:f>
              <c:numCache>
                <c:formatCode>General" m/s"</c:formatCode>
                <c:ptCount val="9"/>
                <c:pt idx="0">
                  <c:v>0.40398490927024355</c:v>
                </c:pt>
                <c:pt idx="1">
                  <c:v>0</c:v>
                </c:pt>
                <c:pt idx="2">
                  <c:v>0</c:v>
                </c:pt>
                <c:pt idx="3">
                  <c:v>0</c:v>
                </c:pt>
                <c:pt idx="4">
                  <c:v>0</c:v>
                </c:pt>
                <c:pt idx="5">
                  <c:v>0</c:v>
                </c:pt>
                <c:pt idx="6">
                  <c:v>0</c:v>
                </c:pt>
                <c:pt idx="7">
                  <c:v>0</c:v>
                </c:pt>
                <c:pt idx="8">
                  <c:v>0</c:v>
                </c:pt>
              </c:numCache>
            </c:numRef>
          </c:yVal>
          <c:smooth val="0"/>
          <c:extLst>
            <c:ext xmlns:c16="http://schemas.microsoft.com/office/drawing/2014/chart" uri="{C3380CC4-5D6E-409C-BE32-E72D297353CC}">
              <c16:uniqueId val="{00000001-8857-4FF4-B70E-166DFD57E3E3}"/>
            </c:ext>
          </c:extLst>
        </c:ser>
        <c:ser>
          <c:idx val="2"/>
          <c:order val="2"/>
          <c:tx>
            <c:strRef>
              <c:f>Abaco!$B$61</c:f>
              <c:strCache>
                <c:ptCount val="1"/>
                <c:pt idx="0">
                  <c:v>Ø = 156 mm</c:v>
                </c:pt>
              </c:strCache>
            </c:strRef>
          </c:tx>
          <c:xVal>
            <c:numRef>
              <c:f>Abaco!$D$61:$D$69</c:f>
              <c:numCache>
                <c:formatCode>General\ "kg"</c:formatCode>
                <c:ptCount val="9"/>
                <c:pt idx="0">
                  <c:v>1E-4</c:v>
                </c:pt>
                <c:pt idx="1">
                  <c:v>1.27085</c:v>
                </c:pt>
                <c:pt idx="2">
                  <c:v>2.5416000000000003</c:v>
                </c:pt>
                <c:pt idx="3">
                  <c:v>3.8123500000000003</c:v>
                </c:pt>
                <c:pt idx="4">
                  <c:v>5.0831</c:v>
                </c:pt>
                <c:pt idx="5">
                  <c:v>6.3538499999999996</c:v>
                </c:pt>
                <c:pt idx="6">
                  <c:v>7.6246</c:v>
                </c:pt>
                <c:pt idx="7">
                  <c:v>8.8953500000000005</c:v>
                </c:pt>
                <c:pt idx="8">
                  <c:v>10.1661</c:v>
                </c:pt>
              </c:numCache>
            </c:numRef>
          </c:xVal>
          <c:yVal>
            <c:numRef>
              <c:f>Abaco!$K$61:$K$69</c:f>
              <c:numCache>
                <c:formatCode>General" m/s"</c:formatCode>
                <c:ptCount val="9"/>
                <c:pt idx="0">
                  <c:v>0.26932327284682905</c:v>
                </c:pt>
                <c:pt idx="1">
                  <c:v>0</c:v>
                </c:pt>
                <c:pt idx="2">
                  <c:v>0</c:v>
                </c:pt>
                <c:pt idx="3">
                  <c:v>0</c:v>
                </c:pt>
                <c:pt idx="4">
                  <c:v>0</c:v>
                </c:pt>
                <c:pt idx="5">
                  <c:v>0</c:v>
                </c:pt>
                <c:pt idx="6">
                  <c:v>0</c:v>
                </c:pt>
                <c:pt idx="7">
                  <c:v>0</c:v>
                </c:pt>
                <c:pt idx="8">
                  <c:v>0</c:v>
                </c:pt>
              </c:numCache>
            </c:numRef>
          </c:yVal>
          <c:smooth val="0"/>
          <c:extLst>
            <c:ext xmlns:c16="http://schemas.microsoft.com/office/drawing/2014/chart" uri="{C3380CC4-5D6E-409C-BE32-E72D297353CC}">
              <c16:uniqueId val="{00000002-8857-4FF4-B70E-166DFD57E3E3}"/>
            </c:ext>
          </c:extLst>
        </c:ser>
        <c:dLbls>
          <c:showLegendKey val="0"/>
          <c:showVal val="0"/>
          <c:showCatName val="0"/>
          <c:showSerName val="0"/>
          <c:showPercent val="0"/>
          <c:showBubbleSize val="0"/>
        </c:dLbls>
        <c:axId val="193467904"/>
        <c:axId val="193469824"/>
      </c:scatterChart>
      <c:valAx>
        <c:axId val="193467904"/>
        <c:scaling>
          <c:orientation val="minMax"/>
        </c:scaling>
        <c:delete val="0"/>
        <c:axPos val="b"/>
        <c:majorGridlines/>
        <c:title>
          <c:tx>
            <c:strRef>
              <c:f>Abaco!$B$75</c:f>
              <c:strCache>
                <c:ptCount val="1"/>
                <c:pt idx="0">
                  <c:v>Masse totale</c:v>
                </c:pt>
              </c:strCache>
            </c:strRef>
          </c:tx>
          <c:layout>
            <c:manualLayout>
              <c:xMode val="edge"/>
              <c:yMode val="edge"/>
              <c:x val="0.25133792650918629"/>
              <c:y val="0.80923605680929611"/>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 &quot;kg&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469824"/>
        <c:crosses val="autoZero"/>
        <c:crossBetween val="midCat"/>
      </c:valAx>
      <c:valAx>
        <c:axId val="193469824"/>
        <c:scaling>
          <c:orientation val="minMax"/>
        </c:scaling>
        <c:delete val="0"/>
        <c:axPos val="l"/>
        <c:majorGridlines/>
        <c:title>
          <c:tx>
            <c:strRef>
              <c:f>Abaco!$B$76</c:f>
              <c:strCache>
                <c:ptCount val="1"/>
                <c:pt idx="0">
                  <c:v>Vitesse max</c:v>
                </c:pt>
              </c:strCache>
            </c:strRef>
          </c:tx>
          <c:layout>
            <c:manualLayout>
              <c:xMode val="edge"/>
              <c:yMode val="edge"/>
              <c:x val="0.14166666666666666"/>
              <c:y val="5.803422378207343E-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quot; m/s&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467904"/>
        <c:crosses val="autoZero"/>
        <c:crossBetween val="midCat"/>
      </c:valAx>
    </c:plotArea>
    <c:legend>
      <c:legendPos val="r"/>
      <c:layout>
        <c:manualLayout>
          <c:xMode val="edge"/>
          <c:yMode val="edge"/>
          <c:x val="0.71944466316710431"/>
          <c:y val="0.18706733829172051"/>
          <c:w val="0.20833333333333343"/>
          <c:h val="0.24711352766816386"/>
        </c:manualLayout>
      </c:layout>
      <c:overlay val="0"/>
      <c:spPr>
        <a:solidFill>
          <a:schemeClr val="bg1"/>
        </a:solidFill>
      </c:spPr>
      <c:txPr>
        <a:bodyPr/>
        <a:lstStyle/>
        <a:p>
          <a:pPr>
            <a:defRPr sz="920" b="0" i="0" u="none" strike="noStrike" baseline="0">
              <a:solidFill>
                <a:srgbClr val="000000"/>
              </a:solidFill>
              <a:latin typeface="Calibri"/>
              <a:ea typeface="Calibri"/>
              <a:cs typeface="Calibri"/>
            </a:defRPr>
          </a:pPr>
          <a:endParaRPr lang="fr-F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fr-FR"/>
    </a:p>
  </c:txPr>
  <c:printSettings>
    <c:headerFooter/>
    <c:pageMargins b="0.750000000000002" l="0.70000000000000062" r="0.70000000000000062" t="0.750000000000002"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Abaco!$B$79</c:f>
          <c:strCache>
            <c:ptCount val="1"/>
            <c:pt idx="0">
              <c:v>Altitude max / Masse totale</c:v>
            </c:pt>
          </c:strCache>
        </c:strRef>
      </c:tx>
      <c:layout>
        <c:manualLayout>
          <c:xMode val="edge"/>
          <c:yMode val="edge"/>
          <c:x val="0.32580555555555563"/>
          <c:y val="3.2407517456544362E-2"/>
        </c:manualLayout>
      </c:layout>
      <c:overlay val="1"/>
      <c:txPr>
        <a:bodyPr/>
        <a:lstStyle/>
        <a:p>
          <a:pPr>
            <a:defRPr sz="18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0.13612729658792738"/>
          <c:y val="5.1400554097404488E-2"/>
          <c:w val="0.81367125984251965"/>
          <c:h val="0.8326195683872849"/>
        </c:manualLayout>
      </c:layout>
      <c:scatterChart>
        <c:scatterStyle val="lineMarker"/>
        <c:varyColors val="0"/>
        <c:ser>
          <c:idx val="0"/>
          <c:order val="0"/>
          <c:tx>
            <c:strRef>
              <c:f>Abaco!$B$43</c:f>
              <c:strCache>
                <c:ptCount val="1"/>
                <c:pt idx="0">
                  <c:v>Ø = 52 mm</c:v>
                </c:pt>
              </c:strCache>
            </c:strRef>
          </c:tx>
          <c:xVal>
            <c:numRef>
              <c:f>Abaco!$D$43:$D$51</c:f>
              <c:numCache>
                <c:formatCode>General\ "kg"</c:formatCode>
                <c:ptCount val="9"/>
                <c:pt idx="0">
                  <c:v>1E-4</c:v>
                </c:pt>
                <c:pt idx="1">
                  <c:v>1.27085</c:v>
                </c:pt>
                <c:pt idx="2">
                  <c:v>2.5416000000000003</c:v>
                </c:pt>
                <c:pt idx="3">
                  <c:v>3.8123500000000003</c:v>
                </c:pt>
                <c:pt idx="4">
                  <c:v>5.0831</c:v>
                </c:pt>
                <c:pt idx="5">
                  <c:v>6.3538499999999996</c:v>
                </c:pt>
                <c:pt idx="6">
                  <c:v>7.6246</c:v>
                </c:pt>
                <c:pt idx="7">
                  <c:v>8.8953500000000005</c:v>
                </c:pt>
                <c:pt idx="8">
                  <c:v>10.1661</c:v>
                </c:pt>
              </c:numCache>
            </c:numRef>
          </c:xVal>
          <c:yVal>
            <c:numRef>
              <c:f>Abaco!$L$43:$L$51</c:f>
              <c:numCache>
                <c:formatCode>General" m"</c:formatCode>
                <c:ptCount val="9"/>
                <c:pt idx="0">
                  <c:v>0</c:v>
                </c:pt>
                <c:pt idx="1">
                  <c:v>0</c:v>
                </c:pt>
                <c:pt idx="2">
                  <c:v>0</c:v>
                </c:pt>
                <c:pt idx="3">
                  <c:v>0</c:v>
                </c:pt>
                <c:pt idx="4">
                  <c:v>0</c:v>
                </c:pt>
                <c:pt idx="5">
                  <c:v>0</c:v>
                </c:pt>
                <c:pt idx="6">
                  <c:v>0</c:v>
                </c:pt>
                <c:pt idx="7">
                  <c:v>0</c:v>
                </c:pt>
                <c:pt idx="8">
                  <c:v>0</c:v>
                </c:pt>
              </c:numCache>
            </c:numRef>
          </c:yVal>
          <c:smooth val="0"/>
          <c:extLst>
            <c:ext xmlns:c16="http://schemas.microsoft.com/office/drawing/2014/chart" uri="{C3380CC4-5D6E-409C-BE32-E72D297353CC}">
              <c16:uniqueId val="{00000000-7047-4687-B7C4-0BB054548F22}"/>
            </c:ext>
          </c:extLst>
        </c:ser>
        <c:ser>
          <c:idx val="1"/>
          <c:order val="1"/>
          <c:tx>
            <c:strRef>
              <c:f>Abaco!$B$52</c:f>
              <c:strCache>
                <c:ptCount val="1"/>
                <c:pt idx="0">
                  <c:v>Ø = 104 mm</c:v>
                </c:pt>
              </c:strCache>
            </c:strRef>
          </c:tx>
          <c:xVal>
            <c:numRef>
              <c:f>Abaco!$D$52:$D$60</c:f>
              <c:numCache>
                <c:formatCode>General\ "kg"</c:formatCode>
                <c:ptCount val="9"/>
                <c:pt idx="0">
                  <c:v>1E-4</c:v>
                </c:pt>
                <c:pt idx="1">
                  <c:v>1.27085</c:v>
                </c:pt>
                <c:pt idx="2">
                  <c:v>2.5416000000000003</c:v>
                </c:pt>
                <c:pt idx="3">
                  <c:v>3.8123500000000003</c:v>
                </c:pt>
                <c:pt idx="4">
                  <c:v>5.0831</c:v>
                </c:pt>
                <c:pt idx="5">
                  <c:v>6.3538499999999996</c:v>
                </c:pt>
                <c:pt idx="6">
                  <c:v>7.6246</c:v>
                </c:pt>
                <c:pt idx="7">
                  <c:v>8.8953500000000005</c:v>
                </c:pt>
                <c:pt idx="8">
                  <c:v>10.1661</c:v>
                </c:pt>
              </c:numCache>
            </c:numRef>
          </c:xVal>
          <c:yVal>
            <c:numRef>
              <c:f>Abaco!$L$52:$L$60</c:f>
              <c:numCache>
                <c:formatCode>General" m"</c:formatCode>
                <c:ptCount val="9"/>
                <c:pt idx="0">
                  <c:v>0</c:v>
                </c:pt>
                <c:pt idx="1">
                  <c:v>0</c:v>
                </c:pt>
                <c:pt idx="2">
                  <c:v>0</c:v>
                </c:pt>
                <c:pt idx="3">
                  <c:v>0</c:v>
                </c:pt>
                <c:pt idx="4">
                  <c:v>0</c:v>
                </c:pt>
                <c:pt idx="5">
                  <c:v>0</c:v>
                </c:pt>
                <c:pt idx="6">
                  <c:v>0</c:v>
                </c:pt>
                <c:pt idx="7">
                  <c:v>0</c:v>
                </c:pt>
                <c:pt idx="8">
                  <c:v>0</c:v>
                </c:pt>
              </c:numCache>
            </c:numRef>
          </c:yVal>
          <c:smooth val="0"/>
          <c:extLst>
            <c:ext xmlns:c16="http://schemas.microsoft.com/office/drawing/2014/chart" uri="{C3380CC4-5D6E-409C-BE32-E72D297353CC}">
              <c16:uniqueId val="{00000001-7047-4687-B7C4-0BB054548F22}"/>
            </c:ext>
          </c:extLst>
        </c:ser>
        <c:ser>
          <c:idx val="2"/>
          <c:order val="2"/>
          <c:tx>
            <c:strRef>
              <c:f>Abaco!$B$61</c:f>
              <c:strCache>
                <c:ptCount val="1"/>
                <c:pt idx="0">
                  <c:v>Ø = 156 mm</c:v>
                </c:pt>
              </c:strCache>
            </c:strRef>
          </c:tx>
          <c:xVal>
            <c:numRef>
              <c:f>Abaco!$D$61:$D$69</c:f>
              <c:numCache>
                <c:formatCode>General\ "kg"</c:formatCode>
                <c:ptCount val="9"/>
                <c:pt idx="0">
                  <c:v>1E-4</c:v>
                </c:pt>
                <c:pt idx="1">
                  <c:v>1.27085</c:v>
                </c:pt>
                <c:pt idx="2">
                  <c:v>2.5416000000000003</c:v>
                </c:pt>
                <c:pt idx="3">
                  <c:v>3.8123500000000003</c:v>
                </c:pt>
                <c:pt idx="4">
                  <c:v>5.0831</c:v>
                </c:pt>
                <c:pt idx="5">
                  <c:v>6.3538499999999996</c:v>
                </c:pt>
                <c:pt idx="6">
                  <c:v>7.6246</c:v>
                </c:pt>
                <c:pt idx="7">
                  <c:v>8.8953500000000005</c:v>
                </c:pt>
                <c:pt idx="8">
                  <c:v>10.1661</c:v>
                </c:pt>
              </c:numCache>
            </c:numRef>
          </c:xVal>
          <c:yVal>
            <c:numRef>
              <c:f>Abaco!$L$61:$L$69</c:f>
              <c:numCache>
                <c:formatCode>General" m"</c:formatCode>
                <c:ptCount val="9"/>
                <c:pt idx="0">
                  <c:v>0</c:v>
                </c:pt>
                <c:pt idx="1">
                  <c:v>0</c:v>
                </c:pt>
                <c:pt idx="2">
                  <c:v>0</c:v>
                </c:pt>
                <c:pt idx="3">
                  <c:v>0</c:v>
                </c:pt>
                <c:pt idx="4">
                  <c:v>0</c:v>
                </c:pt>
                <c:pt idx="5">
                  <c:v>0</c:v>
                </c:pt>
                <c:pt idx="6">
                  <c:v>0</c:v>
                </c:pt>
                <c:pt idx="7">
                  <c:v>0</c:v>
                </c:pt>
                <c:pt idx="8">
                  <c:v>0</c:v>
                </c:pt>
              </c:numCache>
            </c:numRef>
          </c:yVal>
          <c:smooth val="0"/>
          <c:extLst>
            <c:ext xmlns:c16="http://schemas.microsoft.com/office/drawing/2014/chart" uri="{C3380CC4-5D6E-409C-BE32-E72D297353CC}">
              <c16:uniqueId val="{00000002-7047-4687-B7C4-0BB054548F22}"/>
            </c:ext>
          </c:extLst>
        </c:ser>
        <c:dLbls>
          <c:showLegendKey val="0"/>
          <c:showVal val="0"/>
          <c:showCatName val="0"/>
          <c:showSerName val="0"/>
          <c:showPercent val="0"/>
          <c:showBubbleSize val="0"/>
        </c:dLbls>
        <c:axId val="193512576"/>
        <c:axId val="193514496"/>
      </c:scatterChart>
      <c:valAx>
        <c:axId val="193512576"/>
        <c:scaling>
          <c:orientation val="minMax"/>
        </c:scaling>
        <c:delete val="0"/>
        <c:axPos val="b"/>
        <c:majorGridlines/>
        <c:title>
          <c:tx>
            <c:strRef>
              <c:f>Abaco!$B$75</c:f>
              <c:strCache>
                <c:ptCount val="1"/>
                <c:pt idx="0">
                  <c:v>Masse totale</c:v>
                </c:pt>
              </c:strCache>
            </c:strRef>
          </c:tx>
          <c:layout>
            <c:manualLayout>
              <c:xMode val="edge"/>
              <c:yMode val="edge"/>
              <c:x val="0.25133792650918629"/>
              <c:y val="0.8092359976229385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 &quot;kg&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514496"/>
        <c:crosses val="autoZero"/>
        <c:crossBetween val="midCat"/>
      </c:valAx>
      <c:valAx>
        <c:axId val="193514496"/>
        <c:scaling>
          <c:orientation val="minMax"/>
        </c:scaling>
        <c:delete val="0"/>
        <c:axPos val="l"/>
        <c:majorGridlines/>
        <c:title>
          <c:tx>
            <c:strRef>
              <c:f>Abaco!$B$78</c:f>
              <c:strCache>
                <c:ptCount val="1"/>
                <c:pt idx="0">
                  <c:v>Altitude max</c:v>
                </c:pt>
              </c:strCache>
            </c:strRef>
          </c:tx>
          <c:layout>
            <c:manualLayout>
              <c:xMode val="edge"/>
              <c:yMode val="edge"/>
              <c:x val="0.14166666666666666"/>
              <c:y val="5.8034467389689502E-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quot; m&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512576"/>
        <c:crosses val="autoZero"/>
        <c:crossBetween val="midCat"/>
      </c:valAx>
    </c:plotArea>
    <c:legend>
      <c:legendPos val="r"/>
      <c:layout>
        <c:manualLayout>
          <c:xMode val="edge"/>
          <c:yMode val="edge"/>
          <c:x val="0.71944466316710431"/>
          <c:y val="0.18396263556678061"/>
          <c:w val="0.20833333333333343"/>
          <c:h val="0.25235886198187502"/>
        </c:manualLayout>
      </c:layout>
      <c:overlay val="0"/>
      <c:spPr>
        <a:solidFill>
          <a:schemeClr val="bg1"/>
        </a:solidFill>
      </c:spPr>
      <c:txPr>
        <a:bodyPr/>
        <a:lstStyle/>
        <a:p>
          <a:pPr>
            <a:defRPr sz="920" b="0" i="0" u="none" strike="noStrike" baseline="0">
              <a:solidFill>
                <a:srgbClr val="000000"/>
              </a:solidFill>
              <a:latin typeface="Calibri"/>
              <a:ea typeface="Calibri"/>
              <a:cs typeface="Calibri"/>
            </a:defRPr>
          </a:pPr>
          <a:endParaRPr lang="fr-F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fr-FR"/>
    </a:p>
  </c:txPr>
  <c:printSettings>
    <c:headerFooter/>
    <c:pageMargins b="0.750000000000002" l="0.70000000000000062" r="0.70000000000000062" t="0.750000000000002" header="0.30000000000000032" footer="0.3000000000000003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Abaco!$B$81</c:f>
          <c:strCache>
            <c:ptCount val="1"/>
            <c:pt idx="0">
              <c:v>Temps de culmination / Masse totale</c:v>
            </c:pt>
          </c:strCache>
        </c:strRef>
      </c:tx>
      <c:layout>
        <c:manualLayout>
          <c:xMode val="edge"/>
          <c:yMode val="edge"/>
          <c:x val="0.18369438576275529"/>
          <c:y val="3.2407517456544362E-2"/>
        </c:manualLayout>
      </c:layout>
      <c:overlay val="1"/>
      <c:txPr>
        <a:bodyPr/>
        <a:lstStyle/>
        <a:p>
          <a:pPr>
            <a:defRPr sz="18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0.13612729658792738"/>
          <c:y val="5.1400554097404488E-2"/>
          <c:w val="0.81367125984251965"/>
          <c:h val="0.8326195683872849"/>
        </c:manualLayout>
      </c:layout>
      <c:scatterChart>
        <c:scatterStyle val="lineMarker"/>
        <c:varyColors val="0"/>
        <c:ser>
          <c:idx val="0"/>
          <c:order val="0"/>
          <c:tx>
            <c:strRef>
              <c:f>Abaco!$B$43</c:f>
              <c:strCache>
                <c:ptCount val="1"/>
                <c:pt idx="0">
                  <c:v>Ø = 52 mm</c:v>
                </c:pt>
              </c:strCache>
            </c:strRef>
          </c:tx>
          <c:xVal>
            <c:numRef>
              <c:f>Abaco!$D$43:$D$51</c:f>
              <c:numCache>
                <c:formatCode>General\ "kg"</c:formatCode>
                <c:ptCount val="9"/>
                <c:pt idx="0">
                  <c:v>1E-4</c:v>
                </c:pt>
                <c:pt idx="1">
                  <c:v>1.27085</c:v>
                </c:pt>
                <c:pt idx="2">
                  <c:v>2.5416000000000003</c:v>
                </c:pt>
                <c:pt idx="3">
                  <c:v>3.8123500000000003</c:v>
                </c:pt>
                <c:pt idx="4">
                  <c:v>5.0831</c:v>
                </c:pt>
                <c:pt idx="5">
                  <c:v>6.3538499999999996</c:v>
                </c:pt>
                <c:pt idx="6">
                  <c:v>7.6246</c:v>
                </c:pt>
                <c:pt idx="7">
                  <c:v>8.8953500000000005</c:v>
                </c:pt>
                <c:pt idx="8">
                  <c:v>10.1661</c:v>
                </c:pt>
              </c:numCache>
            </c:numRef>
          </c:xVal>
          <c:yVal>
            <c:numRef>
              <c:f>Abaco!$M$43:$M$51</c:f>
              <c:numCache>
                <c:formatCode>General" s"</c:formatCode>
                <c:ptCount val="9"/>
                <c:pt idx="0">
                  <c:v>0</c:v>
                </c:pt>
                <c:pt idx="1">
                  <c:v>1</c:v>
                </c:pt>
                <c:pt idx="2">
                  <c:v>1</c:v>
                </c:pt>
                <c:pt idx="3">
                  <c:v>1</c:v>
                </c:pt>
                <c:pt idx="4">
                  <c:v>1</c:v>
                </c:pt>
                <c:pt idx="5">
                  <c:v>1</c:v>
                </c:pt>
                <c:pt idx="6">
                  <c:v>1</c:v>
                </c:pt>
                <c:pt idx="7">
                  <c:v>1</c:v>
                </c:pt>
                <c:pt idx="8">
                  <c:v>1</c:v>
                </c:pt>
              </c:numCache>
            </c:numRef>
          </c:yVal>
          <c:smooth val="0"/>
          <c:extLst>
            <c:ext xmlns:c16="http://schemas.microsoft.com/office/drawing/2014/chart" uri="{C3380CC4-5D6E-409C-BE32-E72D297353CC}">
              <c16:uniqueId val="{00000000-DDCF-44BB-899F-3EC11CCF873C}"/>
            </c:ext>
          </c:extLst>
        </c:ser>
        <c:ser>
          <c:idx val="1"/>
          <c:order val="1"/>
          <c:tx>
            <c:strRef>
              <c:f>Abaco!$B$52</c:f>
              <c:strCache>
                <c:ptCount val="1"/>
                <c:pt idx="0">
                  <c:v>Ø = 104 mm</c:v>
                </c:pt>
              </c:strCache>
            </c:strRef>
          </c:tx>
          <c:xVal>
            <c:numRef>
              <c:f>Abaco!$D$52:$D$60</c:f>
              <c:numCache>
                <c:formatCode>General\ "kg"</c:formatCode>
                <c:ptCount val="9"/>
                <c:pt idx="0">
                  <c:v>1E-4</c:v>
                </c:pt>
                <c:pt idx="1">
                  <c:v>1.27085</c:v>
                </c:pt>
                <c:pt idx="2">
                  <c:v>2.5416000000000003</c:v>
                </c:pt>
                <c:pt idx="3">
                  <c:v>3.8123500000000003</c:v>
                </c:pt>
                <c:pt idx="4">
                  <c:v>5.0831</c:v>
                </c:pt>
                <c:pt idx="5">
                  <c:v>6.3538499999999996</c:v>
                </c:pt>
                <c:pt idx="6">
                  <c:v>7.6246</c:v>
                </c:pt>
                <c:pt idx="7">
                  <c:v>8.8953500000000005</c:v>
                </c:pt>
                <c:pt idx="8">
                  <c:v>10.1661</c:v>
                </c:pt>
              </c:numCache>
            </c:numRef>
          </c:xVal>
          <c:yVal>
            <c:numRef>
              <c:f>Abaco!$M$52:$M$60</c:f>
              <c:numCache>
                <c:formatCode>General" s"</c:formatCode>
                <c:ptCount val="9"/>
                <c:pt idx="0">
                  <c:v>0</c:v>
                </c:pt>
                <c:pt idx="1">
                  <c:v>1</c:v>
                </c:pt>
                <c:pt idx="2">
                  <c:v>1</c:v>
                </c:pt>
                <c:pt idx="3">
                  <c:v>1</c:v>
                </c:pt>
                <c:pt idx="4">
                  <c:v>1</c:v>
                </c:pt>
                <c:pt idx="5">
                  <c:v>1</c:v>
                </c:pt>
                <c:pt idx="6">
                  <c:v>1</c:v>
                </c:pt>
                <c:pt idx="7">
                  <c:v>1</c:v>
                </c:pt>
                <c:pt idx="8">
                  <c:v>1</c:v>
                </c:pt>
              </c:numCache>
            </c:numRef>
          </c:yVal>
          <c:smooth val="0"/>
          <c:extLst>
            <c:ext xmlns:c16="http://schemas.microsoft.com/office/drawing/2014/chart" uri="{C3380CC4-5D6E-409C-BE32-E72D297353CC}">
              <c16:uniqueId val="{00000001-DDCF-44BB-899F-3EC11CCF873C}"/>
            </c:ext>
          </c:extLst>
        </c:ser>
        <c:ser>
          <c:idx val="2"/>
          <c:order val="2"/>
          <c:tx>
            <c:strRef>
              <c:f>Abaco!$B$61</c:f>
              <c:strCache>
                <c:ptCount val="1"/>
                <c:pt idx="0">
                  <c:v>Ø = 156 mm</c:v>
                </c:pt>
              </c:strCache>
            </c:strRef>
          </c:tx>
          <c:xVal>
            <c:numRef>
              <c:f>Abaco!$D$61:$D$69</c:f>
              <c:numCache>
                <c:formatCode>General\ "kg"</c:formatCode>
                <c:ptCount val="9"/>
                <c:pt idx="0">
                  <c:v>1E-4</c:v>
                </c:pt>
                <c:pt idx="1">
                  <c:v>1.27085</c:v>
                </c:pt>
                <c:pt idx="2">
                  <c:v>2.5416000000000003</c:v>
                </c:pt>
                <c:pt idx="3">
                  <c:v>3.8123500000000003</c:v>
                </c:pt>
                <c:pt idx="4">
                  <c:v>5.0831</c:v>
                </c:pt>
                <c:pt idx="5">
                  <c:v>6.3538499999999996</c:v>
                </c:pt>
                <c:pt idx="6">
                  <c:v>7.6246</c:v>
                </c:pt>
                <c:pt idx="7">
                  <c:v>8.8953500000000005</c:v>
                </c:pt>
                <c:pt idx="8">
                  <c:v>10.1661</c:v>
                </c:pt>
              </c:numCache>
            </c:numRef>
          </c:xVal>
          <c:yVal>
            <c:numRef>
              <c:f>Abaco!$M$61:$M$69</c:f>
              <c:numCache>
                <c:formatCode>General" s"</c:formatCode>
                <c:ptCount val="9"/>
                <c:pt idx="0">
                  <c:v>0</c:v>
                </c:pt>
                <c:pt idx="1">
                  <c:v>1</c:v>
                </c:pt>
                <c:pt idx="2">
                  <c:v>1</c:v>
                </c:pt>
                <c:pt idx="3">
                  <c:v>1</c:v>
                </c:pt>
                <c:pt idx="4">
                  <c:v>1</c:v>
                </c:pt>
                <c:pt idx="5">
                  <c:v>1</c:v>
                </c:pt>
                <c:pt idx="6">
                  <c:v>1</c:v>
                </c:pt>
                <c:pt idx="7">
                  <c:v>1</c:v>
                </c:pt>
                <c:pt idx="8">
                  <c:v>1</c:v>
                </c:pt>
              </c:numCache>
            </c:numRef>
          </c:yVal>
          <c:smooth val="0"/>
          <c:extLst>
            <c:ext xmlns:c16="http://schemas.microsoft.com/office/drawing/2014/chart" uri="{C3380CC4-5D6E-409C-BE32-E72D297353CC}">
              <c16:uniqueId val="{00000002-DDCF-44BB-899F-3EC11CCF873C}"/>
            </c:ext>
          </c:extLst>
        </c:ser>
        <c:dLbls>
          <c:showLegendKey val="0"/>
          <c:showVal val="0"/>
          <c:showCatName val="0"/>
          <c:showSerName val="0"/>
          <c:showPercent val="0"/>
          <c:showBubbleSize val="0"/>
        </c:dLbls>
        <c:axId val="195678976"/>
        <c:axId val="195680896"/>
      </c:scatterChart>
      <c:valAx>
        <c:axId val="195678976"/>
        <c:scaling>
          <c:orientation val="minMax"/>
        </c:scaling>
        <c:delete val="0"/>
        <c:axPos val="b"/>
        <c:majorGridlines/>
        <c:title>
          <c:tx>
            <c:strRef>
              <c:f>Abaco!$B$75</c:f>
              <c:strCache>
                <c:ptCount val="1"/>
                <c:pt idx="0">
                  <c:v>Masse totale</c:v>
                </c:pt>
              </c:strCache>
            </c:strRef>
          </c:tx>
          <c:layout>
            <c:manualLayout>
              <c:xMode val="edge"/>
              <c:yMode val="edge"/>
              <c:x val="0.25133794251328334"/>
              <c:y val="0.8092359976229385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 &quot;kg&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5680896"/>
        <c:crosses val="autoZero"/>
        <c:crossBetween val="midCat"/>
      </c:valAx>
      <c:valAx>
        <c:axId val="195680896"/>
        <c:scaling>
          <c:orientation val="minMax"/>
        </c:scaling>
        <c:delete val="0"/>
        <c:axPos val="l"/>
        <c:majorGridlines/>
        <c:title>
          <c:tx>
            <c:strRef>
              <c:f>Abaco!$B$80</c:f>
              <c:strCache>
                <c:ptCount val="1"/>
                <c:pt idx="0">
                  <c:v>Temps de culmination</c:v>
                </c:pt>
              </c:strCache>
            </c:strRef>
          </c:tx>
          <c:layout>
            <c:manualLayout>
              <c:xMode val="edge"/>
              <c:yMode val="edge"/>
              <c:x val="0.14166677336064695"/>
              <c:y val="5.8034467389689502E-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quot; s&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5678976"/>
        <c:crosses val="autoZero"/>
        <c:crossBetween val="midCat"/>
      </c:valAx>
    </c:plotArea>
    <c:legend>
      <c:legendPos val="r"/>
      <c:layout>
        <c:manualLayout>
          <c:xMode val="edge"/>
          <c:yMode val="edge"/>
          <c:x val="0.72357744916031841"/>
          <c:y val="0.18396263556678061"/>
          <c:w val="0.20325203252032525"/>
          <c:h val="0.25235886198187502"/>
        </c:manualLayout>
      </c:layout>
      <c:overlay val="0"/>
      <c:spPr>
        <a:solidFill>
          <a:schemeClr val="bg1"/>
        </a:solidFill>
      </c:spPr>
      <c:txPr>
        <a:bodyPr/>
        <a:lstStyle/>
        <a:p>
          <a:pPr>
            <a:defRPr sz="920" b="0" i="0" u="none" strike="noStrike" baseline="0">
              <a:solidFill>
                <a:srgbClr val="000000"/>
              </a:solidFill>
              <a:latin typeface="Calibri"/>
              <a:ea typeface="Calibri"/>
              <a:cs typeface="Calibri"/>
            </a:defRPr>
          </a:pPr>
          <a:endParaRPr lang="fr-F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fr-FR"/>
    </a:p>
  </c:txPr>
  <c:printSettings>
    <c:headerFooter/>
    <c:pageMargins b="0.750000000000002" l="0.70000000000000062" r="0.70000000000000062" t="0.750000000000002" header="0.30000000000000032" footer="0.30000000000000032"/>
    <c:pageSetup/>
  </c:printSettings>
</c:chartSpace>
</file>

<file path=xl/ctrlProps/ctrlProp1.xml><?xml version="1.0" encoding="utf-8"?>
<formControlPr xmlns="http://schemas.microsoft.com/office/spreadsheetml/2009/9/main" objectType="Spin" dx="15" fmlaLink="$C$23" inc="25" max="30000" noThreeD="1" page="10"/>
</file>

<file path=xl/ctrlProps/ctrlProp2.xml><?xml version="1.0" encoding="utf-8"?>
<formControlPr xmlns="http://schemas.microsoft.com/office/spreadsheetml/2009/9/main" objectType="Spin" dx="15" fmlaLink="$C$12" inc="100" max="30000" noThreeD="1" page="10" val="5083"/>
</file>

<file path=xl/ctrlProps/ctrlProp3.xml><?xml version="1.0" encoding="utf-8"?>
<formControlPr xmlns="http://schemas.microsoft.com/office/spreadsheetml/2009/9/main" objectType="Spin" dx="15" fmlaLink="$C$13" inc="50" max="30000" noThreeD="1" page="10" val="495"/>
</file>

<file path=xl/ctrlProps/ctrlProp4.xml><?xml version="1.0" encoding="utf-8"?>
<formControlPr xmlns="http://schemas.microsoft.com/office/spreadsheetml/2009/9/main" objectType="Spin" dx="15" fmlaLink="$C$24" inc="20" max="30000" noThreeD="1" page="10" val="84"/>
</file>

<file path=xl/ctrlProps/ctrlProp5.xml><?xml version="1.0" encoding="utf-8"?>
<formControlPr xmlns="http://schemas.microsoft.com/office/spreadsheetml/2009/9/main" objectType="Spin" dx="15" fmlaLink="$C$28" inc="10" max="30000" noThreeD="1" page="10" val="190"/>
</file>

<file path=xl/ctrlProps/ctrlProp6.xml><?xml version="1.0" encoding="utf-8"?>
<formControlPr xmlns="http://schemas.microsoft.com/office/spreadsheetml/2009/9/main" objectType="Spin" dx="15" fmlaLink="$C$29" inc="10" max="30000" noThreeD="1" page="10" val="80"/>
</file>

<file path=xl/ctrlProps/ctrlProp7.xml><?xml version="1.0" encoding="utf-8"?>
<formControlPr xmlns="http://schemas.microsoft.com/office/spreadsheetml/2009/9/main" objectType="Spin" dx="15" fmlaLink="$C$30" inc="10" max="30000" noThreeD="1" page="10" val="180"/>
</file>

<file path=xl/ctrlProps/ctrlProp8.xml><?xml version="1.0" encoding="utf-8"?>
<formControlPr xmlns="http://schemas.microsoft.com/office/spreadsheetml/2009/9/main" objectType="Spin" dx="15" fmlaLink="$C$31" inc="10" max="30000" noThreeD="1" page="10" val="145"/>
</file>

<file path=xl/ctrlProps/ctrlProp9.xml><?xml version="1.0" encoding="utf-8"?>
<formControlPr xmlns="http://schemas.microsoft.com/office/spreadsheetml/2009/9/main" objectType="Spin" dx="15" fmlaLink="$C$32" max="30000" noThreeD="1" page="10" val="3"/>
</file>

<file path=xl/ctrlProps/ctrlProp10.xml><?xml version="1.0" encoding="utf-8"?>
<formControlPr xmlns="http://schemas.microsoft.com/office/spreadsheetml/2009/9/main" objectType="Spin" dx="15" fmlaLink="$C$33" max="6" min="3" noThreeD="1" page="10" val="4"/>
</file>

<file path=xl/ctrlProps/ctrlProp11.xml><?xml version="1.0" encoding="utf-8"?>
<formControlPr xmlns="http://schemas.microsoft.com/office/spreadsheetml/2009/9/main" objectType="Spin" dx="15" fmlaLink="$C$14" inc="50" max="30000" noThreeD="1" page="10" val="1120"/>
</file>

<file path=xl/ctrlProps/ctrlProp12.xml><?xml version="1.0" encoding="utf-8"?>
<formControlPr xmlns="http://schemas.microsoft.com/office/spreadsheetml/2009/9/main" objectType="Spin" dx="15" fmlaLink="$C$12" inc="100" max="30000" noThreeD="1" page="10" val="5083"/>
</file>

<file path=xl/ctrlProps/ctrlProp13.xml><?xml version="1.0" encoding="utf-8"?>
<formControlPr xmlns="http://schemas.microsoft.com/office/spreadsheetml/2009/9/main" objectType="Spin" dx="15" fmlaLink="$C$12" inc="100" max="30000" noThreeD="1" page="10" val="5083"/>
</file>

<file path=xl/ctrlProps/ctrlProp14.xml><?xml version="1.0" encoding="utf-8"?>
<formControlPr xmlns="http://schemas.microsoft.com/office/spreadsheetml/2009/9/main" objectType="Spin" dx="15" fmlaLink="Stabilito!C12" inc="100" max="30000" noThreeD="1" page="10" val="5083"/>
</file>

<file path=xl/ctrlProps/ctrlProp15.xml><?xml version="1.0" encoding="utf-8"?>
<formControlPr xmlns="http://schemas.microsoft.com/office/spreadsheetml/2009/9/main" objectType="Spin" dx="15" fmlaLink="$B$44" inc="50" max="30000" noThreeD="1" page="10" val="310"/>
</file>

<file path=xl/ctrlProps/ctrlProp16.xml><?xml version="1.0" encoding="utf-8"?>
<formControlPr xmlns="http://schemas.microsoft.com/office/spreadsheetml/2009/9/main" objectType="Spin" dx="15" fmlaLink="$B$46" inc="50" max="30000" noThreeD="1" page="10" val="310"/>
</file>

<file path=xl/ctrlProps/ctrlProp17.xml><?xml version="1.0" encoding="utf-8"?>
<formControlPr xmlns="http://schemas.microsoft.com/office/spreadsheetml/2009/9/main" objectType="Spin" dx="15" fmlaLink="$B$52" inc="50" max="30000" noThreeD="1" page="10" val="299"/>
</file>

<file path=xl/ctrlProps/ctrlProp18.xml><?xml version="1.0" encoding="utf-8"?>
<formControlPr xmlns="http://schemas.microsoft.com/office/spreadsheetml/2009/9/main" objectType="Spin" dx="15" fmlaLink="$B$54" inc="5" max="30000" noThreeD="1" page="10" val="29"/>
</file>

<file path=xl/ctrlProps/ctrlProp19.xml><?xml version="1.0" encoding="utf-8"?>
<formControlPr xmlns="http://schemas.microsoft.com/office/spreadsheetml/2009/9/main" objectType="Spin" dx="15" fmlaLink="Stabilito!C12" inc="100" max="30000" noThreeD="1" page="10" val="5083"/>
</file>

<file path=xl/ctrlProps/ctrlProp20.xml><?xml version="1.0" encoding="utf-8"?>
<formControlPr xmlns="http://schemas.microsoft.com/office/spreadsheetml/2009/9/main" objectType="Spin" dx="15" fmlaLink="Stabilito!C12" inc="100" max="30000" noThreeD="1" page="10" val="5083"/>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openxmlformats.org/officeDocument/2006/relationships/image" Target="../media/image5.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image" Target="../media/image3.png"/><Relationship Id="rId4"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45.png"/><Relationship Id="rId1" Type="http://schemas.openxmlformats.org/officeDocument/2006/relationships/image" Target="../media/image44.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3.vml.rels><?xml version="1.0" encoding="UTF-8" standalone="yes"?>
<Relationships xmlns="http://schemas.openxmlformats.org/package/2006/relationships"><Relationship Id="rId13" Type="http://schemas.openxmlformats.org/officeDocument/2006/relationships/image" Target="../media/image19.emf"/><Relationship Id="rId18" Type="http://schemas.openxmlformats.org/officeDocument/2006/relationships/image" Target="../media/image24.emf"/><Relationship Id="rId26" Type="http://schemas.openxmlformats.org/officeDocument/2006/relationships/image" Target="../media/image32.emf"/><Relationship Id="rId3" Type="http://schemas.openxmlformats.org/officeDocument/2006/relationships/image" Target="../media/image9.emf"/><Relationship Id="rId21" Type="http://schemas.openxmlformats.org/officeDocument/2006/relationships/image" Target="../media/image27.emf"/><Relationship Id="rId34" Type="http://schemas.openxmlformats.org/officeDocument/2006/relationships/image" Target="../media/image40.emf"/><Relationship Id="rId7" Type="http://schemas.openxmlformats.org/officeDocument/2006/relationships/image" Target="../media/image13.emf"/><Relationship Id="rId12" Type="http://schemas.openxmlformats.org/officeDocument/2006/relationships/image" Target="../media/image18.emf"/><Relationship Id="rId17" Type="http://schemas.openxmlformats.org/officeDocument/2006/relationships/image" Target="../media/image23.emf"/><Relationship Id="rId25" Type="http://schemas.openxmlformats.org/officeDocument/2006/relationships/image" Target="../media/image31.emf"/><Relationship Id="rId33" Type="http://schemas.openxmlformats.org/officeDocument/2006/relationships/image" Target="../media/image39.emf"/><Relationship Id="rId2" Type="http://schemas.openxmlformats.org/officeDocument/2006/relationships/image" Target="../media/image8.emf"/><Relationship Id="rId16" Type="http://schemas.openxmlformats.org/officeDocument/2006/relationships/image" Target="../media/image22.emf"/><Relationship Id="rId20" Type="http://schemas.openxmlformats.org/officeDocument/2006/relationships/image" Target="../media/image26.emf"/><Relationship Id="rId29" Type="http://schemas.openxmlformats.org/officeDocument/2006/relationships/image" Target="../media/image35.emf"/><Relationship Id="rId1" Type="http://schemas.openxmlformats.org/officeDocument/2006/relationships/image" Target="../media/image7.emf"/><Relationship Id="rId6" Type="http://schemas.openxmlformats.org/officeDocument/2006/relationships/image" Target="../media/image12.emf"/><Relationship Id="rId11" Type="http://schemas.openxmlformats.org/officeDocument/2006/relationships/image" Target="../media/image17.emf"/><Relationship Id="rId24" Type="http://schemas.openxmlformats.org/officeDocument/2006/relationships/image" Target="../media/image30.emf"/><Relationship Id="rId32" Type="http://schemas.openxmlformats.org/officeDocument/2006/relationships/image" Target="../media/image38.emf"/><Relationship Id="rId5" Type="http://schemas.openxmlformats.org/officeDocument/2006/relationships/image" Target="../media/image11.emf"/><Relationship Id="rId15" Type="http://schemas.openxmlformats.org/officeDocument/2006/relationships/image" Target="../media/image21.emf"/><Relationship Id="rId23" Type="http://schemas.openxmlformats.org/officeDocument/2006/relationships/image" Target="../media/image29.emf"/><Relationship Id="rId28" Type="http://schemas.openxmlformats.org/officeDocument/2006/relationships/image" Target="../media/image34.emf"/><Relationship Id="rId36" Type="http://schemas.openxmlformats.org/officeDocument/2006/relationships/image" Target="../media/image42.emf"/><Relationship Id="rId10" Type="http://schemas.openxmlformats.org/officeDocument/2006/relationships/image" Target="../media/image16.emf"/><Relationship Id="rId19" Type="http://schemas.openxmlformats.org/officeDocument/2006/relationships/image" Target="../media/image25.emf"/><Relationship Id="rId31" Type="http://schemas.openxmlformats.org/officeDocument/2006/relationships/image" Target="../media/image37.emf"/><Relationship Id="rId4" Type="http://schemas.openxmlformats.org/officeDocument/2006/relationships/image" Target="../media/image10.emf"/><Relationship Id="rId9" Type="http://schemas.openxmlformats.org/officeDocument/2006/relationships/image" Target="../media/image15.emf"/><Relationship Id="rId14" Type="http://schemas.openxmlformats.org/officeDocument/2006/relationships/image" Target="../media/image20.emf"/><Relationship Id="rId22" Type="http://schemas.openxmlformats.org/officeDocument/2006/relationships/image" Target="../media/image28.emf"/><Relationship Id="rId27" Type="http://schemas.openxmlformats.org/officeDocument/2006/relationships/image" Target="../media/image33.emf"/><Relationship Id="rId30" Type="http://schemas.openxmlformats.org/officeDocument/2006/relationships/image" Target="../media/image36.emf"/><Relationship Id="rId35" Type="http://schemas.openxmlformats.org/officeDocument/2006/relationships/image" Target="../media/image41.emf"/><Relationship Id="rId8" Type="http://schemas.openxmlformats.org/officeDocument/2006/relationships/image" Target="../media/image1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3.emf"/></Relationships>
</file>

<file path=xl/drawings/drawing1.xml><?xml version="1.0" encoding="utf-8"?>
<xdr:wsDr xmlns:xdr="http://schemas.openxmlformats.org/drawingml/2006/spreadsheetDrawing" xmlns:a="http://schemas.openxmlformats.org/drawingml/2006/main">
  <xdr:twoCellAnchor>
    <xdr:from>
      <xdr:col>12</xdr:col>
      <xdr:colOff>25400</xdr:colOff>
      <xdr:row>1</xdr:row>
      <xdr:rowOff>25400</xdr:rowOff>
    </xdr:from>
    <xdr:to>
      <xdr:col>12</xdr:col>
      <xdr:colOff>488950</xdr:colOff>
      <xdr:row>1</xdr:row>
      <xdr:rowOff>139700</xdr:rowOff>
    </xdr:to>
    <xdr:grpSp>
      <xdr:nvGrpSpPr>
        <xdr:cNvPr id="5096993" name="Groupe 1">
          <a:extLst>
            <a:ext uri="{FF2B5EF4-FFF2-40B4-BE49-F238E27FC236}">
              <a16:creationId xmlns:a16="http://schemas.microsoft.com/office/drawing/2014/main" id="{00000000-0008-0000-0000-000021C64D00}"/>
            </a:ext>
          </a:extLst>
        </xdr:cNvPr>
        <xdr:cNvGrpSpPr>
          <a:grpSpLocks/>
        </xdr:cNvGrpSpPr>
      </xdr:nvGrpSpPr>
      <xdr:grpSpPr bwMode="auto">
        <a:xfrm>
          <a:off x="7372074" y="191052"/>
          <a:ext cx="463550" cy="114300"/>
          <a:chOff x="7067550" y="190500"/>
          <a:chExt cx="438150" cy="114300"/>
        </a:xfrm>
      </xdr:grpSpPr>
      <xdr:pic>
        <xdr:nvPicPr>
          <xdr:cNvPr id="5096999" name="Image 1">
            <a:extLst>
              <a:ext uri="{FF2B5EF4-FFF2-40B4-BE49-F238E27FC236}">
                <a16:creationId xmlns:a16="http://schemas.microsoft.com/office/drawing/2014/main" id="{00000000-0008-0000-0000-000027C64D00}"/>
              </a:ext>
            </a:extLst>
          </xdr:cNvPr>
          <xdr:cNvPicPr>
            <a:picLocks noChangeAspect="1"/>
          </xdr:cNvPicPr>
        </xdr:nvPicPr>
        <xdr:blipFill>
          <a:blip xmlns:r="http://schemas.openxmlformats.org/officeDocument/2006/relationships" r:embed="rId1" cstate="print"/>
          <a:srcRect/>
          <a:stretch>
            <a:fillRect/>
          </a:stretch>
        </xdr:blipFill>
        <xdr:spPr bwMode="auto">
          <a:xfrm>
            <a:off x="7067550" y="190500"/>
            <a:ext cx="171450" cy="114300"/>
          </a:xfrm>
          <a:prstGeom prst="rect">
            <a:avLst/>
          </a:prstGeom>
          <a:noFill/>
          <a:ln w="9525">
            <a:noFill/>
            <a:miter lim="800000"/>
            <a:headEnd/>
            <a:tailEnd/>
          </a:ln>
        </xdr:spPr>
      </xdr:pic>
      <xdr:pic>
        <xdr:nvPicPr>
          <xdr:cNvPr id="5097000" name="Image 2">
            <a:extLst>
              <a:ext uri="{FF2B5EF4-FFF2-40B4-BE49-F238E27FC236}">
                <a16:creationId xmlns:a16="http://schemas.microsoft.com/office/drawing/2014/main" id="{00000000-0008-0000-0000-000028C64D00}"/>
              </a:ext>
            </a:extLst>
          </xdr:cNvPr>
          <xdr:cNvPicPr>
            <a:picLocks noChangeAspect="1"/>
          </xdr:cNvPicPr>
        </xdr:nvPicPr>
        <xdr:blipFill>
          <a:blip xmlns:r="http://schemas.openxmlformats.org/officeDocument/2006/relationships" r:embed="rId2" cstate="print"/>
          <a:srcRect/>
          <a:stretch>
            <a:fillRect/>
          </a:stretch>
        </xdr:blipFill>
        <xdr:spPr bwMode="auto">
          <a:xfrm>
            <a:off x="7277100" y="190500"/>
            <a:ext cx="228600" cy="114300"/>
          </a:xfrm>
          <a:prstGeom prst="rect">
            <a:avLst/>
          </a:prstGeom>
          <a:noFill/>
          <a:ln w="9525">
            <a:noFill/>
            <a:miter lim="800000"/>
            <a:headEnd/>
            <a:tailEnd/>
          </a:ln>
        </xdr:spPr>
      </xdr:pic>
    </xdr:grpSp>
    <xdr:clientData/>
  </xdr:twoCellAnchor>
  <xdr:twoCellAnchor>
    <xdr:from>
      <xdr:col>4</xdr:col>
      <xdr:colOff>279400</xdr:colOff>
      <xdr:row>1</xdr:row>
      <xdr:rowOff>0</xdr:rowOff>
    </xdr:from>
    <xdr:to>
      <xdr:col>10</xdr:col>
      <xdr:colOff>0</xdr:colOff>
      <xdr:row>24</xdr:row>
      <xdr:rowOff>0</xdr:rowOff>
    </xdr:to>
    <xdr:graphicFrame macro="">
      <xdr:nvGraphicFramePr>
        <xdr:cNvPr id="5096994" name="Graphique 9">
          <a:extLst>
            <a:ext uri="{FF2B5EF4-FFF2-40B4-BE49-F238E27FC236}">
              <a16:creationId xmlns:a16="http://schemas.microsoft.com/office/drawing/2014/main" id="{00000000-0008-0000-0000-000022C6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25</xdr:row>
      <xdr:rowOff>0</xdr:rowOff>
    </xdr:from>
    <xdr:to>
      <xdr:col>16</xdr:col>
      <xdr:colOff>0</xdr:colOff>
      <xdr:row>35</xdr:row>
      <xdr:rowOff>0</xdr:rowOff>
    </xdr:to>
    <xdr:graphicFrame macro="">
      <xdr:nvGraphicFramePr>
        <xdr:cNvPr id="5096995" name="Graphique 19">
          <a:extLst>
            <a:ext uri="{FF2B5EF4-FFF2-40B4-BE49-F238E27FC236}">
              <a16:creationId xmlns:a16="http://schemas.microsoft.com/office/drawing/2014/main" id="{00000000-0008-0000-0000-000023C6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0</xdr:colOff>
      <xdr:row>1</xdr:row>
      <xdr:rowOff>0</xdr:rowOff>
    </xdr:from>
    <xdr:to>
      <xdr:col>1</xdr:col>
      <xdr:colOff>981075</xdr:colOff>
      <xdr:row>4</xdr:row>
      <xdr:rowOff>152400</xdr:rowOff>
    </xdr:to>
    <xdr:pic>
      <xdr:nvPicPr>
        <xdr:cNvPr id="5096996" name="Picture 8" descr="logoplasci">
          <a:extLst>
            <a:ext uri="{FF2B5EF4-FFF2-40B4-BE49-F238E27FC236}">
              <a16:creationId xmlns:a16="http://schemas.microsoft.com/office/drawing/2014/main" id="{00000000-0008-0000-0000-000024C64D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152400" y="158750"/>
          <a:ext cx="984250" cy="628650"/>
        </a:xfrm>
        <a:prstGeom prst="rect">
          <a:avLst/>
        </a:prstGeom>
        <a:noFill/>
        <a:ln w="9525">
          <a:noFill/>
          <a:miter lim="800000"/>
          <a:headEnd/>
          <a:tailEnd/>
        </a:ln>
      </xdr:spPr>
    </xdr:pic>
    <xdr:clientData/>
  </xdr:twoCellAnchor>
  <xdr:twoCellAnchor editAs="oneCell">
    <xdr:from>
      <xdr:col>1</xdr:col>
      <xdr:colOff>0</xdr:colOff>
      <xdr:row>38</xdr:row>
      <xdr:rowOff>0</xdr:rowOff>
    </xdr:from>
    <xdr:to>
      <xdr:col>3</xdr:col>
      <xdr:colOff>1270</xdr:colOff>
      <xdr:row>49</xdr:row>
      <xdr:rowOff>66675</xdr:rowOff>
    </xdr:to>
    <xdr:pic>
      <xdr:nvPicPr>
        <xdr:cNvPr id="5096997" name="Image 1">
          <a:extLst>
            <a:ext uri="{FF2B5EF4-FFF2-40B4-BE49-F238E27FC236}">
              <a16:creationId xmlns:a16="http://schemas.microsoft.com/office/drawing/2014/main" id="{00000000-0008-0000-0000-000025C64D00}"/>
            </a:ext>
          </a:extLst>
        </xdr:cNvPr>
        <xdr:cNvPicPr>
          <a:picLocks noChangeAspect="1"/>
        </xdr:cNvPicPr>
      </xdr:nvPicPr>
      <xdr:blipFill>
        <a:blip xmlns:r="http://schemas.openxmlformats.org/officeDocument/2006/relationships" r:embed="rId6" cstate="print"/>
        <a:srcRect/>
        <a:stretch>
          <a:fillRect/>
        </a:stretch>
      </xdr:blipFill>
      <xdr:spPr bwMode="auto">
        <a:xfrm>
          <a:off x="152400" y="5873750"/>
          <a:ext cx="1987550" cy="1885950"/>
        </a:xfrm>
        <a:prstGeom prst="rect">
          <a:avLst/>
        </a:prstGeom>
        <a:noFill/>
        <a:ln w="9525">
          <a:noFill/>
          <a:miter lim="800000"/>
          <a:headEnd/>
          <a:tailEnd/>
        </a:ln>
      </xdr:spPr>
    </xdr:pic>
    <xdr:clientData/>
  </xdr:twoCellAnchor>
  <xdr:twoCellAnchor editAs="oneCell">
    <xdr:from>
      <xdr:col>18</xdr:col>
      <xdr:colOff>0</xdr:colOff>
      <xdr:row>3</xdr:row>
      <xdr:rowOff>12700</xdr:rowOff>
    </xdr:from>
    <xdr:to>
      <xdr:col>20</xdr:col>
      <xdr:colOff>561975</xdr:colOff>
      <xdr:row>9</xdr:row>
      <xdr:rowOff>20320</xdr:rowOff>
    </xdr:to>
    <xdr:pic>
      <xdr:nvPicPr>
        <xdr:cNvPr id="5096998" name="Image 2">
          <a:extLst>
            <a:ext uri="{FF2B5EF4-FFF2-40B4-BE49-F238E27FC236}">
              <a16:creationId xmlns:a16="http://schemas.microsoft.com/office/drawing/2014/main" id="{00000000-0008-0000-0000-000026C64D00}"/>
            </a:ext>
          </a:extLst>
        </xdr:cNvPr>
        <xdr:cNvPicPr>
          <a:picLocks noChangeAspect="1"/>
        </xdr:cNvPicPr>
      </xdr:nvPicPr>
      <xdr:blipFill>
        <a:blip xmlns:r="http://schemas.openxmlformats.org/officeDocument/2006/relationships" r:embed="rId7" cstate="print"/>
        <a:srcRect/>
        <a:stretch>
          <a:fillRect/>
        </a:stretch>
      </xdr:blipFill>
      <xdr:spPr bwMode="auto">
        <a:xfrm>
          <a:off x="9810750" y="488950"/>
          <a:ext cx="2152650" cy="952500"/>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3</xdr:col>
          <xdr:colOff>752475</xdr:colOff>
          <xdr:row>22</xdr:row>
          <xdr:rowOff>0</xdr:rowOff>
        </xdr:from>
        <xdr:to>
          <xdr:col>3</xdr:col>
          <xdr:colOff>895350</xdr:colOff>
          <xdr:row>23</xdr:row>
          <xdr:rowOff>0</xdr:rowOff>
        </xdr:to>
        <xdr:sp macro="" textlink="">
          <xdr:nvSpPr>
            <xdr:cNvPr id="36775" name="Spinner 935" hidden="1">
              <a:extLst>
                <a:ext uri="{63B3BB69-23CF-44E3-9099-C40C66FF867C}">
                  <a14:compatExt spid="_x0000_s36775"/>
                </a:ext>
                <a:ext uri="{FF2B5EF4-FFF2-40B4-BE49-F238E27FC236}">
                  <a16:creationId xmlns:a16="http://schemas.microsoft.com/office/drawing/2014/main" id="{00000000-0008-0000-0000-0000A7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11</xdr:row>
          <xdr:rowOff>0</xdr:rowOff>
        </xdr:from>
        <xdr:to>
          <xdr:col>2</xdr:col>
          <xdr:colOff>895350</xdr:colOff>
          <xdr:row>12</xdr:row>
          <xdr:rowOff>0</xdr:rowOff>
        </xdr:to>
        <xdr:sp macro="" textlink="">
          <xdr:nvSpPr>
            <xdr:cNvPr id="36781" name="Spinner 941" hidden="1">
              <a:extLst>
                <a:ext uri="{63B3BB69-23CF-44E3-9099-C40C66FF867C}">
                  <a14:compatExt spid="_x0000_s36781"/>
                </a:ext>
                <a:ext uri="{FF2B5EF4-FFF2-40B4-BE49-F238E27FC236}">
                  <a16:creationId xmlns:a16="http://schemas.microsoft.com/office/drawing/2014/main" id="{00000000-0008-0000-0000-0000AD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12</xdr:row>
          <xdr:rowOff>0</xdr:rowOff>
        </xdr:from>
        <xdr:to>
          <xdr:col>2</xdr:col>
          <xdr:colOff>895350</xdr:colOff>
          <xdr:row>13</xdr:row>
          <xdr:rowOff>0</xdr:rowOff>
        </xdr:to>
        <xdr:sp macro="" textlink="">
          <xdr:nvSpPr>
            <xdr:cNvPr id="36782" name="Spinner 942" hidden="1">
              <a:extLst>
                <a:ext uri="{63B3BB69-23CF-44E3-9099-C40C66FF867C}">
                  <a14:compatExt spid="_x0000_s36782"/>
                </a:ext>
                <a:ext uri="{FF2B5EF4-FFF2-40B4-BE49-F238E27FC236}">
                  <a16:creationId xmlns:a16="http://schemas.microsoft.com/office/drawing/2014/main" id="{00000000-0008-0000-0000-0000AE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752475</xdr:colOff>
          <xdr:row>22</xdr:row>
          <xdr:rowOff>161925</xdr:rowOff>
        </xdr:from>
        <xdr:to>
          <xdr:col>3</xdr:col>
          <xdr:colOff>895350</xdr:colOff>
          <xdr:row>24</xdr:row>
          <xdr:rowOff>0</xdr:rowOff>
        </xdr:to>
        <xdr:sp macro="" textlink="">
          <xdr:nvSpPr>
            <xdr:cNvPr id="36783" name="Spinner 943" hidden="1">
              <a:extLst>
                <a:ext uri="{63B3BB69-23CF-44E3-9099-C40C66FF867C}">
                  <a14:compatExt spid="_x0000_s36783"/>
                </a:ext>
                <a:ext uri="{FF2B5EF4-FFF2-40B4-BE49-F238E27FC236}">
                  <a16:creationId xmlns:a16="http://schemas.microsoft.com/office/drawing/2014/main" id="{00000000-0008-0000-0000-0000AF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27</xdr:row>
          <xdr:rowOff>0</xdr:rowOff>
        </xdr:from>
        <xdr:to>
          <xdr:col>3</xdr:col>
          <xdr:colOff>0</xdr:colOff>
          <xdr:row>28</xdr:row>
          <xdr:rowOff>9525</xdr:rowOff>
        </xdr:to>
        <xdr:sp macro="" textlink="">
          <xdr:nvSpPr>
            <xdr:cNvPr id="36789" name="Spinner 949" hidden="1">
              <a:extLst>
                <a:ext uri="{63B3BB69-23CF-44E3-9099-C40C66FF867C}">
                  <a14:compatExt spid="_x0000_s36789"/>
                </a:ext>
                <a:ext uri="{FF2B5EF4-FFF2-40B4-BE49-F238E27FC236}">
                  <a16:creationId xmlns:a16="http://schemas.microsoft.com/office/drawing/2014/main" id="{00000000-0008-0000-0000-0000B5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28</xdr:row>
          <xdr:rowOff>0</xdr:rowOff>
        </xdr:from>
        <xdr:to>
          <xdr:col>3</xdr:col>
          <xdr:colOff>0</xdr:colOff>
          <xdr:row>29</xdr:row>
          <xdr:rowOff>9525</xdr:rowOff>
        </xdr:to>
        <xdr:sp macro="" textlink="">
          <xdr:nvSpPr>
            <xdr:cNvPr id="36795" name="Spinner 955" hidden="1">
              <a:extLst>
                <a:ext uri="{63B3BB69-23CF-44E3-9099-C40C66FF867C}">
                  <a14:compatExt spid="_x0000_s36795"/>
                </a:ext>
                <a:ext uri="{FF2B5EF4-FFF2-40B4-BE49-F238E27FC236}">
                  <a16:creationId xmlns:a16="http://schemas.microsoft.com/office/drawing/2014/main" id="{00000000-0008-0000-0000-0000BB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28</xdr:row>
          <xdr:rowOff>161925</xdr:rowOff>
        </xdr:from>
        <xdr:to>
          <xdr:col>3</xdr:col>
          <xdr:colOff>0</xdr:colOff>
          <xdr:row>30</xdr:row>
          <xdr:rowOff>0</xdr:rowOff>
        </xdr:to>
        <xdr:sp macro="" textlink="">
          <xdr:nvSpPr>
            <xdr:cNvPr id="36796" name="Spinner 956" hidden="1">
              <a:extLst>
                <a:ext uri="{63B3BB69-23CF-44E3-9099-C40C66FF867C}">
                  <a14:compatExt spid="_x0000_s36796"/>
                </a:ext>
                <a:ext uri="{FF2B5EF4-FFF2-40B4-BE49-F238E27FC236}">
                  <a16:creationId xmlns:a16="http://schemas.microsoft.com/office/drawing/2014/main" id="{00000000-0008-0000-0000-0000BC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30</xdr:row>
          <xdr:rowOff>0</xdr:rowOff>
        </xdr:from>
        <xdr:to>
          <xdr:col>3</xdr:col>
          <xdr:colOff>0</xdr:colOff>
          <xdr:row>30</xdr:row>
          <xdr:rowOff>161925</xdr:rowOff>
        </xdr:to>
        <xdr:sp macro="" textlink="">
          <xdr:nvSpPr>
            <xdr:cNvPr id="36797" name="Spinner 957" hidden="1">
              <a:extLst>
                <a:ext uri="{63B3BB69-23CF-44E3-9099-C40C66FF867C}">
                  <a14:compatExt spid="_x0000_s36797"/>
                </a:ext>
                <a:ext uri="{FF2B5EF4-FFF2-40B4-BE49-F238E27FC236}">
                  <a16:creationId xmlns:a16="http://schemas.microsoft.com/office/drawing/2014/main" id="{00000000-0008-0000-0000-0000BD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31</xdr:row>
          <xdr:rowOff>0</xdr:rowOff>
        </xdr:from>
        <xdr:to>
          <xdr:col>2</xdr:col>
          <xdr:colOff>895350</xdr:colOff>
          <xdr:row>32</xdr:row>
          <xdr:rowOff>0</xdr:rowOff>
        </xdr:to>
        <xdr:sp macro="" textlink="">
          <xdr:nvSpPr>
            <xdr:cNvPr id="36798" name="Spinner 958" hidden="1">
              <a:extLst>
                <a:ext uri="{63B3BB69-23CF-44E3-9099-C40C66FF867C}">
                  <a14:compatExt spid="_x0000_s36798"/>
                </a:ext>
                <a:ext uri="{FF2B5EF4-FFF2-40B4-BE49-F238E27FC236}">
                  <a16:creationId xmlns:a16="http://schemas.microsoft.com/office/drawing/2014/main" id="{00000000-0008-0000-0000-0000BE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32</xdr:row>
          <xdr:rowOff>0</xdr:rowOff>
        </xdr:from>
        <xdr:to>
          <xdr:col>3</xdr:col>
          <xdr:colOff>0</xdr:colOff>
          <xdr:row>33</xdr:row>
          <xdr:rowOff>0</xdr:rowOff>
        </xdr:to>
        <xdr:sp macro="" textlink="">
          <xdr:nvSpPr>
            <xdr:cNvPr id="36799" name="Spinner 959" hidden="1">
              <a:extLst>
                <a:ext uri="{63B3BB69-23CF-44E3-9099-C40C66FF867C}">
                  <a14:compatExt spid="_x0000_s36799"/>
                </a:ext>
                <a:ext uri="{FF2B5EF4-FFF2-40B4-BE49-F238E27FC236}">
                  <a16:creationId xmlns:a16="http://schemas.microsoft.com/office/drawing/2014/main" id="{00000000-0008-0000-0000-0000BF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752475</xdr:colOff>
          <xdr:row>12</xdr:row>
          <xdr:rowOff>161925</xdr:rowOff>
        </xdr:from>
        <xdr:to>
          <xdr:col>4</xdr:col>
          <xdr:colOff>0</xdr:colOff>
          <xdr:row>13</xdr:row>
          <xdr:rowOff>161925</xdr:rowOff>
        </xdr:to>
        <xdr:sp macro="" textlink="">
          <xdr:nvSpPr>
            <xdr:cNvPr id="36801" name="Spinner 961" hidden="1">
              <a:extLst>
                <a:ext uri="{63B3BB69-23CF-44E3-9099-C40C66FF867C}">
                  <a14:compatExt spid="_x0000_s36801"/>
                </a:ext>
                <a:ext uri="{FF2B5EF4-FFF2-40B4-BE49-F238E27FC236}">
                  <a16:creationId xmlns:a16="http://schemas.microsoft.com/office/drawing/2014/main" id="{00000000-0008-0000-0000-0000C1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19</xdr:col>
          <xdr:colOff>0</xdr:colOff>
          <xdr:row>35</xdr:row>
          <xdr:rowOff>9525</xdr:rowOff>
        </xdr:from>
        <xdr:to>
          <xdr:col>19</xdr:col>
          <xdr:colOff>0</xdr:colOff>
          <xdr:row>36</xdr:row>
          <xdr:rowOff>0</xdr:rowOff>
        </xdr:to>
        <xdr:sp macro="" textlink="">
          <xdr:nvSpPr>
            <xdr:cNvPr id="5096691" name="Spinner 3315" hidden="1">
              <a:extLst>
                <a:ext uri="{63B3BB69-23CF-44E3-9099-C40C66FF867C}">
                  <a14:compatExt spid="_x0000_s5096691"/>
                </a:ext>
                <a:ext uri="{FF2B5EF4-FFF2-40B4-BE49-F238E27FC236}">
                  <a16:creationId xmlns:a16="http://schemas.microsoft.com/office/drawing/2014/main" id="{00000000-0008-0000-0000-0000F3C44D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19</xdr:col>
          <xdr:colOff>0</xdr:colOff>
          <xdr:row>35</xdr:row>
          <xdr:rowOff>9525</xdr:rowOff>
        </xdr:from>
        <xdr:to>
          <xdr:col>19</xdr:col>
          <xdr:colOff>0</xdr:colOff>
          <xdr:row>36</xdr:row>
          <xdr:rowOff>0</xdr:rowOff>
        </xdr:to>
        <xdr:sp macro="" textlink="">
          <xdr:nvSpPr>
            <xdr:cNvPr id="5096692" name="Spinner 3316" hidden="1">
              <a:extLst>
                <a:ext uri="{63B3BB69-23CF-44E3-9099-C40C66FF867C}">
                  <a14:compatExt spid="_x0000_s5096692"/>
                </a:ext>
                <a:ext uri="{FF2B5EF4-FFF2-40B4-BE49-F238E27FC236}">
                  <a16:creationId xmlns:a16="http://schemas.microsoft.com/office/drawing/2014/main" id="{00000000-0008-0000-0000-0000F4C44D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5</xdr:col>
      <xdr:colOff>0</xdr:colOff>
      <xdr:row>1</xdr:row>
      <xdr:rowOff>0</xdr:rowOff>
    </xdr:from>
    <xdr:to>
      <xdr:col>8</xdr:col>
      <xdr:colOff>609600</xdr:colOff>
      <xdr:row>21</xdr:row>
      <xdr:rowOff>38100</xdr:rowOff>
    </xdr:to>
    <xdr:graphicFrame macro="">
      <xdr:nvGraphicFramePr>
        <xdr:cNvPr id="4779983" name="Graphique 1">
          <a:extLst>
            <a:ext uri="{FF2B5EF4-FFF2-40B4-BE49-F238E27FC236}">
              <a16:creationId xmlns:a16="http://schemas.microsoft.com/office/drawing/2014/main" id="{00000000-0008-0000-0100-0000CFEF48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xdr:row>
      <xdr:rowOff>0</xdr:rowOff>
    </xdr:from>
    <xdr:to>
      <xdr:col>13</xdr:col>
      <xdr:colOff>0</xdr:colOff>
      <xdr:row>21</xdr:row>
      <xdr:rowOff>47625</xdr:rowOff>
    </xdr:to>
    <xdr:graphicFrame macro="">
      <xdr:nvGraphicFramePr>
        <xdr:cNvPr id="4779984" name="Graphique 2">
          <a:extLst>
            <a:ext uri="{FF2B5EF4-FFF2-40B4-BE49-F238E27FC236}">
              <a16:creationId xmlns:a16="http://schemas.microsoft.com/office/drawing/2014/main" id="{00000000-0008-0000-0100-0000D0EF48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1</xdr:row>
      <xdr:rowOff>0</xdr:rowOff>
    </xdr:from>
    <xdr:to>
      <xdr:col>1</xdr:col>
      <xdr:colOff>979170</xdr:colOff>
      <xdr:row>4</xdr:row>
      <xdr:rowOff>152400</xdr:rowOff>
    </xdr:to>
    <xdr:pic>
      <xdr:nvPicPr>
        <xdr:cNvPr id="4779985" name="Picture 8" descr="logoplasci">
          <a:extLst>
            <a:ext uri="{FF2B5EF4-FFF2-40B4-BE49-F238E27FC236}">
              <a16:creationId xmlns:a16="http://schemas.microsoft.com/office/drawing/2014/main" id="{00000000-0008-0000-0100-0000D1EF48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52400" y="165100"/>
          <a:ext cx="984250" cy="628650"/>
        </a:xfrm>
        <a:prstGeom prst="rect">
          <a:avLst/>
        </a:prstGeom>
        <a:noFill/>
        <a:ln w="9525">
          <a:noFill/>
          <a:miter lim="800000"/>
          <a:headEnd/>
          <a:tailEnd/>
        </a:ln>
      </xdr:spPr>
    </xdr:pic>
    <xdr:clientData/>
  </xdr:twoCellAnchor>
  <xdr:twoCellAnchor>
    <xdr:from>
      <xdr:col>2</xdr:col>
      <xdr:colOff>397377</xdr:colOff>
      <xdr:row>49</xdr:row>
      <xdr:rowOff>132682</xdr:rowOff>
    </xdr:from>
    <xdr:to>
      <xdr:col>3</xdr:col>
      <xdr:colOff>583998</xdr:colOff>
      <xdr:row>56</xdr:row>
      <xdr:rowOff>50436</xdr:rowOff>
    </xdr:to>
    <xdr:grpSp>
      <xdr:nvGrpSpPr>
        <xdr:cNvPr id="4" name="Groupe 3">
          <a:extLst>
            <a:ext uri="{FF2B5EF4-FFF2-40B4-BE49-F238E27FC236}">
              <a16:creationId xmlns:a16="http://schemas.microsoft.com/office/drawing/2014/main" id="{00000000-0008-0000-0100-000004000000}"/>
            </a:ext>
          </a:extLst>
        </xdr:cNvPr>
        <xdr:cNvGrpSpPr/>
      </xdr:nvGrpSpPr>
      <xdr:grpSpPr>
        <a:xfrm>
          <a:off x="1616577" y="8076532"/>
          <a:ext cx="1043871" cy="1051229"/>
          <a:chOff x="1543718" y="8304129"/>
          <a:chExt cx="1082306" cy="1064096"/>
        </a:xfrm>
      </xdr:grpSpPr>
      <xdr:sp macro="" textlink="">
        <xdr:nvSpPr>
          <xdr:cNvPr id="4779987" name="Oval 323">
            <a:extLst>
              <a:ext uri="{FF2B5EF4-FFF2-40B4-BE49-F238E27FC236}">
                <a16:creationId xmlns:a16="http://schemas.microsoft.com/office/drawing/2014/main" id="{00000000-0008-0000-0100-0000D3EF4800}"/>
              </a:ext>
            </a:extLst>
          </xdr:cNvPr>
          <xdr:cNvSpPr>
            <a:spLocks noChangeArrowheads="1"/>
          </xdr:cNvSpPr>
        </xdr:nvSpPr>
        <xdr:spPr bwMode="auto">
          <a:xfrm>
            <a:off x="1543718" y="8304129"/>
            <a:ext cx="1082306" cy="1064096"/>
          </a:xfrm>
          <a:prstGeom prst="ellipse">
            <a:avLst/>
          </a:prstGeom>
          <a:solidFill>
            <a:srgbClr val="F2F2F2"/>
          </a:solidFill>
          <a:ln w="9525">
            <a:solidFill>
              <a:srgbClr val="000000"/>
            </a:solidFill>
            <a:round/>
            <a:headEnd/>
            <a:tailEnd/>
          </a:ln>
        </xdr:spPr>
      </xdr:sp>
      <xdr:sp macro="" textlink="">
        <xdr:nvSpPr>
          <xdr:cNvPr id="4779988" name="Oval 323">
            <a:extLst>
              <a:ext uri="{FF2B5EF4-FFF2-40B4-BE49-F238E27FC236}">
                <a16:creationId xmlns:a16="http://schemas.microsoft.com/office/drawing/2014/main" id="{00000000-0008-0000-0100-0000D4EF4800}"/>
              </a:ext>
            </a:extLst>
          </xdr:cNvPr>
          <xdr:cNvSpPr>
            <a:spLocks noChangeArrowheads="1"/>
          </xdr:cNvSpPr>
        </xdr:nvSpPr>
        <xdr:spPr bwMode="auto">
          <a:xfrm>
            <a:off x="1939718" y="8694827"/>
            <a:ext cx="290306" cy="282700"/>
          </a:xfrm>
          <a:prstGeom prst="ellipse">
            <a:avLst/>
          </a:prstGeom>
          <a:solidFill>
            <a:srgbClr val="FFFFFF"/>
          </a:solidFill>
          <a:ln w="9525">
            <a:solidFill>
              <a:srgbClr val="000000"/>
            </a:solidFill>
            <a:round/>
            <a:headEnd/>
            <a:tailEnd/>
          </a:ln>
        </xdr:spPr>
      </xdr:sp>
      <xdr:sp macro="" textlink="">
        <xdr:nvSpPr>
          <xdr:cNvPr id="4779989" name="Line 324">
            <a:extLst>
              <a:ext uri="{FF2B5EF4-FFF2-40B4-BE49-F238E27FC236}">
                <a16:creationId xmlns:a16="http://schemas.microsoft.com/office/drawing/2014/main" id="{00000000-0008-0000-0100-0000D5EF4800}"/>
              </a:ext>
            </a:extLst>
          </xdr:cNvPr>
          <xdr:cNvSpPr>
            <a:spLocks noChangeShapeType="1"/>
          </xdr:cNvSpPr>
        </xdr:nvSpPr>
        <xdr:spPr bwMode="auto">
          <a:xfrm>
            <a:off x="2083718" y="8304129"/>
            <a:ext cx="0" cy="540000"/>
          </a:xfrm>
          <a:prstGeom prst="line">
            <a:avLst/>
          </a:prstGeom>
          <a:noFill/>
          <a:ln w="9525">
            <a:solidFill>
              <a:srgbClr val="000000"/>
            </a:solidFill>
            <a:round/>
            <a:headEnd type="triangle" w="med" len="med"/>
            <a:tailEnd type="triangle" w="med" len="med"/>
          </a:ln>
        </xdr:spPr>
      </xdr:sp>
      <xdr:sp macro="" textlink="">
        <xdr:nvSpPr>
          <xdr:cNvPr id="4779990" name="Line 324">
            <a:extLst>
              <a:ext uri="{FF2B5EF4-FFF2-40B4-BE49-F238E27FC236}">
                <a16:creationId xmlns:a16="http://schemas.microsoft.com/office/drawing/2014/main" id="{00000000-0008-0000-0100-0000D6EF4800}"/>
              </a:ext>
            </a:extLst>
          </xdr:cNvPr>
          <xdr:cNvSpPr>
            <a:spLocks noChangeShapeType="1"/>
          </xdr:cNvSpPr>
        </xdr:nvSpPr>
        <xdr:spPr bwMode="auto">
          <a:xfrm>
            <a:off x="2083718" y="8838866"/>
            <a:ext cx="0" cy="144000"/>
          </a:xfrm>
          <a:prstGeom prst="line">
            <a:avLst/>
          </a:prstGeom>
          <a:noFill/>
          <a:ln w="9525">
            <a:solidFill>
              <a:srgbClr val="000000"/>
            </a:solidFill>
            <a:round/>
            <a:headEnd type="triangle" w="sm" len="sm"/>
            <a:tailEnd type="triangle" w="sm" len="sm"/>
          </a:ln>
        </xdr:spPr>
      </xdr:sp>
    </xdr:grpSp>
    <xdr:clientData/>
  </xdr:twoCellAnchor>
  <mc:AlternateContent xmlns:mc="http://schemas.openxmlformats.org/markup-compatibility/2006">
    <mc:Choice xmlns:a14="http://schemas.microsoft.com/office/drawing/2010/main" Requires="a14">
      <xdr:twoCellAnchor>
        <xdr:from>
          <xdr:col>3</xdr:col>
          <xdr:colOff>647700</xdr:colOff>
          <xdr:row>9</xdr:row>
          <xdr:rowOff>161925</xdr:rowOff>
        </xdr:from>
        <xdr:to>
          <xdr:col>4</xdr:col>
          <xdr:colOff>0</xdr:colOff>
          <xdr:row>11</xdr:row>
          <xdr:rowOff>9525</xdr:rowOff>
        </xdr:to>
        <xdr:sp macro="" textlink="">
          <xdr:nvSpPr>
            <xdr:cNvPr id="1424424" name="Spinner 1064" hidden="1">
              <a:extLst>
                <a:ext uri="{63B3BB69-23CF-44E3-9099-C40C66FF867C}">
                  <a14:compatExt spid="_x0000_s1424424"/>
                </a:ext>
                <a:ext uri="{FF2B5EF4-FFF2-40B4-BE49-F238E27FC236}">
                  <a16:creationId xmlns:a16="http://schemas.microsoft.com/office/drawing/2014/main" id="{00000000-0008-0000-0100-000028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43</xdr:row>
          <xdr:rowOff>9525</xdr:rowOff>
        </xdr:from>
        <xdr:to>
          <xdr:col>2</xdr:col>
          <xdr:colOff>0</xdr:colOff>
          <xdr:row>44</xdr:row>
          <xdr:rowOff>0</xdr:rowOff>
        </xdr:to>
        <xdr:sp macro="" textlink="">
          <xdr:nvSpPr>
            <xdr:cNvPr id="1424589" name="Spinner 1229" hidden="1">
              <a:extLst>
                <a:ext uri="{63B3BB69-23CF-44E3-9099-C40C66FF867C}">
                  <a14:compatExt spid="_x0000_s1424589"/>
                </a:ext>
                <a:ext uri="{FF2B5EF4-FFF2-40B4-BE49-F238E27FC236}">
                  <a16:creationId xmlns:a16="http://schemas.microsoft.com/office/drawing/2014/main" id="{00000000-0008-0000-0100-0000CD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45</xdr:row>
          <xdr:rowOff>9525</xdr:rowOff>
        </xdr:from>
        <xdr:to>
          <xdr:col>2</xdr:col>
          <xdr:colOff>0</xdr:colOff>
          <xdr:row>46</xdr:row>
          <xdr:rowOff>0</xdr:rowOff>
        </xdr:to>
        <xdr:sp macro="" textlink="">
          <xdr:nvSpPr>
            <xdr:cNvPr id="1424590" name="Spinner 1230" hidden="1">
              <a:extLst>
                <a:ext uri="{63B3BB69-23CF-44E3-9099-C40C66FF867C}">
                  <a14:compatExt spid="_x0000_s1424590"/>
                </a:ext>
                <a:ext uri="{FF2B5EF4-FFF2-40B4-BE49-F238E27FC236}">
                  <a16:creationId xmlns:a16="http://schemas.microsoft.com/office/drawing/2014/main" id="{00000000-0008-0000-0100-0000CE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51</xdr:row>
          <xdr:rowOff>9525</xdr:rowOff>
        </xdr:from>
        <xdr:to>
          <xdr:col>2</xdr:col>
          <xdr:colOff>0</xdr:colOff>
          <xdr:row>52</xdr:row>
          <xdr:rowOff>0</xdr:rowOff>
        </xdr:to>
        <xdr:sp macro="" textlink="">
          <xdr:nvSpPr>
            <xdr:cNvPr id="1424591" name="Spinner 1231" hidden="1">
              <a:extLst>
                <a:ext uri="{63B3BB69-23CF-44E3-9099-C40C66FF867C}">
                  <a14:compatExt spid="_x0000_s1424591"/>
                </a:ext>
                <a:ext uri="{FF2B5EF4-FFF2-40B4-BE49-F238E27FC236}">
                  <a16:creationId xmlns:a16="http://schemas.microsoft.com/office/drawing/2014/main" id="{00000000-0008-0000-0100-0000CF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94</xdr:row>
          <xdr:rowOff>76200</xdr:rowOff>
        </xdr:from>
        <xdr:to>
          <xdr:col>3</xdr:col>
          <xdr:colOff>762000</xdr:colOff>
          <xdr:row>100</xdr:row>
          <xdr:rowOff>95250</xdr:rowOff>
        </xdr:to>
        <xdr:sp macro="" textlink="">
          <xdr:nvSpPr>
            <xdr:cNvPr id="1425294" name="Object 1934" hidden="1">
              <a:extLst>
                <a:ext uri="{63B3BB69-23CF-44E3-9099-C40C66FF867C}">
                  <a14:compatExt spid="_x0000_s1425294"/>
                </a:ext>
                <a:ext uri="{FF2B5EF4-FFF2-40B4-BE49-F238E27FC236}">
                  <a16:creationId xmlns:a16="http://schemas.microsoft.com/office/drawing/2014/main" id="{00000000-0008-0000-0100-00008EBF15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53</xdr:row>
          <xdr:rowOff>9525</xdr:rowOff>
        </xdr:from>
        <xdr:to>
          <xdr:col>2</xdr:col>
          <xdr:colOff>0</xdr:colOff>
          <xdr:row>54</xdr:row>
          <xdr:rowOff>0</xdr:rowOff>
        </xdr:to>
        <xdr:sp macro="" textlink="">
          <xdr:nvSpPr>
            <xdr:cNvPr id="4779462" name="Spinner 4550" hidden="1">
              <a:extLst>
                <a:ext uri="{63B3BB69-23CF-44E3-9099-C40C66FF867C}">
                  <a14:compatExt spid="_x0000_s4779462"/>
                </a:ext>
                <a:ext uri="{FF2B5EF4-FFF2-40B4-BE49-F238E27FC236}">
                  <a16:creationId xmlns:a16="http://schemas.microsoft.com/office/drawing/2014/main" id="{00000000-0008-0000-0100-0000C6ED48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twoCellAnchor>
    <xdr:from>
      <xdr:col>2</xdr:col>
      <xdr:colOff>111065</xdr:colOff>
      <xdr:row>40</xdr:row>
      <xdr:rowOff>120650</xdr:rowOff>
    </xdr:from>
    <xdr:to>
      <xdr:col>3</xdr:col>
      <xdr:colOff>723899</xdr:colOff>
      <xdr:row>47</xdr:row>
      <xdr:rowOff>163763</xdr:rowOff>
    </xdr:to>
    <xdr:grpSp>
      <xdr:nvGrpSpPr>
        <xdr:cNvPr id="5" name="Groupe 4">
          <a:extLst>
            <a:ext uri="{FF2B5EF4-FFF2-40B4-BE49-F238E27FC236}">
              <a16:creationId xmlns:a16="http://schemas.microsoft.com/office/drawing/2014/main" id="{00000000-0008-0000-0100-000005000000}"/>
            </a:ext>
          </a:extLst>
        </xdr:cNvPr>
        <xdr:cNvGrpSpPr/>
      </xdr:nvGrpSpPr>
      <xdr:grpSpPr>
        <a:xfrm>
          <a:off x="1330265" y="6607175"/>
          <a:ext cx="1470084" cy="1176588"/>
          <a:chOff x="1206570" y="6604334"/>
          <a:chExt cx="1696381" cy="1189455"/>
        </a:xfrm>
      </xdr:grpSpPr>
      <xdr:grpSp>
        <xdr:nvGrpSpPr>
          <xdr:cNvPr id="4779986" name="Groupe 1">
            <a:extLst>
              <a:ext uri="{FF2B5EF4-FFF2-40B4-BE49-F238E27FC236}">
                <a16:creationId xmlns:a16="http://schemas.microsoft.com/office/drawing/2014/main" id="{00000000-0008-0000-0100-0000D2EF4800}"/>
              </a:ext>
            </a:extLst>
          </xdr:cNvPr>
          <xdr:cNvGrpSpPr>
            <a:grpSpLocks/>
          </xdr:cNvGrpSpPr>
        </xdr:nvGrpSpPr>
        <xdr:grpSpPr bwMode="auto">
          <a:xfrm>
            <a:off x="1423067" y="6604334"/>
            <a:ext cx="1479884" cy="1189455"/>
            <a:chOff x="1362074" y="6410325"/>
            <a:chExt cx="1319467" cy="1181100"/>
          </a:xfrm>
        </xdr:grpSpPr>
        <xdr:sp macro="" textlink="">
          <xdr:nvSpPr>
            <xdr:cNvPr id="4779991" name="Line 320">
              <a:extLst>
                <a:ext uri="{FF2B5EF4-FFF2-40B4-BE49-F238E27FC236}">
                  <a16:creationId xmlns:a16="http://schemas.microsoft.com/office/drawing/2014/main" id="{00000000-0008-0000-0100-0000D7EF4800}"/>
                </a:ext>
              </a:extLst>
            </xdr:cNvPr>
            <xdr:cNvSpPr>
              <a:spLocks noChangeShapeType="1"/>
            </xdr:cNvSpPr>
          </xdr:nvSpPr>
          <xdr:spPr bwMode="auto">
            <a:xfrm flipH="1">
              <a:off x="1481627" y="7305580"/>
              <a:ext cx="342769" cy="0"/>
            </a:xfrm>
            <a:prstGeom prst="line">
              <a:avLst/>
            </a:prstGeom>
            <a:noFill/>
            <a:ln w="9525">
              <a:solidFill>
                <a:srgbClr val="000000"/>
              </a:solidFill>
              <a:round/>
              <a:headEnd type="triangle" w="med" len="med"/>
              <a:tailEnd type="triangle" w="med" len="med"/>
            </a:ln>
          </xdr:spPr>
        </xdr:sp>
        <xdr:sp macro="" textlink="">
          <xdr:nvSpPr>
            <xdr:cNvPr id="4779992" name="Rectangle 314">
              <a:extLst>
                <a:ext uri="{FF2B5EF4-FFF2-40B4-BE49-F238E27FC236}">
                  <a16:creationId xmlns:a16="http://schemas.microsoft.com/office/drawing/2014/main" id="{00000000-0008-0000-0100-0000D8EF4800}"/>
                </a:ext>
              </a:extLst>
            </xdr:cNvPr>
            <xdr:cNvSpPr>
              <a:spLocks noChangeArrowheads="1"/>
            </xdr:cNvSpPr>
          </xdr:nvSpPr>
          <xdr:spPr bwMode="auto">
            <a:xfrm>
              <a:off x="1838688" y="6410325"/>
              <a:ext cx="481630" cy="1181100"/>
            </a:xfrm>
            <a:prstGeom prst="rect">
              <a:avLst/>
            </a:prstGeom>
            <a:solidFill>
              <a:srgbClr val="F2F2F2"/>
            </a:solidFill>
            <a:ln w="9525">
              <a:solidFill>
                <a:srgbClr val="000000"/>
              </a:solidFill>
              <a:miter lim="800000"/>
              <a:headEnd/>
              <a:tailEnd/>
            </a:ln>
          </xdr:spPr>
        </xdr:sp>
        <xdr:sp macro="" textlink="">
          <xdr:nvSpPr>
            <xdr:cNvPr id="4779993" name="Rectangle 315">
              <a:extLst>
                <a:ext uri="{FF2B5EF4-FFF2-40B4-BE49-F238E27FC236}">
                  <a16:creationId xmlns:a16="http://schemas.microsoft.com/office/drawing/2014/main" id="{00000000-0008-0000-0100-0000D9EF4800}"/>
                </a:ext>
              </a:extLst>
            </xdr:cNvPr>
            <xdr:cNvSpPr>
              <a:spLocks noChangeArrowheads="1"/>
            </xdr:cNvSpPr>
          </xdr:nvSpPr>
          <xdr:spPr bwMode="auto">
            <a:xfrm rot="16200000">
              <a:off x="1842199" y="6398837"/>
              <a:ext cx="474608" cy="1204076"/>
            </a:xfrm>
            <a:prstGeom prst="rect">
              <a:avLst/>
            </a:prstGeom>
            <a:solidFill>
              <a:srgbClr val="F2F2F2"/>
            </a:solidFill>
            <a:ln w="9525">
              <a:solidFill>
                <a:srgbClr val="000000"/>
              </a:solidFill>
              <a:miter lim="800000"/>
              <a:headEnd/>
              <a:tailEnd/>
            </a:ln>
          </xdr:spPr>
        </xdr:sp>
        <xdr:sp macro="" textlink="">
          <xdr:nvSpPr>
            <xdr:cNvPr id="4779994" name="Line 316">
              <a:extLst>
                <a:ext uri="{FF2B5EF4-FFF2-40B4-BE49-F238E27FC236}">
                  <a16:creationId xmlns:a16="http://schemas.microsoft.com/office/drawing/2014/main" id="{00000000-0008-0000-0100-0000DAEF4800}"/>
                </a:ext>
              </a:extLst>
            </xdr:cNvPr>
            <xdr:cNvSpPr>
              <a:spLocks noChangeShapeType="1"/>
            </xdr:cNvSpPr>
          </xdr:nvSpPr>
          <xdr:spPr bwMode="auto">
            <a:xfrm>
              <a:off x="1839552" y="6759733"/>
              <a:ext cx="0" cy="482283"/>
            </a:xfrm>
            <a:prstGeom prst="line">
              <a:avLst/>
            </a:prstGeom>
            <a:noFill/>
            <a:ln w="9525">
              <a:solidFill>
                <a:srgbClr val="000000"/>
              </a:solidFill>
              <a:round/>
              <a:headEnd/>
              <a:tailEnd/>
            </a:ln>
          </xdr:spPr>
        </xdr:sp>
        <xdr:sp macro="" textlink="">
          <xdr:nvSpPr>
            <xdr:cNvPr id="4779995" name="Line 317">
              <a:extLst>
                <a:ext uri="{FF2B5EF4-FFF2-40B4-BE49-F238E27FC236}">
                  <a16:creationId xmlns:a16="http://schemas.microsoft.com/office/drawing/2014/main" id="{00000000-0008-0000-0100-0000DBEF4800}"/>
                </a:ext>
              </a:extLst>
            </xdr:cNvPr>
            <xdr:cNvSpPr>
              <a:spLocks noChangeShapeType="1"/>
            </xdr:cNvSpPr>
          </xdr:nvSpPr>
          <xdr:spPr bwMode="auto">
            <a:xfrm>
              <a:off x="2320389" y="6759733"/>
              <a:ext cx="0" cy="482283"/>
            </a:xfrm>
            <a:prstGeom prst="line">
              <a:avLst/>
            </a:prstGeom>
            <a:noFill/>
            <a:ln w="9525">
              <a:solidFill>
                <a:srgbClr val="000000"/>
              </a:solidFill>
              <a:round/>
              <a:headEnd/>
              <a:tailEnd/>
            </a:ln>
          </xdr:spPr>
          <xdr:txBody>
            <a:bodyPr/>
            <a:lstStyle/>
            <a:p>
              <a:endParaRPr lang="fr-FR"/>
            </a:p>
          </xdr:txBody>
        </xdr:sp>
        <xdr:sp macro="" textlink="">
          <xdr:nvSpPr>
            <xdr:cNvPr id="4779996" name="Line 319">
              <a:extLst>
                <a:ext uri="{FF2B5EF4-FFF2-40B4-BE49-F238E27FC236}">
                  <a16:creationId xmlns:a16="http://schemas.microsoft.com/office/drawing/2014/main" id="{00000000-0008-0000-0100-0000DCEF4800}"/>
                </a:ext>
              </a:extLst>
            </xdr:cNvPr>
            <xdr:cNvSpPr>
              <a:spLocks noChangeShapeType="1"/>
            </xdr:cNvSpPr>
          </xdr:nvSpPr>
          <xdr:spPr bwMode="auto">
            <a:xfrm>
              <a:off x="1362074" y="6762863"/>
              <a:ext cx="0" cy="476023"/>
            </a:xfrm>
            <a:prstGeom prst="line">
              <a:avLst/>
            </a:prstGeom>
            <a:noFill/>
            <a:ln w="9525">
              <a:solidFill>
                <a:srgbClr val="000000"/>
              </a:solidFill>
              <a:round/>
              <a:headEnd type="triangle" w="med" len="med"/>
              <a:tailEnd type="triangle" w="med" len="med"/>
            </a:ln>
          </xdr:spPr>
        </xdr:sp>
      </xdr:grpSp>
      <xdr:sp macro="" textlink="">
        <xdr:nvSpPr>
          <xdr:cNvPr id="2" name="ZoneTexte 1">
            <a:extLst>
              <a:ext uri="{FF2B5EF4-FFF2-40B4-BE49-F238E27FC236}">
                <a16:creationId xmlns:a16="http://schemas.microsoft.com/office/drawing/2014/main" id="{00000000-0008-0000-0100-000002000000}"/>
              </a:ext>
            </a:extLst>
          </xdr:cNvPr>
          <xdr:cNvSpPr txBox="1"/>
        </xdr:nvSpPr>
        <xdr:spPr>
          <a:xfrm>
            <a:off x="1206570" y="7066782"/>
            <a:ext cx="25224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100" b="1"/>
              <a:t>a</a:t>
            </a:r>
          </a:p>
        </xdr:txBody>
      </xdr:sp>
      <xdr:sp macro="" textlink="">
        <xdr:nvSpPr>
          <xdr:cNvPr id="3" name="ZoneTexte 2">
            <a:extLst>
              <a:ext uri="{FF2B5EF4-FFF2-40B4-BE49-F238E27FC236}">
                <a16:creationId xmlns:a16="http://schemas.microsoft.com/office/drawing/2014/main" id="{00000000-0008-0000-0100-000003000000}"/>
              </a:ext>
            </a:extLst>
          </xdr:cNvPr>
          <xdr:cNvSpPr txBox="1"/>
        </xdr:nvSpPr>
        <xdr:spPr>
          <a:xfrm>
            <a:off x="1607218" y="7462419"/>
            <a:ext cx="26039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100" b="1"/>
              <a:t>b</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165100</xdr:colOff>
      <xdr:row>1</xdr:row>
      <xdr:rowOff>0</xdr:rowOff>
    </xdr:from>
    <xdr:to>
      <xdr:col>10</xdr:col>
      <xdr:colOff>622300</xdr:colOff>
      <xdr:row>19</xdr:row>
      <xdr:rowOff>0</xdr:rowOff>
    </xdr:to>
    <xdr:graphicFrame macro="">
      <xdr:nvGraphicFramePr>
        <xdr:cNvPr id="5105813" name="Graphique 1">
          <a:extLst>
            <a:ext uri="{FF2B5EF4-FFF2-40B4-BE49-F238E27FC236}">
              <a16:creationId xmlns:a16="http://schemas.microsoft.com/office/drawing/2014/main" id="{00000000-0008-0000-0200-000095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165100</xdr:colOff>
      <xdr:row>37</xdr:row>
      <xdr:rowOff>0</xdr:rowOff>
    </xdr:from>
    <xdr:to>
      <xdr:col>10</xdr:col>
      <xdr:colOff>622300</xdr:colOff>
      <xdr:row>55</xdr:row>
      <xdr:rowOff>0</xdr:rowOff>
    </xdr:to>
    <xdr:graphicFrame macro="">
      <xdr:nvGraphicFramePr>
        <xdr:cNvPr id="5105814" name="Graphique 2">
          <a:extLst>
            <a:ext uri="{FF2B5EF4-FFF2-40B4-BE49-F238E27FC236}">
              <a16:creationId xmlns:a16="http://schemas.microsoft.com/office/drawing/2014/main" id="{00000000-0008-0000-0200-000096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165100</xdr:colOff>
      <xdr:row>19</xdr:row>
      <xdr:rowOff>0</xdr:rowOff>
    </xdr:from>
    <xdr:to>
      <xdr:col>10</xdr:col>
      <xdr:colOff>622300</xdr:colOff>
      <xdr:row>37</xdr:row>
      <xdr:rowOff>0</xdr:rowOff>
    </xdr:to>
    <xdr:graphicFrame macro="">
      <xdr:nvGraphicFramePr>
        <xdr:cNvPr id="5105815" name="Graphique 3">
          <a:extLst>
            <a:ext uri="{FF2B5EF4-FFF2-40B4-BE49-F238E27FC236}">
              <a16:creationId xmlns:a16="http://schemas.microsoft.com/office/drawing/2014/main" id="{00000000-0008-0000-0200-000097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165100</xdr:colOff>
      <xdr:row>55</xdr:row>
      <xdr:rowOff>0</xdr:rowOff>
    </xdr:from>
    <xdr:to>
      <xdr:col>10</xdr:col>
      <xdr:colOff>622300</xdr:colOff>
      <xdr:row>73</xdr:row>
      <xdr:rowOff>0</xdr:rowOff>
    </xdr:to>
    <xdr:graphicFrame macro="">
      <xdr:nvGraphicFramePr>
        <xdr:cNvPr id="5105816" name="Graphique 4">
          <a:extLst>
            <a:ext uri="{FF2B5EF4-FFF2-40B4-BE49-F238E27FC236}">
              <a16:creationId xmlns:a16="http://schemas.microsoft.com/office/drawing/2014/main" id="{00000000-0008-0000-0200-000098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12700</xdr:colOff>
      <xdr:row>4</xdr:row>
      <xdr:rowOff>44450</xdr:rowOff>
    </xdr:from>
    <xdr:to>
      <xdr:col>7</xdr:col>
      <xdr:colOff>215900</xdr:colOff>
      <xdr:row>19</xdr:row>
      <xdr:rowOff>133350</xdr:rowOff>
    </xdr:to>
    <xdr:graphicFrame macro="">
      <xdr:nvGraphicFramePr>
        <xdr:cNvPr id="5110822" name="Graphique 1">
          <a:extLst>
            <a:ext uri="{FF2B5EF4-FFF2-40B4-BE49-F238E27FC236}">
              <a16:creationId xmlns:a16="http://schemas.microsoft.com/office/drawing/2014/main" id="{00000000-0008-0000-0300-000026FC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12</xdr:col>
      <xdr:colOff>273050</xdr:colOff>
      <xdr:row>1008</xdr:row>
      <xdr:rowOff>146050</xdr:rowOff>
    </xdr:from>
    <xdr:to>
      <xdr:col>16</xdr:col>
      <xdr:colOff>152400</xdr:colOff>
      <xdr:row>1010</xdr:row>
      <xdr:rowOff>82550</xdr:rowOff>
    </xdr:to>
    <xdr:sp macro="" textlink="">
      <xdr:nvSpPr>
        <xdr:cNvPr id="3393" name="Line 60">
          <a:extLst>
            <a:ext uri="{FF2B5EF4-FFF2-40B4-BE49-F238E27FC236}">
              <a16:creationId xmlns:a16="http://schemas.microsoft.com/office/drawing/2014/main" id="{00000000-0008-0000-0400-0000410D0000}"/>
            </a:ext>
          </a:extLst>
        </xdr:cNvPr>
        <xdr:cNvSpPr>
          <a:spLocks noChangeShapeType="1"/>
        </xdr:cNvSpPr>
      </xdr:nvSpPr>
      <xdr:spPr bwMode="auto">
        <a:xfrm flipH="1">
          <a:off x="5759450" y="160172400"/>
          <a:ext cx="1098550" cy="254000"/>
        </a:xfrm>
        <a:prstGeom prst="line">
          <a:avLst/>
        </a:prstGeom>
        <a:noFill/>
        <a:ln w="9525">
          <a:solidFill>
            <a:srgbClr val="000000"/>
          </a:solidFill>
          <a:round/>
          <a:headEnd/>
          <a:tailEnd type="triangle" w="med" len="med"/>
        </a:ln>
      </xdr:spPr>
    </xdr:sp>
    <xdr:clientData/>
  </xdr:twoCellAnchor>
  <xdr:twoCellAnchor>
    <xdr:from>
      <xdr:col>12</xdr:col>
      <xdr:colOff>279400</xdr:colOff>
      <xdr:row>1011</xdr:row>
      <xdr:rowOff>95250</xdr:rowOff>
    </xdr:from>
    <xdr:to>
      <xdr:col>17</xdr:col>
      <xdr:colOff>349250</xdr:colOff>
      <xdr:row>1013</xdr:row>
      <xdr:rowOff>139700</xdr:rowOff>
    </xdr:to>
    <xdr:sp macro="" textlink="">
      <xdr:nvSpPr>
        <xdr:cNvPr id="3394" name="Line 71">
          <a:extLst>
            <a:ext uri="{FF2B5EF4-FFF2-40B4-BE49-F238E27FC236}">
              <a16:creationId xmlns:a16="http://schemas.microsoft.com/office/drawing/2014/main" id="{00000000-0008-0000-0400-0000420D0000}"/>
            </a:ext>
          </a:extLst>
        </xdr:cNvPr>
        <xdr:cNvSpPr>
          <a:spLocks noChangeShapeType="1"/>
        </xdr:cNvSpPr>
      </xdr:nvSpPr>
      <xdr:spPr bwMode="auto">
        <a:xfrm flipH="1" flipV="1">
          <a:off x="5765800" y="160597850"/>
          <a:ext cx="1892300" cy="361950"/>
        </a:xfrm>
        <a:prstGeom prst="line">
          <a:avLst/>
        </a:prstGeom>
        <a:noFill/>
        <a:ln w="9525">
          <a:solidFill>
            <a:srgbClr val="000000"/>
          </a:solidFill>
          <a:round/>
          <a:headEnd/>
          <a:tailEnd type="triangle" w="med" len="med"/>
        </a:ln>
      </xdr:spPr>
    </xdr:sp>
    <xdr:clientData/>
  </xdr:twoCellAnchor>
  <xdr:twoCellAnchor>
    <xdr:from>
      <xdr:col>12</xdr:col>
      <xdr:colOff>279400</xdr:colOff>
      <xdr:row>1012</xdr:row>
      <xdr:rowOff>139700</xdr:rowOff>
    </xdr:from>
    <xdr:to>
      <xdr:col>17</xdr:col>
      <xdr:colOff>349250</xdr:colOff>
      <xdr:row>1015</xdr:row>
      <xdr:rowOff>25400</xdr:rowOff>
    </xdr:to>
    <xdr:sp macro="" textlink="">
      <xdr:nvSpPr>
        <xdr:cNvPr id="3395" name="Line 71">
          <a:extLst>
            <a:ext uri="{FF2B5EF4-FFF2-40B4-BE49-F238E27FC236}">
              <a16:creationId xmlns:a16="http://schemas.microsoft.com/office/drawing/2014/main" id="{00000000-0008-0000-0400-0000430D0000}"/>
            </a:ext>
          </a:extLst>
        </xdr:cNvPr>
        <xdr:cNvSpPr>
          <a:spLocks noChangeShapeType="1"/>
        </xdr:cNvSpPr>
      </xdr:nvSpPr>
      <xdr:spPr bwMode="auto">
        <a:xfrm flipH="1" flipV="1">
          <a:off x="5765800" y="160801050"/>
          <a:ext cx="1892300" cy="361950"/>
        </a:xfrm>
        <a:prstGeom prst="line">
          <a:avLst/>
        </a:prstGeom>
        <a:noFill/>
        <a:ln w="9525">
          <a:solidFill>
            <a:srgbClr val="000000"/>
          </a:solidFill>
          <a:round/>
          <a:headEnd/>
          <a:tailEnd type="triangle" w="med" len="med"/>
        </a:ln>
      </xdr:spPr>
    </xdr:sp>
    <xdr:clientData/>
  </xdr:twoCellAnchor>
  <mc:AlternateContent xmlns:mc="http://schemas.openxmlformats.org/markup-compatibility/2006">
    <mc:Choice xmlns:a14="http://schemas.microsoft.com/office/drawing/2010/main" Requires="a14">
      <xdr:twoCellAnchor editAs="oneCell">
        <xdr:from>
          <xdr:col>18</xdr:col>
          <xdr:colOff>9525</xdr:colOff>
          <xdr:row>1010</xdr:row>
          <xdr:rowOff>104775</xdr:rowOff>
        </xdr:from>
        <xdr:to>
          <xdr:col>20</xdr:col>
          <xdr:colOff>295275</xdr:colOff>
          <xdr:row>1013</xdr:row>
          <xdr:rowOff>28575</xdr:rowOff>
        </xdr:to>
        <xdr:sp macro="" textlink="">
          <xdr:nvSpPr>
            <xdr:cNvPr id="3091" name="Object 19" hidden="1">
              <a:extLst>
                <a:ext uri="{63B3BB69-23CF-44E3-9099-C40C66FF867C}">
                  <a14:compatExt spid="_x0000_s3091"/>
                </a:ext>
                <a:ext uri="{FF2B5EF4-FFF2-40B4-BE49-F238E27FC236}">
                  <a16:creationId xmlns:a16="http://schemas.microsoft.com/office/drawing/2014/main" id="{00000000-0008-0000-0400-000013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28575</xdr:colOff>
          <xdr:row>1024</xdr:row>
          <xdr:rowOff>161925</xdr:rowOff>
        </xdr:from>
        <xdr:to>
          <xdr:col>25</xdr:col>
          <xdr:colOff>457200</xdr:colOff>
          <xdr:row>1026</xdr:row>
          <xdr:rowOff>76200</xdr:rowOff>
        </xdr:to>
        <xdr:sp macro="" textlink="">
          <xdr:nvSpPr>
            <xdr:cNvPr id="3092" name="Object 20" hidden="1">
              <a:extLst>
                <a:ext uri="{63B3BB69-23CF-44E3-9099-C40C66FF867C}">
                  <a14:compatExt spid="_x0000_s3092"/>
                </a:ext>
                <a:ext uri="{FF2B5EF4-FFF2-40B4-BE49-F238E27FC236}">
                  <a16:creationId xmlns:a16="http://schemas.microsoft.com/office/drawing/2014/main" id="{00000000-0008-0000-0400-00001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257175</xdr:colOff>
          <xdr:row>1006</xdr:row>
          <xdr:rowOff>28575</xdr:rowOff>
        </xdr:from>
        <xdr:to>
          <xdr:col>24</xdr:col>
          <xdr:colOff>152400</xdr:colOff>
          <xdr:row>1007</xdr:row>
          <xdr:rowOff>104775</xdr:rowOff>
        </xdr:to>
        <xdr:sp macro="" textlink="">
          <xdr:nvSpPr>
            <xdr:cNvPr id="3096" name="Object 24" hidden="1">
              <a:extLst>
                <a:ext uri="{63B3BB69-23CF-44E3-9099-C40C66FF867C}">
                  <a14:compatExt spid="_x0000_s3096"/>
                </a:ext>
                <a:ext uri="{FF2B5EF4-FFF2-40B4-BE49-F238E27FC236}">
                  <a16:creationId xmlns:a16="http://schemas.microsoft.com/office/drawing/2014/main" id="{00000000-0008-0000-0400-000018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1017</xdr:row>
          <xdr:rowOff>161925</xdr:rowOff>
        </xdr:from>
        <xdr:to>
          <xdr:col>10</xdr:col>
          <xdr:colOff>581025</xdr:colOff>
          <xdr:row>1019</xdr:row>
          <xdr:rowOff>142875</xdr:rowOff>
        </xdr:to>
        <xdr:sp macro="" textlink="">
          <xdr:nvSpPr>
            <xdr:cNvPr id="3112" name="Object 40" hidden="1">
              <a:extLst>
                <a:ext uri="{63B3BB69-23CF-44E3-9099-C40C66FF867C}">
                  <a14:compatExt spid="_x0000_s3112"/>
                </a:ext>
                <a:ext uri="{FF2B5EF4-FFF2-40B4-BE49-F238E27FC236}">
                  <a16:creationId xmlns:a16="http://schemas.microsoft.com/office/drawing/2014/main" id="{00000000-0008-0000-0400-000028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1014</xdr:row>
          <xdr:rowOff>180975</xdr:rowOff>
        </xdr:from>
        <xdr:to>
          <xdr:col>11</xdr:col>
          <xdr:colOff>266700</xdr:colOff>
          <xdr:row>1016</xdr:row>
          <xdr:rowOff>66675</xdr:rowOff>
        </xdr:to>
        <xdr:sp macro="" textlink="">
          <xdr:nvSpPr>
            <xdr:cNvPr id="3114" name="Object 42" hidden="1">
              <a:extLst>
                <a:ext uri="{63B3BB69-23CF-44E3-9099-C40C66FF867C}">
                  <a14:compatExt spid="_x0000_s3114"/>
                </a:ext>
                <a:ext uri="{FF2B5EF4-FFF2-40B4-BE49-F238E27FC236}">
                  <a16:creationId xmlns:a16="http://schemas.microsoft.com/office/drawing/2014/main" id="{00000000-0008-0000-0400-00002A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1016</xdr:row>
          <xdr:rowOff>76200</xdr:rowOff>
        </xdr:from>
        <xdr:to>
          <xdr:col>11</xdr:col>
          <xdr:colOff>238125</xdr:colOff>
          <xdr:row>1017</xdr:row>
          <xdr:rowOff>161925</xdr:rowOff>
        </xdr:to>
        <xdr:sp macro="" textlink="">
          <xdr:nvSpPr>
            <xdr:cNvPr id="3115" name="Object 43" hidden="1">
              <a:extLst>
                <a:ext uri="{63B3BB69-23CF-44E3-9099-C40C66FF867C}">
                  <a14:compatExt spid="_x0000_s3115"/>
                </a:ext>
                <a:ext uri="{FF2B5EF4-FFF2-40B4-BE49-F238E27FC236}">
                  <a16:creationId xmlns:a16="http://schemas.microsoft.com/office/drawing/2014/main" id="{00000000-0008-0000-0400-00002B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1022</xdr:row>
          <xdr:rowOff>66675</xdr:rowOff>
        </xdr:from>
        <xdr:to>
          <xdr:col>17</xdr:col>
          <xdr:colOff>276225</xdr:colOff>
          <xdr:row>1024</xdr:row>
          <xdr:rowOff>161925</xdr:rowOff>
        </xdr:to>
        <xdr:sp macro="" textlink="">
          <xdr:nvSpPr>
            <xdr:cNvPr id="3119" name="Object 47" hidden="1">
              <a:extLst>
                <a:ext uri="{63B3BB69-23CF-44E3-9099-C40C66FF867C}">
                  <a14:compatExt spid="_x0000_s3119"/>
                </a:ext>
                <a:ext uri="{FF2B5EF4-FFF2-40B4-BE49-F238E27FC236}">
                  <a16:creationId xmlns:a16="http://schemas.microsoft.com/office/drawing/2014/main" id="{00000000-0008-0000-0400-00002F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1008</xdr:row>
          <xdr:rowOff>0</xdr:rowOff>
        </xdr:from>
        <xdr:to>
          <xdr:col>11</xdr:col>
          <xdr:colOff>238125</xdr:colOff>
          <xdr:row>1010</xdr:row>
          <xdr:rowOff>85725</xdr:rowOff>
        </xdr:to>
        <xdr:sp macro="" textlink="">
          <xdr:nvSpPr>
            <xdr:cNvPr id="3120" name="Object 48" hidden="1">
              <a:extLst>
                <a:ext uri="{63B3BB69-23CF-44E3-9099-C40C66FF867C}">
                  <a14:compatExt spid="_x0000_s3120"/>
                </a:ext>
                <a:ext uri="{FF2B5EF4-FFF2-40B4-BE49-F238E27FC236}">
                  <a16:creationId xmlns:a16="http://schemas.microsoft.com/office/drawing/2014/main" id="{00000000-0008-0000-0400-000030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1010</xdr:row>
          <xdr:rowOff>104775</xdr:rowOff>
        </xdr:from>
        <xdr:to>
          <xdr:col>12</xdr:col>
          <xdr:colOff>238125</xdr:colOff>
          <xdr:row>1013</xdr:row>
          <xdr:rowOff>0</xdr:rowOff>
        </xdr:to>
        <xdr:sp macro="" textlink="">
          <xdr:nvSpPr>
            <xdr:cNvPr id="3121" name="Object 49" hidden="1">
              <a:extLst>
                <a:ext uri="{63B3BB69-23CF-44E3-9099-C40C66FF867C}">
                  <a14:compatExt spid="_x0000_s3121"/>
                </a:ext>
                <a:ext uri="{FF2B5EF4-FFF2-40B4-BE49-F238E27FC236}">
                  <a16:creationId xmlns:a16="http://schemas.microsoft.com/office/drawing/2014/main" id="{00000000-0008-0000-0400-00003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1006</xdr:row>
          <xdr:rowOff>104775</xdr:rowOff>
        </xdr:from>
        <xdr:to>
          <xdr:col>3</xdr:col>
          <xdr:colOff>542925</xdr:colOff>
          <xdr:row>1007</xdr:row>
          <xdr:rowOff>180975</xdr:rowOff>
        </xdr:to>
        <xdr:sp macro="" textlink="">
          <xdr:nvSpPr>
            <xdr:cNvPr id="3122" name="Object 50" hidden="1">
              <a:extLst>
                <a:ext uri="{63B3BB69-23CF-44E3-9099-C40C66FF867C}">
                  <a14:compatExt spid="_x0000_s3122"/>
                </a:ext>
                <a:ext uri="{FF2B5EF4-FFF2-40B4-BE49-F238E27FC236}">
                  <a16:creationId xmlns:a16="http://schemas.microsoft.com/office/drawing/2014/main" id="{00000000-0008-0000-0400-000032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1024</xdr:row>
          <xdr:rowOff>180975</xdr:rowOff>
        </xdr:from>
        <xdr:to>
          <xdr:col>16</xdr:col>
          <xdr:colOff>0</xdr:colOff>
          <xdr:row>1026</xdr:row>
          <xdr:rowOff>142875</xdr:rowOff>
        </xdr:to>
        <xdr:sp macro="" textlink="">
          <xdr:nvSpPr>
            <xdr:cNvPr id="3124" name="Object 52" hidden="1">
              <a:extLst>
                <a:ext uri="{63B3BB69-23CF-44E3-9099-C40C66FF867C}">
                  <a14:compatExt spid="_x0000_s3124"/>
                </a:ext>
                <a:ext uri="{FF2B5EF4-FFF2-40B4-BE49-F238E27FC236}">
                  <a16:creationId xmlns:a16="http://schemas.microsoft.com/office/drawing/2014/main" id="{00000000-0008-0000-0400-00003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9525</xdr:colOff>
          <xdr:row>1013</xdr:row>
          <xdr:rowOff>28575</xdr:rowOff>
        </xdr:from>
        <xdr:to>
          <xdr:col>21</xdr:col>
          <xdr:colOff>28575</xdr:colOff>
          <xdr:row>1014</xdr:row>
          <xdr:rowOff>114300</xdr:rowOff>
        </xdr:to>
        <xdr:sp macro="" textlink="">
          <xdr:nvSpPr>
            <xdr:cNvPr id="3125" name="Object 53" hidden="1">
              <a:extLst>
                <a:ext uri="{63B3BB69-23CF-44E3-9099-C40C66FF867C}">
                  <a14:compatExt spid="_x0000_s3125"/>
                </a:ext>
                <a:ext uri="{FF2B5EF4-FFF2-40B4-BE49-F238E27FC236}">
                  <a16:creationId xmlns:a16="http://schemas.microsoft.com/office/drawing/2014/main" id="{00000000-0008-0000-0400-00003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1005</xdr:row>
          <xdr:rowOff>9525</xdr:rowOff>
        </xdr:from>
        <xdr:to>
          <xdr:col>10</xdr:col>
          <xdr:colOff>409575</xdr:colOff>
          <xdr:row>1006</xdr:row>
          <xdr:rowOff>85725</xdr:rowOff>
        </xdr:to>
        <xdr:sp macro="" textlink="">
          <xdr:nvSpPr>
            <xdr:cNvPr id="3127" name="Object 55" hidden="1">
              <a:extLst>
                <a:ext uri="{63B3BB69-23CF-44E3-9099-C40C66FF867C}">
                  <a14:compatExt spid="_x0000_s3127"/>
                </a:ext>
                <a:ext uri="{FF2B5EF4-FFF2-40B4-BE49-F238E27FC236}">
                  <a16:creationId xmlns:a16="http://schemas.microsoft.com/office/drawing/2014/main" id="{00000000-0008-0000-0400-000037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1013</xdr:row>
          <xdr:rowOff>9525</xdr:rowOff>
        </xdr:from>
        <xdr:to>
          <xdr:col>8</xdr:col>
          <xdr:colOff>190500</xdr:colOff>
          <xdr:row>1014</xdr:row>
          <xdr:rowOff>161925</xdr:rowOff>
        </xdr:to>
        <xdr:sp macro="" textlink="">
          <xdr:nvSpPr>
            <xdr:cNvPr id="3129" name="Object 57" hidden="1">
              <a:extLst>
                <a:ext uri="{63B3BB69-23CF-44E3-9099-C40C66FF867C}">
                  <a14:compatExt spid="_x0000_s3129"/>
                </a:ext>
                <a:ext uri="{FF2B5EF4-FFF2-40B4-BE49-F238E27FC236}">
                  <a16:creationId xmlns:a16="http://schemas.microsoft.com/office/drawing/2014/main" id="{00000000-0008-0000-0400-000039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9525</xdr:colOff>
          <xdr:row>1018</xdr:row>
          <xdr:rowOff>47625</xdr:rowOff>
        </xdr:from>
        <xdr:to>
          <xdr:col>24</xdr:col>
          <xdr:colOff>1076325</xdr:colOff>
          <xdr:row>1019</xdr:row>
          <xdr:rowOff>142875</xdr:rowOff>
        </xdr:to>
        <xdr:sp macro="" textlink="">
          <xdr:nvSpPr>
            <xdr:cNvPr id="3131" name="Object 59" hidden="1">
              <a:extLst>
                <a:ext uri="{63B3BB69-23CF-44E3-9099-C40C66FF867C}">
                  <a14:compatExt spid="_x0000_s3131"/>
                </a:ext>
                <a:ext uri="{FF2B5EF4-FFF2-40B4-BE49-F238E27FC236}">
                  <a16:creationId xmlns:a16="http://schemas.microsoft.com/office/drawing/2014/main" id="{00000000-0008-0000-0400-00003B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1019</xdr:row>
          <xdr:rowOff>142875</xdr:rowOff>
        </xdr:from>
        <xdr:to>
          <xdr:col>20</xdr:col>
          <xdr:colOff>581025</xdr:colOff>
          <xdr:row>1022</xdr:row>
          <xdr:rowOff>47625</xdr:rowOff>
        </xdr:to>
        <xdr:sp macro="" textlink="">
          <xdr:nvSpPr>
            <xdr:cNvPr id="3134" name="Object 62" hidden="1">
              <a:extLst>
                <a:ext uri="{63B3BB69-23CF-44E3-9099-C40C66FF867C}">
                  <a14:compatExt spid="_x0000_s3134"/>
                </a:ext>
                <a:ext uri="{FF2B5EF4-FFF2-40B4-BE49-F238E27FC236}">
                  <a16:creationId xmlns:a16="http://schemas.microsoft.com/office/drawing/2014/main" id="{00000000-0008-0000-0400-00003E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1018</xdr:row>
          <xdr:rowOff>47625</xdr:rowOff>
        </xdr:from>
        <xdr:to>
          <xdr:col>19</xdr:col>
          <xdr:colOff>180975</xdr:colOff>
          <xdr:row>1019</xdr:row>
          <xdr:rowOff>142875</xdr:rowOff>
        </xdr:to>
        <xdr:sp macro="" textlink="">
          <xdr:nvSpPr>
            <xdr:cNvPr id="3135" name="Object 63" hidden="1">
              <a:extLst>
                <a:ext uri="{63B3BB69-23CF-44E3-9099-C40C66FF867C}">
                  <a14:compatExt spid="_x0000_s3135"/>
                </a:ext>
                <a:ext uri="{FF2B5EF4-FFF2-40B4-BE49-F238E27FC236}">
                  <a16:creationId xmlns:a16="http://schemas.microsoft.com/office/drawing/2014/main" id="{00000000-0008-0000-0400-00003F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9525</xdr:colOff>
          <xdr:row>1007</xdr:row>
          <xdr:rowOff>123825</xdr:rowOff>
        </xdr:from>
        <xdr:to>
          <xdr:col>37</xdr:col>
          <xdr:colOff>276225</xdr:colOff>
          <xdr:row>1010</xdr:row>
          <xdr:rowOff>76200</xdr:rowOff>
        </xdr:to>
        <xdr:sp macro="" textlink="">
          <xdr:nvSpPr>
            <xdr:cNvPr id="3141" name="Object 69" hidden="1">
              <a:extLst>
                <a:ext uri="{63B3BB69-23CF-44E3-9099-C40C66FF867C}">
                  <a14:compatExt spid="_x0000_s3141"/>
                </a:ext>
                <a:ext uri="{FF2B5EF4-FFF2-40B4-BE49-F238E27FC236}">
                  <a16:creationId xmlns:a16="http://schemas.microsoft.com/office/drawing/2014/main" id="{00000000-0008-0000-0400-00004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9525</xdr:colOff>
          <xdr:row>1010</xdr:row>
          <xdr:rowOff>85725</xdr:rowOff>
        </xdr:from>
        <xdr:to>
          <xdr:col>35</xdr:col>
          <xdr:colOff>723900</xdr:colOff>
          <xdr:row>1013</xdr:row>
          <xdr:rowOff>47625</xdr:rowOff>
        </xdr:to>
        <xdr:sp macro="" textlink="">
          <xdr:nvSpPr>
            <xdr:cNvPr id="3142" name="Object 70" hidden="1">
              <a:extLst>
                <a:ext uri="{63B3BB69-23CF-44E3-9099-C40C66FF867C}">
                  <a14:compatExt spid="_x0000_s3142"/>
                </a:ext>
                <a:ext uri="{FF2B5EF4-FFF2-40B4-BE49-F238E27FC236}">
                  <a16:creationId xmlns:a16="http://schemas.microsoft.com/office/drawing/2014/main" id="{00000000-0008-0000-0400-00004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1035</xdr:row>
          <xdr:rowOff>28575</xdr:rowOff>
        </xdr:from>
        <xdr:to>
          <xdr:col>11</xdr:col>
          <xdr:colOff>561975</xdr:colOff>
          <xdr:row>1038</xdr:row>
          <xdr:rowOff>28575</xdr:rowOff>
        </xdr:to>
        <xdr:sp macro="" textlink="">
          <xdr:nvSpPr>
            <xdr:cNvPr id="3157" name="Object 85" hidden="1">
              <a:extLst>
                <a:ext uri="{63B3BB69-23CF-44E3-9099-C40C66FF867C}">
                  <a14:compatExt spid="_x0000_s3157"/>
                </a:ext>
                <a:ext uri="{FF2B5EF4-FFF2-40B4-BE49-F238E27FC236}">
                  <a16:creationId xmlns:a16="http://schemas.microsoft.com/office/drawing/2014/main" id="{00000000-0008-0000-0400-00005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1040</xdr:row>
          <xdr:rowOff>28575</xdr:rowOff>
        </xdr:from>
        <xdr:to>
          <xdr:col>12</xdr:col>
          <xdr:colOff>28575</xdr:colOff>
          <xdr:row>1043</xdr:row>
          <xdr:rowOff>28575</xdr:rowOff>
        </xdr:to>
        <xdr:sp macro="" textlink="">
          <xdr:nvSpPr>
            <xdr:cNvPr id="3158" name="Object 86" hidden="1">
              <a:extLst>
                <a:ext uri="{63B3BB69-23CF-44E3-9099-C40C66FF867C}">
                  <a14:compatExt spid="_x0000_s3158"/>
                </a:ext>
                <a:ext uri="{FF2B5EF4-FFF2-40B4-BE49-F238E27FC236}">
                  <a16:creationId xmlns:a16="http://schemas.microsoft.com/office/drawing/2014/main" id="{00000000-0008-0000-0400-00005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9525</xdr:colOff>
          <xdr:row>1014</xdr:row>
          <xdr:rowOff>123825</xdr:rowOff>
        </xdr:from>
        <xdr:to>
          <xdr:col>20</xdr:col>
          <xdr:colOff>333375</xdr:colOff>
          <xdr:row>1016</xdr:row>
          <xdr:rowOff>9525</xdr:rowOff>
        </xdr:to>
        <xdr:sp macro="" textlink="">
          <xdr:nvSpPr>
            <xdr:cNvPr id="3161" name="Object 89" hidden="1">
              <a:extLst>
                <a:ext uri="{63B3BB69-23CF-44E3-9099-C40C66FF867C}">
                  <a14:compatExt spid="_x0000_s3161"/>
                </a:ext>
                <a:ext uri="{FF2B5EF4-FFF2-40B4-BE49-F238E27FC236}">
                  <a16:creationId xmlns:a16="http://schemas.microsoft.com/office/drawing/2014/main" id="{00000000-0008-0000-0400-000059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257175</xdr:colOff>
          <xdr:row>1007</xdr:row>
          <xdr:rowOff>114300</xdr:rowOff>
        </xdr:from>
        <xdr:to>
          <xdr:col>32</xdr:col>
          <xdr:colOff>161925</xdr:colOff>
          <xdr:row>1010</xdr:row>
          <xdr:rowOff>85725</xdr:rowOff>
        </xdr:to>
        <xdr:sp macro="" textlink="">
          <xdr:nvSpPr>
            <xdr:cNvPr id="3162" name="Object 90" hidden="1">
              <a:extLst>
                <a:ext uri="{63B3BB69-23CF-44E3-9099-C40C66FF867C}">
                  <a14:compatExt spid="_x0000_s3162"/>
                </a:ext>
                <a:ext uri="{FF2B5EF4-FFF2-40B4-BE49-F238E27FC236}">
                  <a16:creationId xmlns:a16="http://schemas.microsoft.com/office/drawing/2014/main" id="{00000000-0008-0000-0400-00005A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1055</xdr:row>
          <xdr:rowOff>28575</xdr:rowOff>
        </xdr:from>
        <xdr:to>
          <xdr:col>12</xdr:col>
          <xdr:colOff>333375</xdr:colOff>
          <xdr:row>1058</xdr:row>
          <xdr:rowOff>47625</xdr:rowOff>
        </xdr:to>
        <xdr:sp macro="" textlink="">
          <xdr:nvSpPr>
            <xdr:cNvPr id="3167" name="Object 95" hidden="1">
              <a:extLst>
                <a:ext uri="{63B3BB69-23CF-44E3-9099-C40C66FF867C}">
                  <a14:compatExt spid="_x0000_s3167"/>
                </a:ext>
                <a:ext uri="{FF2B5EF4-FFF2-40B4-BE49-F238E27FC236}">
                  <a16:creationId xmlns:a16="http://schemas.microsoft.com/office/drawing/2014/main" id="{00000000-0008-0000-0400-00005F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1060</xdr:row>
          <xdr:rowOff>28575</xdr:rowOff>
        </xdr:from>
        <xdr:to>
          <xdr:col>15</xdr:col>
          <xdr:colOff>47625</xdr:colOff>
          <xdr:row>1063</xdr:row>
          <xdr:rowOff>47625</xdr:rowOff>
        </xdr:to>
        <xdr:sp macro="" textlink="">
          <xdr:nvSpPr>
            <xdr:cNvPr id="3168" name="Object 96" hidden="1">
              <a:extLst>
                <a:ext uri="{63B3BB69-23CF-44E3-9099-C40C66FF867C}">
                  <a14:compatExt spid="_x0000_s3168"/>
                </a:ext>
                <a:ext uri="{FF2B5EF4-FFF2-40B4-BE49-F238E27FC236}">
                  <a16:creationId xmlns:a16="http://schemas.microsoft.com/office/drawing/2014/main" id="{00000000-0008-0000-0400-000060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1065</xdr:row>
          <xdr:rowOff>28575</xdr:rowOff>
        </xdr:from>
        <xdr:to>
          <xdr:col>16</xdr:col>
          <xdr:colOff>676275</xdr:colOff>
          <xdr:row>1068</xdr:row>
          <xdr:rowOff>47625</xdr:rowOff>
        </xdr:to>
        <xdr:sp macro="" textlink="">
          <xdr:nvSpPr>
            <xdr:cNvPr id="3169" name="Object 97" hidden="1">
              <a:extLst>
                <a:ext uri="{63B3BB69-23CF-44E3-9099-C40C66FF867C}">
                  <a14:compatExt spid="_x0000_s3169"/>
                </a:ext>
                <a:ext uri="{FF2B5EF4-FFF2-40B4-BE49-F238E27FC236}">
                  <a16:creationId xmlns:a16="http://schemas.microsoft.com/office/drawing/2014/main" id="{00000000-0008-0000-0400-00006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1045</xdr:row>
          <xdr:rowOff>28575</xdr:rowOff>
        </xdr:from>
        <xdr:to>
          <xdr:col>16</xdr:col>
          <xdr:colOff>104775</xdr:colOff>
          <xdr:row>1048</xdr:row>
          <xdr:rowOff>28575</xdr:rowOff>
        </xdr:to>
        <xdr:sp macro="" textlink="">
          <xdr:nvSpPr>
            <xdr:cNvPr id="3173" name="Object 101" hidden="1">
              <a:extLst>
                <a:ext uri="{63B3BB69-23CF-44E3-9099-C40C66FF867C}">
                  <a14:compatExt spid="_x0000_s3173"/>
                </a:ext>
                <a:ext uri="{FF2B5EF4-FFF2-40B4-BE49-F238E27FC236}">
                  <a16:creationId xmlns:a16="http://schemas.microsoft.com/office/drawing/2014/main" id="{00000000-0008-0000-0400-00006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1050</xdr:row>
          <xdr:rowOff>28575</xdr:rowOff>
        </xdr:from>
        <xdr:to>
          <xdr:col>16</xdr:col>
          <xdr:colOff>390525</xdr:colOff>
          <xdr:row>1053</xdr:row>
          <xdr:rowOff>47625</xdr:rowOff>
        </xdr:to>
        <xdr:sp macro="" textlink="">
          <xdr:nvSpPr>
            <xdr:cNvPr id="3174" name="Object 102" hidden="1">
              <a:extLst>
                <a:ext uri="{63B3BB69-23CF-44E3-9099-C40C66FF867C}">
                  <a14:compatExt spid="_x0000_s3174"/>
                </a:ext>
                <a:ext uri="{FF2B5EF4-FFF2-40B4-BE49-F238E27FC236}">
                  <a16:creationId xmlns:a16="http://schemas.microsoft.com/office/drawing/2014/main" id="{00000000-0008-0000-0400-00006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1070</xdr:row>
          <xdr:rowOff>28575</xdr:rowOff>
        </xdr:from>
        <xdr:to>
          <xdr:col>12</xdr:col>
          <xdr:colOff>409575</xdr:colOff>
          <xdr:row>1073</xdr:row>
          <xdr:rowOff>47625</xdr:rowOff>
        </xdr:to>
        <xdr:sp macro="" textlink="">
          <xdr:nvSpPr>
            <xdr:cNvPr id="3178" name="Object 106" hidden="1">
              <a:extLst>
                <a:ext uri="{63B3BB69-23CF-44E3-9099-C40C66FF867C}">
                  <a14:compatExt spid="_x0000_s3178"/>
                </a:ext>
                <a:ext uri="{FF2B5EF4-FFF2-40B4-BE49-F238E27FC236}">
                  <a16:creationId xmlns:a16="http://schemas.microsoft.com/office/drawing/2014/main" id="{00000000-0008-0000-0400-00006A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0</xdr:colOff>
          <xdr:row>1053</xdr:row>
          <xdr:rowOff>28575</xdr:rowOff>
        </xdr:from>
        <xdr:to>
          <xdr:col>32</xdr:col>
          <xdr:colOff>419100</xdr:colOff>
          <xdr:row>1056</xdr:row>
          <xdr:rowOff>28575</xdr:rowOff>
        </xdr:to>
        <xdr:sp macro="" textlink="">
          <xdr:nvSpPr>
            <xdr:cNvPr id="3188" name="Object 116" hidden="1">
              <a:extLst>
                <a:ext uri="{63B3BB69-23CF-44E3-9099-C40C66FF867C}">
                  <a14:compatExt spid="_x0000_s3188"/>
                </a:ext>
                <a:ext uri="{FF2B5EF4-FFF2-40B4-BE49-F238E27FC236}">
                  <a16:creationId xmlns:a16="http://schemas.microsoft.com/office/drawing/2014/main" id="{00000000-0008-0000-0400-00007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28575</xdr:colOff>
          <xdr:row>1022</xdr:row>
          <xdr:rowOff>47625</xdr:rowOff>
        </xdr:from>
        <xdr:to>
          <xdr:col>32</xdr:col>
          <xdr:colOff>266700</xdr:colOff>
          <xdr:row>1024</xdr:row>
          <xdr:rowOff>142875</xdr:rowOff>
        </xdr:to>
        <xdr:sp macro="" textlink="">
          <xdr:nvSpPr>
            <xdr:cNvPr id="3192" name="Object 120" hidden="1">
              <a:extLst>
                <a:ext uri="{63B3BB69-23CF-44E3-9099-C40C66FF867C}">
                  <a14:compatExt spid="_x0000_s3192"/>
                </a:ext>
                <a:ext uri="{FF2B5EF4-FFF2-40B4-BE49-F238E27FC236}">
                  <a16:creationId xmlns:a16="http://schemas.microsoft.com/office/drawing/2014/main" id="{00000000-0008-0000-0400-000078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1017</xdr:row>
          <xdr:rowOff>28575</xdr:rowOff>
        </xdr:from>
        <xdr:to>
          <xdr:col>36</xdr:col>
          <xdr:colOff>161925</xdr:colOff>
          <xdr:row>1020</xdr:row>
          <xdr:rowOff>28575</xdr:rowOff>
        </xdr:to>
        <xdr:sp macro="" textlink="">
          <xdr:nvSpPr>
            <xdr:cNvPr id="3220" name="Object 148" hidden="1">
              <a:extLst>
                <a:ext uri="{63B3BB69-23CF-44E3-9099-C40C66FF867C}">
                  <a14:compatExt spid="_x0000_s3220"/>
                </a:ext>
                <a:ext uri="{FF2B5EF4-FFF2-40B4-BE49-F238E27FC236}">
                  <a16:creationId xmlns:a16="http://schemas.microsoft.com/office/drawing/2014/main" id="{00000000-0008-0000-0400-00009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1014</xdr:row>
          <xdr:rowOff>0</xdr:rowOff>
        </xdr:from>
        <xdr:to>
          <xdr:col>36</xdr:col>
          <xdr:colOff>695325</xdr:colOff>
          <xdr:row>1017</xdr:row>
          <xdr:rowOff>0</xdr:rowOff>
        </xdr:to>
        <xdr:sp macro="" textlink="">
          <xdr:nvSpPr>
            <xdr:cNvPr id="3222" name="Object 150" hidden="1">
              <a:extLst>
                <a:ext uri="{63B3BB69-23CF-44E3-9099-C40C66FF867C}">
                  <a14:compatExt spid="_x0000_s3222"/>
                </a:ext>
                <a:ext uri="{FF2B5EF4-FFF2-40B4-BE49-F238E27FC236}">
                  <a16:creationId xmlns:a16="http://schemas.microsoft.com/office/drawing/2014/main" id="{00000000-0008-0000-0400-00009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1020</xdr:row>
          <xdr:rowOff>47625</xdr:rowOff>
        </xdr:from>
        <xdr:to>
          <xdr:col>35</xdr:col>
          <xdr:colOff>142875</xdr:colOff>
          <xdr:row>1023</xdr:row>
          <xdr:rowOff>47625</xdr:rowOff>
        </xdr:to>
        <xdr:sp macro="" textlink="">
          <xdr:nvSpPr>
            <xdr:cNvPr id="3223" name="Object 151" hidden="1">
              <a:extLst>
                <a:ext uri="{63B3BB69-23CF-44E3-9099-C40C66FF867C}">
                  <a14:compatExt spid="_x0000_s3223"/>
                </a:ext>
                <a:ext uri="{FF2B5EF4-FFF2-40B4-BE49-F238E27FC236}">
                  <a16:creationId xmlns:a16="http://schemas.microsoft.com/office/drawing/2014/main" id="{00000000-0008-0000-0400-000097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1023</xdr:row>
          <xdr:rowOff>66675</xdr:rowOff>
        </xdr:from>
        <xdr:to>
          <xdr:col>36</xdr:col>
          <xdr:colOff>47625</xdr:colOff>
          <xdr:row>1026</xdr:row>
          <xdr:rowOff>66675</xdr:rowOff>
        </xdr:to>
        <xdr:sp macro="" textlink="">
          <xdr:nvSpPr>
            <xdr:cNvPr id="3225" name="Object 153" hidden="1">
              <a:extLst>
                <a:ext uri="{63B3BB69-23CF-44E3-9099-C40C66FF867C}">
                  <a14:compatExt spid="_x0000_s3225"/>
                </a:ext>
                <a:ext uri="{FF2B5EF4-FFF2-40B4-BE49-F238E27FC236}">
                  <a16:creationId xmlns:a16="http://schemas.microsoft.com/office/drawing/2014/main" id="{00000000-0008-0000-0400-000099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0</xdr:colOff>
          <xdr:row>1048</xdr:row>
          <xdr:rowOff>28575</xdr:rowOff>
        </xdr:from>
        <xdr:to>
          <xdr:col>34</xdr:col>
          <xdr:colOff>352425</xdr:colOff>
          <xdr:row>1051</xdr:row>
          <xdr:rowOff>85725</xdr:rowOff>
        </xdr:to>
        <xdr:sp macro="" textlink="">
          <xdr:nvSpPr>
            <xdr:cNvPr id="3281" name="Object 209" hidden="1">
              <a:extLst>
                <a:ext uri="{63B3BB69-23CF-44E3-9099-C40C66FF867C}">
                  <a14:compatExt spid="_x0000_s3281"/>
                </a:ext>
                <a:ext uri="{FF2B5EF4-FFF2-40B4-BE49-F238E27FC236}">
                  <a16:creationId xmlns:a16="http://schemas.microsoft.com/office/drawing/2014/main" id="{00000000-0008-0000-0400-0000D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984250</xdr:colOff>
      <xdr:row>4</xdr:row>
      <xdr:rowOff>152400</xdr:rowOff>
    </xdr:to>
    <xdr:pic>
      <xdr:nvPicPr>
        <xdr:cNvPr id="2604352" name="Picture 8" descr="logoplasci">
          <a:extLst>
            <a:ext uri="{FF2B5EF4-FFF2-40B4-BE49-F238E27FC236}">
              <a16:creationId xmlns:a16="http://schemas.microsoft.com/office/drawing/2014/main" id="{00000000-0008-0000-0500-000040BD27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52400" y="165100"/>
          <a:ext cx="984250" cy="635000"/>
        </a:xfrm>
        <a:prstGeom prst="rect">
          <a:avLst/>
        </a:prstGeom>
        <a:noFill/>
        <a:ln w="9525">
          <a:noFill/>
          <a:miter lim="800000"/>
          <a:headEnd/>
          <a:tailEnd/>
        </a:ln>
      </xdr:spPr>
    </xdr:pic>
    <xdr:clientData/>
  </xdr:twoCellAnchor>
  <xdr:twoCellAnchor>
    <xdr:from>
      <xdr:col>6</xdr:col>
      <xdr:colOff>450850</xdr:colOff>
      <xdr:row>0</xdr:row>
      <xdr:rowOff>120650</xdr:rowOff>
    </xdr:from>
    <xdr:to>
      <xdr:col>12</xdr:col>
      <xdr:colOff>450850</xdr:colOff>
      <xdr:row>18</xdr:row>
      <xdr:rowOff>25400</xdr:rowOff>
    </xdr:to>
    <xdr:graphicFrame macro="">
      <xdr:nvGraphicFramePr>
        <xdr:cNvPr id="2604353" name="Graphique 2">
          <a:extLst>
            <a:ext uri="{FF2B5EF4-FFF2-40B4-BE49-F238E27FC236}">
              <a16:creationId xmlns:a16="http://schemas.microsoft.com/office/drawing/2014/main" id="{00000000-0008-0000-0500-000041BD2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450850</xdr:colOff>
      <xdr:row>18</xdr:row>
      <xdr:rowOff>25400</xdr:rowOff>
    </xdr:from>
    <xdr:to>
      <xdr:col>12</xdr:col>
      <xdr:colOff>450850</xdr:colOff>
      <xdr:row>36</xdr:row>
      <xdr:rowOff>19050</xdr:rowOff>
    </xdr:to>
    <xdr:graphicFrame macro="">
      <xdr:nvGraphicFramePr>
        <xdr:cNvPr id="2604354" name="Graphique 2">
          <a:extLst>
            <a:ext uri="{FF2B5EF4-FFF2-40B4-BE49-F238E27FC236}">
              <a16:creationId xmlns:a16="http://schemas.microsoft.com/office/drawing/2014/main" id="{00000000-0008-0000-0500-000042BD2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12700</xdr:colOff>
      <xdr:row>18</xdr:row>
      <xdr:rowOff>25400</xdr:rowOff>
    </xdr:from>
    <xdr:to>
      <xdr:col>6</xdr:col>
      <xdr:colOff>450850</xdr:colOff>
      <xdr:row>36</xdr:row>
      <xdr:rowOff>19050</xdr:rowOff>
    </xdr:to>
    <xdr:graphicFrame macro="">
      <xdr:nvGraphicFramePr>
        <xdr:cNvPr id="2604355" name="Graphique 2">
          <a:extLst>
            <a:ext uri="{FF2B5EF4-FFF2-40B4-BE49-F238E27FC236}">
              <a16:creationId xmlns:a16="http://schemas.microsoft.com/office/drawing/2014/main" id="{00000000-0008-0000-0500-000043BD2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mc:AlternateContent xmlns:mc="http://schemas.openxmlformats.org/markup-compatibility/2006">
    <mc:Choice xmlns:a14="http://schemas.microsoft.com/office/drawing/2010/main" Requires="a14">
      <xdr:twoCellAnchor>
        <xdr:from>
          <xdr:col>3</xdr:col>
          <xdr:colOff>657225</xdr:colOff>
          <xdr:row>9</xdr:row>
          <xdr:rowOff>200025</xdr:rowOff>
        </xdr:from>
        <xdr:to>
          <xdr:col>4</xdr:col>
          <xdr:colOff>0</xdr:colOff>
          <xdr:row>11</xdr:row>
          <xdr:rowOff>0</xdr:rowOff>
        </xdr:to>
        <xdr:sp macro="" textlink="">
          <xdr:nvSpPr>
            <xdr:cNvPr id="2604063" name="Spinner 31" hidden="1">
              <a:extLst>
                <a:ext uri="{63B3BB69-23CF-44E3-9099-C40C66FF867C}">
                  <a14:compatExt spid="_x0000_s2604063"/>
                </a:ext>
                <a:ext uri="{FF2B5EF4-FFF2-40B4-BE49-F238E27FC236}">
                  <a16:creationId xmlns:a16="http://schemas.microsoft.com/office/drawing/2014/main" id="{00000000-0008-0000-0500-00001FBC27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390525</xdr:colOff>
          <xdr:row>70</xdr:row>
          <xdr:rowOff>28575</xdr:rowOff>
        </xdr:from>
        <xdr:to>
          <xdr:col>12</xdr:col>
          <xdr:colOff>904875</xdr:colOff>
          <xdr:row>87</xdr:row>
          <xdr:rowOff>9525</xdr:rowOff>
        </xdr:to>
        <xdr:sp macro="" textlink="">
          <xdr:nvSpPr>
            <xdr:cNvPr id="2604101" name="Object 69" hidden="1">
              <a:extLst>
                <a:ext uri="{63B3BB69-23CF-44E3-9099-C40C66FF867C}">
                  <a14:compatExt spid="_x0000_s2604101"/>
                </a:ext>
                <a:ext uri="{FF2B5EF4-FFF2-40B4-BE49-F238E27FC236}">
                  <a16:creationId xmlns:a16="http://schemas.microsoft.com/office/drawing/2014/main" id="{00000000-0008-0000-0500-000045BC27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657225</xdr:colOff>
          <xdr:row>11</xdr:row>
          <xdr:rowOff>0</xdr:rowOff>
        </xdr:from>
        <xdr:to>
          <xdr:col>4</xdr:col>
          <xdr:colOff>0</xdr:colOff>
          <xdr:row>12</xdr:row>
          <xdr:rowOff>0</xdr:rowOff>
        </xdr:to>
        <xdr:sp macro="" textlink="">
          <xdr:nvSpPr>
            <xdr:cNvPr id="2604202" name="Spinner 170" hidden="1">
              <a:extLst>
                <a:ext uri="{63B3BB69-23CF-44E3-9099-C40C66FF867C}">
                  <a14:compatExt spid="_x0000_s2604202"/>
                </a:ext>
                <a:ext uri="{FF2B5EF4-FFF2-40B4-BE49-F238E27FC236}">
                  <a16:creationId xmlns:a16="http://schemas.microsoft.com/office/drawing/2014/main" id="{00000000-0008-0000-0500-0000AABC27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69850</xdr:colOff>
      <xdr:row>33</xdr:row>
      <xdr:rowOff>25400</xdr:rowOff>
    </xdr:from>
    <xdr:to>
      <xdr:col>2</xdr:col>
      <xdr:colOff>20320</xdr:colOff>
      <xdr:row>44</xdr:row>
      <xdr:rowOff>19050</xdr:rowOff>
    </xdr:to>
    <xdr:pic>
      <xdr:nvPicPr>
        <xdr:cNvPr id="5938" name="Image 1">
          <a:extLst>
            <a:ext uri="{FF2B5EF4-FFF2-40B4-BE49-F238E27FC236}">
              <a16:creationId xmlns:a16="http://schemas.microsoft.com/office/drawing/2014/main" id="{00000000-0008-0000-0600-000032170000}"/>
            </a:ext>
          </a:extLst>
        </xdr:cNvPr>
        <xdr:cNvPicPr>
          <a:picLocks noChangeAspect="1"/>
        </xdr:cNvPicPr>
      </xdr:nvPicPr>
      <xdr:blipFill>
        <a:blip xmlns:r="http://schemas.openxmlformats.org/officeDocument/2006/relationships" r:embed="rId1" cstate="print"/>
        <a:srcRect/>
        <a:stretch>
          <a:fillRect/>
        </a:stretch>
      </xdr:blipFill>
      <xdr:spPr bwMode="auto">
        <a:xfrm>
          <a:off x="69850" y="5295900"/>
          <a:ext cx="1231900" cy="1739900"/>
        </a:xfrm>
        <a:prstGeom prst="rect">
          <a:avLst/>
        </a:prstGeom>
        <a:noFill/>
        <a:ln w="9525">
          <a:noFill/>
          <a:miter lim="800000"/>
          <a:headEnd/>
          <a:tailEnd/>
        </a:ln>
      </xdr:spPr>
    </xdr:pic>
    <xdr:clientData/>
  </xdr:twoCellAnchor>
  <xdr:twoCellAnchor editAs="oneCell">
    <xdr:from>
      <xdr:col>1</xdr:col>
      <xdr:colOff>1123950</xdr:colOff>
      <xdr:row>55</xdr:row>
      <xdr:rowOff>44450</xdr:rowOff>
    </xdr:from>
    <xdr:to>
      <xdr:col>10</xdr:col>
      <xdr:colOff>609600</xdr:colOff>
      <xdr:row>83</xdr:row>
      <xdr:rowOff>17780</xdr:rowOff>
    </xdr:to>
    <xdr:pic>
      <xdr:nvPicPr>
        <xdr:cNvPr id="5939" name="Image 2">
          <a:extLst>
            <a:ext uri="{FF2B5EF4-FFF2-40B4-BE49-F238E27FC236}">
              <a16:creationId xmlns:a16="http://schemas.microsoft.com/office/drawing/2014/main" id="{00000000-0008-0000-0600-000033170000}"/>
            </a:ext>
          </a:extLst>
        </xdr:cNvPr>
        <xdr:cNvPicPr>
          <a:picLocks noChangeAspect="1"/>
        </xdr:cNvPicPr>
      </xdr:nvPicPr>
      <xdr:blipFill>
        <a:blip xmlns:r="http://schemas.openxmlformats.org/officeDocument/2006/relationships" r:embed="rId2" cstate="print"/>
        <a:srcRect/>
        <a:stretch>
          <a:fillRect/>
        </a:stretch>
      </xdr:blipFill>
      <xdr:spPr bwMode="auto">
        <a:xfrm>
          <a:off x="1276350" y="8331200"/>
          <a:ext cx="7099300" cy="4425950"/>
        </a:xfrm>
        <a:prstGeom prst="rect">
          <a:avLst/>
        </a:prstGeom>
        <a:noFill/>
        <a:ln w="9525">
          <a:noFill/>
          <a:miter lim="800000"/>
          <a:headEnd/>
          <a:tailEnd/>
        </a:ln>
      </xdr:spPr>
    </xdr:pic>
    <xdr:clientData/>
  </xdr:twoCellAnchor>
  <xdr:twoCellAnchor editAs="oneCell">
    <xdr:from>
      <xdr:col>1</xdr:col>
      <xdr:colOff>0</xdr:colOff>
      <xdr:row>1</xdr:row>
      <xdr:rowOff>0</xdr:rowOff>
    </xdr:from>
    <xdr:to>
      <xdr:col>1</xdr:col>
      <xdr:colOff>980440</xdr:colOff>
      <xdr:row>4</xdr:row>
      <xdr:rowOff>152400</xdr:rowOff>
    </xdr:to>
    <xdr:pic>
      <xdr:nvPicPr>
        <xdr:cNvPr id="5940" name="Picture 8" descr="logoplasci">
          <a:extLst>
            <a:ext uri="{FF2B5EF4-FFF2-40B4-BE49-F238E27FC236}">
              <a16:creationId xmlns:a16="http://schemas.microsoft.com/office/drawing/2014/main" id="{00000000-0008-0000-0600-00003417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52400" y="158750"/>
          <a:ext cx="984250" cy="628650"/>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xdr:from>
      <xdr:col>6</xdr:col>
      <xdr:colOff>69850</xdr:colOff>
      <xdr:row>80</xdr:row>
      <xdr:rowOff>12700</xdr:rowOff>
    </xdr:from>
    <xdr:to>
      <xdr:col>8</xdr:col>
      <xdr:colOff>0</xdr:colOff>
      <xdr:row>102</xdr:row>
      <xdr:rowOff>107950</xdr:rowOff>
    </xdr:to>
    <xdr:grpSp>
      <xdr:nvGrpSpPr>
        <xdr:cNvPr id="5501606" name="Group 232">
          <a:extLst>
            <a:ext uri="{FF2B5EF4-FFF2-40B4-BE49-F238E27FC236}">
              <a16:creationId xmlns:a16="http://schemas.microsoft.com/office/drawing/2014/main" id="{00000000-0008-0000-0700-0000A6F25300}"/>
            </a:ext>
          </a:extLst>
        </xdr:cNvPr>
        <xdr:cNvGrpSpPr>
          <a:grpSpLocks/>
        </xdr:cNvGrpSpPr>
      </xdr:nvGrpSpPr>
      <xdr:grpSpPr bwMode="auto">
        <a:xfrm>
          <a:off x="4137025" y="13214350"/>
          <a:ext cx="2159000" cy="3752850"/>
          <a:chOff x="3421" y="5379"/>
          <a:chExt cx="2289" cy="5759"/>
        </a:xfrm>
      </xdr:grpSpPr>
      <xdr:grpSp>
        <xdr:nvGrpSpPr>
          <xdr:cNvPr id="5501710" name="Group 233">
            <a:extLst>
              <a:ext uri="{FF2B5EF4-FFF2-40B4-BE49-F238E27FC236}">
                <a16:creationId xmlns:a16="http://schemas.microsoft.com/office/drawing/2014/main" id="{00000000-0008-0000-0700-00000EF35300}"/>
              </a:ext>
            </a:extLst>
          </xdr:cNvPr>
          <xdr:cNvGrpSpPr>
            <a:grpSpLocks/>
          </xdr:cNvGrpSpPr>
        </xdr:nvGrpSpPr>
        <xdr:grpSpPr bwMode="auto">
          <a:xfrm>
            <a:off x="4047" y="5379"/>
            <a:ext cx="515" cy="4096"/>
            <a:chOff x="4047" y="5379"/>
            <a:chExt cx="515" cy="4096"/>
          </a:xfrm>
        </xdr:grpSpPr>
        <xdr:sp macro="" textlink="">
          <xdr:nvSpPr>
            <xdr:cNvPr id="5501728" name="Arc 234">
              <a:extLst>
                <a:ext uri="{FF2B5EF4-FFF2-40B4-BE49-F238E27FC236}">
                  <a16:creationId xmlns:a16="http://schemas.microsoft.com/office/drawing/2014/main" id="{00000000-0008-0000-0700-000020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729" name="Group 235">
              <a:extLst>
                <a:ext uri="{FF2B5EF4-FFF2-40B4-BE49-F238E27FC236}">
                  <a16:creationId xmlns:a16="http://schemas.microsoft.com/office/drawing/2014/main" id="{00000000-0008-0000-0700-000021F35300}"/>
                </a:ext>
              </a:extLst>
            </xdr:cNvPr>
            <xdr:cNvGrpSpPr>
              <a:grpSpLocks/>
            </xdr:cNvGrpSpPr>
          </xdr:nvGrpSpPr>
          <xdr:grpSpPr bwMode="auto">
            <a:xfrm>
              <a:off x="4047" y="6306"/>
              <a:ext cx="285" cy="3169"/>
              <a:chOff x="4050" y="6306"/>
              <a:chExt cx="285" cy="3169"/>
            </a:xfrm>
          </xdr:grpSpPr>
          <xdr:sp macro="" textlink="">
            <xdr:nvSpPr>
              <xdr:cNvPr id="5501730" name="Line 236">
                <a:extLst>
                  <a:ext uri="{FF2B5EF4-FFF2-40B4-BE49-F238E27FC236}">
                    <a16:creationId xmlns:a16="http://schemas.microsoft.com/office/drawing/2014/main" id="{00000000-0008-0000-0700-000022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731" name="Line 237">
                <a:extLst>
                  <a:ext uri="{FF2B5EF4-FFF2-40B4-BE49-F238E27FC236}">
                    <a16:creationId xmlns:a16="http://schemas.microsoft.com/office/drawing/2014/main" id="{00000000-0008-0000-0700-000023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32" name="Line 238">
                <a:extLst>
                  <a:ext uri="{FF2B5EF4-FFF2-40B4-BE49-F238E27FC236}">
                    <a16:creationId xmlns:a16="http://schemas.microsoft.com/office/drawing/2014/main" id="{00000000-0008-0000-0700-000024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33" name="Line 239">
                <a:extLst>
                  <a:ext uri="{FF2B5EF4-FFF2-40B4-BE49-F238E27FC236}">
                    <a16:creationId xmlns:a16="http://schemas.microsoft.com/office/drawing/2014/main" id="{00000000-0008-0000-0700-000025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34" name="Line 240">
                <a:extLst>
                  <a:ext uri="{FF2B5EF4-FFF2-40B4-BE49-F238E27FC236}">
                    <a16:creationId xmlns:a16="http://schemas.microsoft.com/office/drawing/2014/main" id="{00000000-0008-0000-0700-000026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grpSp>
        <xdr:nvGrpSpPr>
          <xdr:cNvPr id="5501711" name="Group 241">
            <a:extLst>
              <a:ext uri="{FF2B5EF4-FFF2-40B4-BE49-F238E27FC236}">
                <a16:creationId xmlns:a16="http://schemas.microsoft.com/office/drawing/2014/main" id="{00000000-0008-0000-0700-00000FF35300}"/>
              </a:ext>
            </a:extLst>
          </xdr:cNvPr>
          <xdr:cNvGrpSpPr>
            <a:grpSpLocks/>
          </xdr:cNvGrpSpPr>
        </xdr:nvGrpSpPr>
        <xdr:grpSpPr bwMode="auto">
          <a:xfrm flipH="1">
            <a:off x="4560" y="5379"/>
            <a:ext cx="515" cy="4096"/>
            <a:chOff x="4047" y="5379"/>
            <a:chExt cx="515" cy="4096"/>
          </a:xfrm>
        </xdr:grpSpPr>
        <xdr:sp macro="" textlink="">
          <xdr:nvSpPr>
            <xdr:cNvPr id="5501721" name="Arc 242">
              <a:extLst>
                <a:ext uri="{FF2B5EF4-FFF2-40B4-BE49-F238E27FC236}">
                  <a16:creationId xmlns:a16="http://schemas.microsoft.com/office/drawing/2014/main" id="{00000000-0008-0000-0700-000019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722" name="Group 243">
              <a:extLst>
                <a:ext uri="{FF2B5EF4-FFF2-40B4-BE49-F238E27FC236}">
                  <a16:creationId xmlns:a16="http://schemas.microsoft.com/office/drawing/2014/main" id="{00000000-0008-0000-0700-00001AF35300}"/>
                </a:ext>
              </a:extLst>
            </xdr:cNvPr>
            <xdr:cNvGrpSpPr>
              <a:grpSpLocks/>
            </xdr:cNvGrpSpPr>
          </xdr:nvGrpSpPr>
          <xdr:grpSpPr bwMode="auto">
            <a:xfrm>
              <a:off x="4047" y="6306"/>
              <a:ext cx="285" cy="3169"/>
              <a:chOff x="4050" y="6306"/>
              <a:chExt cx="285" cy="3169"/>
            </a:xfrm>
          </xdr:grpSpPr>
          <xdr:sp macro="" textlink="">
            <xdr:nvSpPr>
              <xdr:cNvPr id="5501723" name="Line 244">
                <a:extLst>
                  <a:ext uri="{FF2B5EF4-FFF2-40B4-BE49-F238E27FC236}">
                    <a16:creationId xmlns:a16="http://schemas.microsoft.com/office/drawing/2014/main" id="{00000000-0008-0000-0700-00001B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724" name="Line 245">
                <a:extLst>
                  <a:ext uri="{FF2B5EF4-FFF2-40B4-BE49-F238E27FC236}">
                    <a16:creationId xmlns:a16="http://schemas.microsoft.com/office/drawing/2014/main" id="{00000000-0008-0000-0700-00001C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25" name="Line 246">
                <a:extLst>
                  <a:ext uri="{FF2B5EF4-FFF2-40B4-BE49-F238E27FC236}">
                    <a16:creationId xmlns:a16="http://schemas.microsoft.com/office/drawing/2014/main" id="{00000000-0008-0000-0700-00001D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26" name="Line 247">
                <a:extLst>
                  <a:ext uri="{FF2B5EF4-FFF2-40B4-BE49-F238E27FC236}">
                    <a16:creationId xmlns:a16="http://schemas.microsoft.com/office/drawing/2014/main" id="{00000000-0008-0000-0700-00001E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27" name="Line 248">
                <a:extLst>
                  <a:ext uri="{FF2B5EF4-FFF2-40B4-BE49-F238E27FC236}">
                    <a16:creationId xmlns:a16="http://schemas.microsoft.com/office/drawing/2014/main" id="{00000000-0008-0000-0700-00001F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sp macro="" textlink="">
        <xdr:nvSpPr>
          <xdr:cNvPr id="5501712" name="Line 249">
            <a:extLst>
              <a:ext uri="{FF2B5EF4-FFF2-40B4-BE49-F238E27FC236}">
                <a16:creationId xmlns:a16="http://schemas.microsoft.com/office/drawing/2014/main" id="{00000000-0008-0000-0700-000010F35300}"/>
              </a:ext>
            </a:extLst>
          </xdr:cNvPr>
          <xdr:cNvSpPr>
            <a:spLocks noChangeShapeType="1"/>
          </xdr:cNvSpPr>
        </xdr:nvSpPr>
        <xdr:spPr bwMode="auto">
          <a:xfrm>
            <a:off x="4332" y="9310"/>
            <a:ext cx="2" cy="1319"/>
          </a:xfrm>
          <a:prstGeom prst="line">
            <a:avLst/>
          </a:prstGeom>
          <a:noFill/>
          <a:ln w="9525">
            <a:solidFill>
              <a:srgbClr val="00B0F0"/>
            </a:solidFill>
            <a:round/>
            <a:headEnd/>
            <a:tailEnd/>
          </a:ln>
        </xdr:spPr>
      </xdr:sp>
      <xdr:sp macro="" textlink="">
        <xdr:nvSpPr>
          <xdr:cNvPr id="5501713" name="Line 250">
            <a:extLst>
              <a:ext uri="{FF2B5EF4-FFF2-40B4-BE49-F238E27FC236}">
                <a16:creationId xmlns:a16="http://schemas.microsoft.com/office/drawing/2014/main" id="{00000000-0008-0000-0700-000011F35300}"/>
              </a:ext>
            </a:extLst>
          </xdr:cNvPr>
          <xdr:cNvSpPr>
            <a:spLocks noChangeShapeType="1"/>
          </xdr:cNvSpPr>
        </xdr:nvSpPr>
        <xdr:spPr bwMode="auto">
          <a:xfrm>
            <a:off x="4790" y="9310"/>
            <a:ext cx="0" cy="1319"/>
          </a:xfrm>
          <a:prstGeom prst="line">
            <a:avLst/>
          </a:prstGeom>
          <a:noFill/>
          <a:ln w="9525">
            <a:solidFill>
              <a:srgbClr val="00B0F0"/>
            </a:solidFill>
            <a:round/>
            <a:headEnd/>
            <a:tailEnd/>
          </a:ln>
        </xdr:spPr>
      </xdr:sp>
      <xdr:sp macro="" textlink="">
        <xdr:nvSpPr>
          <xdr:cNvPr id="5501714" name="Line 251">
            <a:extLst>
              <a:ext uri="{FF2B5EF4-FFF2-40B4-BE49-F238E27FC236}">
                <a16:creationId xmlns:a16="http://schemas.microsoft.com/office/drawing/2014/main" id="{00000000-0008-0000-0700-000012F35300}"/>
              </a:ext>
            </a:extLst>
          </xdr:cNvPr>
          <xdr:cNvSpPr>
            <a:spLocks noChangeShapeType="1"/>
          </xdr:cNvSpPr>
        </xdr:nvSpPr>
        <xdr:spPr bwMode="auto">
          <a:xfrm>
            <a:off x="4330" y="10629"/>
            <a:ext cx="458" cy="0"/>
          </a:xfrm>
          <a:prstGeom prst="line">
            <a:avLst/>
          </a:prstGeom>
          <a:noFill/>
          <a:ln w="9525">
            <a:solidFill>
              <a:srgbClr val="00B0F0"/>
            </a:solidFill>
            <a:round/>
            <a:headEnd/>
            <a:tailEnd/>
          </a:ln>
        </xdr:spPr>
      </xdr:sp>
      <xdr:sp macro="" textlink="">
        <xdr:nvSpPr>
          <xdr:cNvPr id="5501715" name="Line 252">
            <a:extLst>
              <a:ext uri="{FF2B5EF4-FFF2-40B4-BE49-F238E27FC236}">
                <a16:creationId xmlns:a16="http://schemas.microsoft.com/office/drawing/2014/main" id="{00000000-0008-0000-0700-000013F35300}"/>
              </a:ext>
            </a:extLst>
          </xdr:cNvPr>
          <xdr:cNvSpPr>
            <a:spLocks noChangeShapeType="1"/>
          </xdr:cNvSpPr>
        </xdr:nvSpPr>
        <xdr:spPr bwMode="auto">
          <a:xfrm flipV="1">
            <a:off x="5709" y="10163"/>
            <a:ext cx="1" cy="946"/>
          </a:xfrm>
          <a:prstGeom prst="line">
            <a:avLst/>
          </a:prstGeom>
          <a:noFill/>
          <a:ln w="9525">
            <a:solidFill>
              <a:srgbClr val="00B0F0"/>
            </a:solidFill>
            <a:round/>
            <a:headEnd/>
            <a:tailEnd/>
          </a:ln>
        </xdr:spPr>
      </xdr:sp>
      <xdr:sp macro="" textlink="">
        <xdr:nvSpPr>
          <xdr:cNvPr id="5501716" name="Line 253">
            <a:extLst>
              <a:ext uri="{FF2B5EF4-FFF2-40B4-BE49-F238E27FC236}">
                <a16:creationId xmlns:a16="http://schemas.microsoft.com/office/drawing/2014/main" id="{00000000-0008-0000-0700-000014F35300}"/>
              </a:ext>
            </a:extLst>
          </xdr:cNvPr>
          <xdr:cNvSpPr>
            <a:spLocks noChangeShapeType="1"/>
          </xdr:cNvSpPr>
        </xdr:nvSpPr>
        <xdr:spPr bwMode="auto">
          <a:xfrm>
            <a:off x="4796" y="10419"/>
            <a:ext cx="909" cy="712"/>
          </a:xfrm>
          <a:prstGeom prst="line">
            <a:avLst/>
          </a:prstGeom>
          <a:noFill/>
          <a:ln w="9525">
            <a:solidFill>
              <a:srgbClr val="00B0F0"/>
            </a:solidFill>
            <a:round/>
            <a:headEnd/>
            <a:tailEnd/>
          </a:ln>
        </xdr:spPr>
      </xdr:sp>
      <xdr:sp macro="" textlink="">
        <xdr:nvSpPr>
          <xdr:cNvPr id="5501717" name="Line 254">
            <a:extLst>
              <a:ext uri="{FF2B5EF4-FFF2-40B4-BE49-F238E27FC236}">
                <a16:creationId xmlns:a16="http://schemas.microsoft.com/office/drawing/2014/main" id="{00000000-0008-0000-0700-000015F35300}"/>
              </a:ext>
            </a:extLst>
          </xdr:cNvPr>
          <xdr:cNvSpPr>
            <a:spLocks noChangeShapeType="1"/>
          </xdr:cNvSpPr>
        </xdr:nvSpPr>
        <xdr:spPr bwMode="auto">
          <a:xfrm flipH="1" flipV="1">
            <a:off x="4804" y="8797"/>
            <a:ext cx="905" cy="1372"/>
          </a:xfrm>
          <a:prstGeom prst="line">
            <a:avLst/>
          </a:prstGeom>
          <a:noFill/>
          <a:ln w="9525">
            <a:solidFill>
              <a:srgbClr val="00B0F0"/>
            </a:solidFill>
            <a:round/>
            <a:headEnd/>
            <a:tailEnd/>
          </a:ln>
        </xdr:spPr>
      </xdr:sp>
      <xdr:sp macro="" textlink="">
        <xdr:nvSpPr>
          <xdr:cNvPr id="5501718" name="Line 255">
            <a:extLst>
              <a:ext uri="{FF2B5EF4-FFF2-40B4-BE49-F238E27FC236}">
                <a16:creationId xmlns:a16="http://schemas.microsoft.com/office/drawing/2014/main" id="{00000000-0008-0000-0700-000016F35300}"/>
              </a:ext>
            </a:extLst>
          </xdr:cNvPr>
          <xdr:cNvSpPr>
            <a:spLocks noChangeShapeType="1"/>
          </xdr:cNvSpPr>
        </xdr:nvSpPr>
        <xdr:spPr bwMode="auto">
          <a:xfrm flipH="1" flipV="1">
            <a:off x="3421" y="10178"/>
            <a:ext cx="1" cy="946"/>
          </a:xfrm>
          <a:prstGeom prst="line">
            <a:avLst/>
          </a:prstGeom>
          <a:noFill/>
          <a:ln w="9525">
            <a:solidFill>
              <a:srgbClr val="00B0F0"/>
            </a:solidFill>
            <a:round/>
            <a:headEnd/>
            <a:tailEnd/>
          </a:ln>
        </xdr:spPr>
      </xdr:sp>
      <xdr:sp macro="" textlink="">
        <xdr:nvSpPr>
          <xdr:cNvPr id="5501719" name="Line 256">
            <a:extLst>
              <a:ext uri="{FF2B5EF4-FFF2-40B4-BE49-F238E27FC236}">
                <a16:creationId xmlns:a16="http://schemas.microsoft.com/office/drawing/2014/main" id="{00000000-0008-0000-0700-000017F35300}"/>
              </a:ext>
            </a:extLst>
          </xdr:cNvPr>
          <xdr:cNvSpPr>
            <a:spLocks noChangeShapeType="1"/>
          </xdr:cNvSpPr>
        </xdr:nvSpPr>
        <xdr:spPr bwMode="auto">
          <a:xfrm flipH="1">
            <a:off x="3421" y="10426"/>
            <a:ext cx="909" cy="712"/>
          </a:xfrm>
          <a:prstGeom prst="line">
            <a:avLst/>
          </a:prstGeom>
          <a:noFill/>
          <a:ln w="9525">
            <a:solidFill>
              <a:srgbClr val="00B0F0"/>
            </a:solidFill>
            <a:round/>
            <a:headEnd/>
            <a:tailEnd/>
          </a:ln>
        </xdr:spPr>
      </xdr:sp>
      <xdr:sp macro="" textlink="">
        <xdr:nvSpPr>
          <xdr:cNvPr id="5501720" name="Line 257">
            <a:extLst>
              <a:ext uri="{FF2B5EF4-FFF2-40B4-BE49-F238E27FC236}">
                <a16:creationId xmlns:a16="http://schemas.microsoft.com/office/drawing/2014/main" id="{00000000-0008-0000-0700-000018F35300}"/>
              </a:ext>
            </a:extLst>
          </xdr:cNvPr>
          <xdr:cNvSpPr>
            <a:spLocks noChangeShapeType="1"/>
          </xdr:cNvSpPr>
        </xdr:nvSpPr>
        <xdr:spPr bwMode="auto">
          <a:xfrm flipV="1">
            <a:off x="3429" y="8804"/>
            <a:ext cx="905" cy="1372"/>
          </a:xfrm>
          <a:prstGeom prst="line">
            <a:avLst/>
          </a:prstGeom>
          <a:noFill/>
          <a:ln w="9525">
            <a:solidFill>
              <a:srgbClr val="00B0F0"/>
            </a:solidFill>
            <a:round/>
            <a:headEnd/>
            <a:tailEnd/>
          </a:ln>
        </xdr:spPr>
      </xdr:sp>
    </xdr:grpSp>
    <xdr:clientData/>
  </xdr:twoCellAnchor>
  <xdr:twoCellAnchor>
    <xdr:from>
      <xdr:col>6</xdr:col>
      <xdr:colOff>825500</xdr:colOff>
      <xdr:row>84</xdr:row>
      <xdr:rowOff>101600</xdr:rowOff>
    </xdr:from>
    <xdr:to>
      <xdr:col>6</xdr:col>
      <xdr:colOff>1543050</xdr:colOff>
      <xdr:row>84</xdr:row>
      <xdr:rowOff>101600</xdr:rowOff>
    </xdr:to>
    <xdr:sp macro="" textlink="">
      <xdr:nvSpPr>
        <xdr:cNvPr id="5501607" name="Line 268">
          <a:extLst>
            <a:ext uri="{FF2B5EF4-FFF2-40B4-BE49-F238E27FC236}">
              <a16:creationId xmlns:a16="http://schemas.microsoft.com/office/drawing/2014/main" id="{00000000-0008-0000-0700-0000A7F25300}"/>
            </a:ext>
          </a:extLst>
        </xdr:cNvPr>
        <xdr:cNvSpPr>
          <a:spLocks noChangeShapeType="1"/>
        </xdr:cNvSpPr>
      </xdr:nvSpPr>
      <xdr:spPr bwMode="auto">
        <a:xfrm flipV="1">
          <a:off x="5105400" y="14128750"/>
          <a:ext cx="717550" cy="0"/>
        </a:xfrm>
        <a:prstGeom prst="line">
          <a:avLst/>
        </a:prstGeom>
        <a:noFill/>
        <a:ln w="6350">
          <a:solidFill>
            <a:srgbClr val="000000"/>
          </a:solidFill>
          <a:round/>
          <a:headEnd type="triangle" w="sm" len="lg"/>
          <a:tailEnd type="triangle" w="sm" len="lg"/>
        </a:ln>
      </xdr:spPr>
    </xdr:sp>
    <xdr:clientData/>
  </xdr:twoCellAnchor>
  <xdr:twoCellAnchor>
    <xdr:from>
      <xdr:col>6</xdr:col>
      <xdr:colOff>152400</xdr:colOff>
      <xdr:row>80</xdr:row>
      <xdr:rowOff>0</xdr:rowOff>
    </xdr:from>
    <xdr:to>
      <xdr:col>8</xdr:col>
      <xdr:colOff>654050</xdr:colOff>
      <xdr:row>80</xdr:row>
      <xdr:rowOff>0</xdr:rowOff>
    </xdr:to>
    <xdr:sp macro="" textlink="">
      <xdr:nvSpPr>
        <xdr:cNvPr id="5501608" name="Line 269">
          <a:extLst>
            <a:ext uri="{FF2B5EF4-FFF2-40B4-BE49-F238E27FC236}">
              <a16:creationId xmlns:a16="http://schemas.microsoft.com/office/drawing/2014/main" id="{00000000-0008-0000-0700-0000A8F25300}"/>
            </a:ext>
          </a:extLst>
        </xdr:cNvPr>
        <xdr:cNvSpPr>
          <a:spLocks noChangeShapeType="1"/>
        </xdr:cNvSpPr>
      </xdr:nvSpPr>
      <xdr:spPr bwMode="auto">
        <a:xfrm flipV="1">
          <a:off x="4432300" y="13354050"/>
          <a:ext cx="2647950" cy="0"/>
        </a:xfrm>
        <a:prstGeom prst="line">
          <a:avLst/>
        </a:prstGeom>
        <a:noFill/>
        <a:ln w="6350">
          <a:solidFill>
            <a:srgbClr val="000000"/>
          </a:solidFill>
          <a:round/>
          <a:headEnd/>
          <a:tailEnd/>
        </a:ln>
      </xdr:spPr>
    </xdr:sp>
    <xdr:clientData/>
  </xdr:twoCellAnchor>
  <xdr:twoCellAnchor>
    <xdr:from>
      <xdr:col>8</xdr:col>
      <xdr:colOff>228600</xdr:colOff>
      <xdr:row>80</xdr:row>
      <xdr:rowOff>12700</xdr:rowOff>
    </xdr:from>
    <xdr:to>
      <xdr:col>8</xdr:col>
      <xdr:colOff>228600</xdr:colOff>
      <xdr:row>93</xdr:row>
      <xdr:rowOff>82550</xdr:rowOff>
    </xdr:to>
    <xdr:sp macro="" textlink="">
      <xdr:nvSpPr>
        <xdr:cNvPr id="5501609" name="Line 270">
          <a:extLst>
            <a:ext uri="{FF2B5EF4-FFF2-40B4-BE49-F238E27FC236}">
              <a16:creationId xmlns:a16="http://schemas.microsoft.com/office/drawing/2014/main" id="{00000000-0008-0000-0700-0000A9F25300}"/>
            </a:ext>
          </a:extLst>
        </xdr:cNvPr>
        <xdr:cNvSpPr>
          <a:spLocks noChangeShapeType="1"/>
        </xdr:cNvSpPr>
      </xdr:nvSpPr>
      <xdr:spPr bwMode="auto">
        <a:xfrm>
          <a:off x="6838950" y="13366750"/>
          <a:ext cx="0" cy="2209800"/>
        </a:xfrm>
        <a:prstGeom prst="line">
          <a:avLst/>
        </a:prstGeom>
        <a:noFill/>
        <a:ln w="6350">
          <a:solidFill>
            <a:srgbClr val="000000"/>
          </a:solidFill>
          <a:round/>
          <a:headEnd type="triangle" w="sm" len="lg"/>
          <a:tailEnd type="triangle" w="sm" len="lg"/>
        </a:ln>
      </xdr:spPr>
    </xdr:sp>
    <xdr:clientData/>
  </xdr:twoCellAnchor>
  <xdr:twoCellAnchor>
    <xdr:from>
      <xdr:col>6</xdr:col>
      <xdr:colOff>139700</xdr:colOff>
      <xdr:row>83</xdr:row>
      <xdr:rowOff>50800</xdr:rowOff>
    </xdr:from>
    <xdr:to>
      <xdr:col>6</xdr:col>
      <xdr:colOff>838200</xdr:colOff>
      <xdr:row>83</xdr:row>
      <xdr:rowOff>50800</xdr:rowOff>
    </xdr:to>
    <xdr:sp macro="" textlink="">
      <xdr:nvSpPr>
        <xdr:cNvPr id="5501610" name="Line 271">
          <a:extLst>
            <a:ext uri="{FF2B5EF4-FFF2-40B4-BE49-F238E27FC236}">
              <a16:creationId xmlns:a16="http://schemas.microsoft.com/office/drawing/2014/main" id="{00000000-0008-0000-0700-0000AAF25300}"/>
            </a:ext>
          </a:extLst>
        </xdr:cNvPr>
        <xdr:cNvSpPr>
          <a:spLocks noChangeShapeType="1"/>
        </xdr:cNvSpPr>
      </xdr:nvSpPr>
      <xdr:spPr bwMode="auto">
        <a:xfrm>
          <a:off x="4419600" y="13912850"/>
          <a:ext cx="698500" cy="0"/>
        </a:xfrm>
        <a:prstGeom prst="line">
          <a:avLst/>
        </a:prstGeom>
        <a:noFill/>
        <a:ln w="6350">
          <a:solidFill>
            <a:srgbClr val="000000"/>
          </a:solidFill>
          <a:round/>
          <a:headEnd/>
          <a:tailEnd/>
        </a:ln>
      </xdr:spPr>
    </xdr:sp>
    <xdr:clientData/>
  </xdr:twoCellAnchor>
  <xdr:twoCellAnchor>
    <xdr:from>
      <xdr:col>6</xdr:col>
      <xdr:colOff>152400</xdr:colOff>
      <xdr:row>80</xdr:row>
      <xdr:rowOff>0</xdr:rowOff>
    </xdr:from>
    <xdr:to>
      <xdr:col>6</xdr:col>
      <xdr:colOff>152400</xdr:colOff>
      <xdr:row>83</xdr:row>
      <xdr:rowOff>50800</xdr:rowOff>
    </xdr:to>
    <xdr:sp macro="" textlink="">
      <xdr:nvSpPr>
        <xdr:cNvPr id="5501611" name="Line 272">
          <a:extLst>
            <a:ext uri="{FF2B5EF4-FFF2-40B4-BE49-F238E27FC236}">
              <a16:creationId xmlns:a16="http://schemas.microsoft.com/office/drawing/2014/main" id="{00000000-0008-0000-0700-0000ABF25300}"/>
            </a:ext>
          </a:extLst>
        </xdr:cNvPr>
        <xdr:cNvSpPr>
          <a:spLocks noChangeShapeType="1"/>
        </xdr:cNvSpPr>
      </xdr:nvSpPr>
      <xdr:spPr bwMode="auto">
        <a:xfrm>
          <a:off x="4432300" y="13354050"/>
          <a:ext cx="0" cy="558800"/>
        </a:xfrm>
        <a:prstGeom prst="line">
          <a:avLst/>
        </a:prstGeom>
        <a:noFill/>
        <a:ln w="6350">
          <a:solidFill>
            <a:srgbClr val="000000"/>
          </a:solidFill>
          <a:round/>
          <a:headEnd type="triangle" w="sm" len="lg"/>
          <a:tailEnd type="triangle" w="sm" len="lg"/>
        </a:ln>
      </xdr:spPr>
    </xdr:sp>
    <xdr:clientData/>
  </xdr:twoCellAnchor>
  <xdr:twoCellAnchor>
    <xdr:from>
      <xdr:col>7</xdr:col>
      <xdr:colOff>787400</xdr:colOff>
      <xdr:row>102</xdr:row>
      <xdr:rowOff>95250</xdr:rowOff>
    </xdr:from>
    <xdr:to>
      <xdr:col>8</xdr:col>
      <xdr:colOff>552450</xdr:colOff>
      <xdr:row>102</xdr:row>
      <xdr:rowOff>95250</xdr:rowOff>
    </xdr:to>
    <xdr:sp macro="" textlink="">
      <xdr:nvSpPr>
        <xdr:cNvPr id="5501612" name="Line 277">
          <a:extLst>
            <a:ext uri="{FF2B5EF4-FFF2-40B4-BE49-F238E27FC236}">
              <a16:creationId xmlns:a16="http://schemas.microsoft.com/office/drawing/2014/main" id="{00000000-0008-0000-0700-0000ACF25300}"/>
            </a:ext>
          </a:extLst>
        </xdr:cNvPr>
        <xdr:cNvSpPr>
          <a:spLocks noChangeShapeType="1"/>
        </xdr:cNvSpPr>
      </xdr:nvSpPr>
      <xdr:spPr bwMode="auto">
        <a:xfrm>
          <a:off x="6610350" y="17068800"/>
          <a:ext cx="469900" cy="0"/>
        </a:xfrm>
        <a:prstGeom prst="line">
          <a:avLst/>
        </a:prstGeom>
        <a:noFill/>
        <a:ln w="6350">
          <a:solidFill>
            <a:srgbClr val="000000"/>
          </a:solidFill>
          <a:round/>
          <a:headEnd/>
          <a:tailEnd/>
        </a:ln>
      </xdr:spPr>
    </xdr:sp>
    <xdr:clientData/>
  </xdr:twoCellAnchor>
  <xdr:twoCellAnchor>
    <xdr:from>
      <xdr:col>8</xdr:col>
      <xdr:colOff>12700</xdr:colOff>
      <xdr:row>98</xdr:row>
      <xdr:rowOff>133350</xdr:rowOff>
    </xdr:from>
    <xdr:to>
      <xdr:col>8</xdr:col>
      <xdr:colOff>469900</xdr:colOff>
      <xdr:row>98</xdr:row>
      <xdr:rowOff>133350</xdr:rowOff>
    </xdr:to>
    <xdr:sp macro="" textlink="">
      <xdr:nvSpPr>
        <xdr:cNvPr id="5501613" name="Line 278">
          <a:extLst>
            <a:ext uri="{FF2B5EF4-FFF2-40B4-BE49-F238E27FC236}">
              <a16:creationId xmlns:a16="http://schemas.microsoft.com/office/drawing/2014/main" id="{00000000-0008-0000-0700-0000ADF25300}"/>
            </a:ext>
          </a:extLst>
        </xdr:cNvPr>
        <xdr:cNvSpPr>
          <a:spLocks noChangeShapeType="1"/>
        </xdr:cNvSpPr>
      </xdr:nvSpPr>
      <xdr:spPr bwMode="auto">
        <a:xfrm>
          <a:off x="6623050" y="16440150"/>
          <a:ext cx="457200" cy="0"/>
        </a:xfrm>
        <a:prstGeom prst="line">
          <a:avLst/>
        </a:prstGeom>
        <a:noFill/>
        <a:ln w="6350">
          <a:solidFill>
            <a:srgbClr val="000000"/>
          </a:solidFill>
          <a:round/>
          <a:headEnd/>
          <a:tailEnd/>
        </a:ln>
      </xdr:spPr>
    </xdr:sp>
    <xdr:clientData/>
  </xdr:twoCellAnchor>
  <xdr:twoCellAnchor>
    <xdr:from>
      <xdr:col>6</xdr:col>
      <xdr:colOff>476250</xdr:colOff>
      <xdr:row>93</xdr:row>
      <xdr:rowOff>76200</xdr:rowOff>
    </xdr:from>
    <xdr:to>
      <xdr:col>8</xdr:col>
      <xdr:colOff>552450</xdr:colOff>
      <xdr:row>93</xdr:row>
      <xdr:rowOff>76200</xdr:rowOff>
    </xdr:to>
    <xdr:sp macro="" textlink="">
      <xdr:nvSpPr>
        <xdr:cNvPr id="5501614" name="Line 279">
          <a:extLst>
            <a:ext uri="{FF2B5EF4-FFF2-40B4-BE49-F238E27FC236}">
              <a16:creationId xmlns:a16="http://schemas.microsoft.com/office/drawing/2014/main" id="{00000000-0008-0000-0700-0000AEF25300}"/>
            </a:ext>
          </a:extLst>
        </xdr:cNvPr>
        <xdr:cNvSpPr>
          <a:spLocks noChangeShapeType="1"/>
        </xdr:cNvSpPr>
      </xdr:nvSpPr>
      <xdr:spPr bwMode="auto">
        <a:xfrm flipV="1">
          <a:off x="4756150" y="15570200"/>
          <a:ext cx="2324100" cy="0"/>
        </a:xfrm>
        <a:prstGeom prst="line">
          <a:avLst/>
        </a:prstGeom>
        <a:noFill/>
        <a:ln w="6350">
          <a:solidFill>
            <a:srgbClr val="000000"/>
          </a:solidFill>
          <a:round/>
          <a:headEnd/>
          <a:tailEnd/>
        </a:ln>
      </xdr:spPr>
    </xdr:sp>
    <xdr:clientData/>
  </xdr:twoCellAnchor>
  <xdr:twoCellAnchor>
    <xdr:from>
      <xdr:col>6</xdr:col>
      <xdr:colOff>476250</xdr:colOff>
      <xdr:row>99</xdr:row>
      <xdr:rowOff>152400</xdr:rowOff>
    </xdr:from>
    <xdr:to>
      <xdr:col>6</xdr:col>
      <xdr:colOff>1428750</xdr:colOff>
      <xdr:row>99</xdr:row>
      <xdr:rowOff>152400</xdr:rowOff>
    </xdr:to>
    <xdr:sp macro="" textlink="">
      <xdr:nvSpPr>
        <xdr:cNvPr id="5501615" name="Line 280">
          <a:extLst>
            <a:ext uri="{FF2B5EF4-FFF2-40B4-BE49-F238E27FC236}">
              <a16:creationId xmlns:a16="http://schemas.microsoft.com/office/drawing/2014/main" id="{00000000-0008-0000-0700-0000AFF25300}"/>
            </a:ext>
          </a:extLst>
        </xdr:cNvPr>
        <xdr:cNvSpPr>
          <a:spLocks noChangeShapeType="1"/>
        </xdr:cNvSpPr>
      </xdr:nvSpPr>
      <xdr:spPr bwMode="auto">
        <a:xfrm flipV="1">
          <a:off x="4756150" y="16617950"/>
          <a:ext cx="952500" cy="0"/>
        </a:xfrm>
        <a:prstGeom prst="line">
          <a:avLst/>
        </a:prstGeom>
        <a:noFill/>
        <a:ln w="6350">
          <a:solidFill>
            <a:srgbClr val="000000"/>
          </a:solidFill>
          <a:round/>
          <a:headEnd/>
          <a:tailEnd/>
        </a:ln>
      </xdr:spPr>
    </xdr:sp>
    <xdr:clientData/>
  </xdr:twoCellAnchor>
  <xdr:twoCellAnchor>
    <xdr:from>
      <xdr:col>6</xdr:col>
      <xdr:colOff>476250</xdr:colOff>
      <xdr:row>93</xdr:row>
      <xdr:rowOff>76200</xdr:rowOff>
    </xdr:from>
    <xdr:to>
      <xdr:col>6</xdr:col>
      <xdr:colOff>476250</xdr:colOff>
      <xdr:row>100</xdr:row>
      <xdr:rowOff>0</xdr:rowOff>
    </xdr:to>
    <xdr:sp macro="" textlink="">
      <xdr:nvSpPr>
        <xdr:cNvPr id="5501616" name="Line 281">
          <a:extLst>
            <a:ext uri="{FF2B5EF4-FFF2-40B4-BE49-F238E27FC236}">
              <a16:creationId xmlns:a16="http://schemas.microsoft.com/office/drawing/2014/main" id="{00000000-0008-0000-0700-0000B0F25300}"/>
            </a:ext>
          </a:extLst>
        </xdr:cNvPr>
        <xdr:cNvSpPr>
          <a:spLocks noChangeShapeType="1"/>
        </xdr:cNvSpPr>
      </xdr:nvSpPr>
      <xdr:spPr bwMode="auto">
        <a:xfrm>
          <a:off x="4756150" y="15570200"/>
          <a:ext cx="0" cy="1066800"/>
        </a:xfrm>
        <a:prstGeom prst="line">
          <a:avLst/>
        </a:prstGeom>
        <a:noFill/>
        <a:ln w="6350">
          <a:solidFill>
            <a:srgbClr val="000000"/>
          </a:solidFill>
          <a:round/>
          <a:headEnd type="triangle" w="sm" len="lg"/>
          <a:tailEnd type="triangle" w="sm" len="lg"/>
        </a:ln>
      </xdr:spPr>
    </xdr:sp>
    <xdr:clientData/>
  </xdr:twoCellAnchor>
  <xdr:twoCellAnchor>
    <xdr:from>
      <xdr:col>8</xdr:col>
      <xdr:colOff>488950</xdr:colOff>
      <xdr:row>98</xdr:row>
      <xdr:rowOff>133350</xdr:rowOff>
    </xdr:from>
    <xdr:to>
      <xdr:col>8</xdr:col>
      <xdr:colOff>488950</xdr:colOff>
      <xdr:row>102</xdr:row>
      <xdr:rowOff>95250</xdr:rowOff>
    </xdr:to>
    <xdr:sp macro="" textlink="">
      <xdr:nvSpPr>
        <xdr:cNvPr id="5501617" name="Line 282">
          <a:extLst>
            <a:ext uri="{FF2B5EF4-FFF2-40B4-BE49-F238E27FC236}">
              <a16:creationId xmlns:a16="http://schemas.microsoft.com/office/drawing/2014/main" id="{00000000-0008-0000-0700-0000B1F25300}"/>
            </a:ext>
          </a:extLst>
        </xdr:cNvPr>
        <xdr:cNvSpPr>
          <a:spLocks noChangeShapeType="1"/>
        </xdr:cNvSpPr>
      </xdr:nvSpPr>
      <xdr:spPr bwMode="auto">
        <a:xfrm>
          <a:off x="7080250" y="16440150"/>
          <a:ext cx="0" cy="628650"/>
        </a:xfrm>
        <a:prstGeom prst="line">
          <a:avLst/>
        </a:prstGeom>
        <a:noFill/>
        <a:ln w="6350">
          <a:solidFill>
            <a:srgbClr val="000000"/>
          </a:solidFill>
          <a:round/>
          <a:headEnd type="triangle" w="sm" len="lg"/>
          <a:tailEnd type="triangle" w="sm" len="lg"/>
        </a:ln>
      </xdr:spPr>
    </xdr:sp>
    <xdr:clientData/>
  </xdr:twoCellAnchor>
  <xdr:twoCellAnchor>
    <xdr:from>
      <xdr:col>8</xdr:col>
      <xdr:colOff>488950</xdr:colOff>
      <xdr:row>93</xdr:row>
      <xdr:rowOff>63500</xdr:rowOff>
    </xdr:from>
    <xdr:to>
      <xdr:col>8</xdr:col>
      <xdr:colOff>488950</xdr:colOff>
      <xdr:row>98</xdr:row>
      <xdr:rowOff>133350</xdr:rowOff>
    </xdr:to>
    <xdr:sp macro="" textlink="">
      <xdr:nvSpPr>
        <xdr:cNvPr id="5501618" name="Line 283">
          <a:extLst>
            <a:ext uri="{FF2B5EF4-FFF2-40B4-BE49-F238E27FC236}">
              <a16:creationId xmlns:a16="http://schemas.microsoft.com/office/drawing/2014/main" id="{00000000-0008-0000-0700-0000B2F25300}"/>
            </a:ext>
          </a:extLst>
        </xdr:cNvPr>
        <xdr:cNvSpPr>
          <a:spLocks noChangeShapeType="1"/>
        </xdr:cNvSpPr>
      </xdr:nvSpPr>
      <xdr:spPr bwMode="auto">
        <a:xfrm>
          <a:off x="7080250" y="15557500"/>
          <a:ext cx="0" cy="882650"/>
        </a:xfrm>
        <a:prstGeom prst="line">
          <a:avLst/>
        </a:prstGeom>
        <a:noFill/>
        <a:ln w="6350">
          <a:solidFill>
            <a:srgbClr val="000000"/>
          </a:solidFill>
          <a:round/>
          <a:headEnd type="triangle" w="sm" len="lg"/>
          <a:tailEnd type="triangle" w="sm" len="lg"/>
        </a:ln>
      </xdr:spPr>
    </xdr:sp>
    <xdr:clientData/>
  </xdr:twoCellAnchor>
  <xdr:twoCellAnchor>
    <xdr:from>
      <xdr:col>8</xdr:col>
      <xdr:colOff>0</xdr:colOff>
      <xdr:row>102</xdr:row>
      <xdr:rowOff>95250</xdr:rowOff>
    </xdr:from>
    <xdr:to>
      <xdr:col>8</xdr:col>
      <xdr:colOff>0</xdr:colOff>
      <xdr:row>103</xdr:row>
      <xdr:rowOff>0</xdr:rowOff>
    </xdr:to>
    <xdr:sp macro="" textlink="">
      <xdr:nvSpPr>
        <xdr:cNvPr id="5501619" name="Line 284">
          <a:extLst>
            <a:ext uri="{FF2B5EF4-FFF2-40B4-BE49-F238E27FC236}">
              <a16:creationId xmlns:a16="http://schemas.microsoft.com/office/drawing/2014/main" id="{00000000-0008-0000-0700-0000B3F25300}"/>
            </a:ext>
          </a:extLst>
        </xdr:cNvPr>
        <xdr:cNvSpPr>
          <a:spLocks noChangeShapeType="1"/>
        </xdr:cNvSpPr>
      </xdr:nvSpPr>
      <xdr:spPr bwMode="auto">
        <a:xfrm flipV="1">
          <a:off x="6610350" y="17068800"/>
          <a:ext cx="0" cy="69850"/>
        </a:xfrm>
        <a:prstGeom prst="line">
          <a:avLst/>
        </a:prstGeom>
        <a:noFill/>
        <a:ln w="6350">
          <a:solidFill>
            <a:srgbClr val="000000"/>
          </a:solidFill>
          <a:round/>
          <a:headEnd/>
          <a:tailEnd/>
        </a:ln>
      </xdr:spPr>
    </xdr:sp>
    <xdr:clientData/>
  </xdr:twoCellAnchor>
  <xdr:twoCellAnchor>
    <xdr:from>
      <xdr:col>6</xdr:col>
      <xdr:colOff>1428750</xdr:colOff>
      <xdr:row>99</xdr:row>
      <xdr:rowOff>139700</xdr:rowOff>
    </xdr:from>
    <xdr:to>
      <xdr:col>6</xdr:col>
      <xdr:colOff>1428750</xdr:colOff>
      <xdr:row>103</xdr:row>
      <xdr:rowOff>0</xdr:rowOff>
    </xdr:to>
    <xdr:sp macro="" textlink="">
      <xdr:nvSpPr>
        <xdr:cNvPr id="5501620" name="Line 285">
          <a:extLst>
            <a:ext uri="{FF2B5EF4-FFF2-40B4-BE49-F238E27FC236}">
              <a16:creationId xmlns:a16="http://schemas.microsoft.com/office/drawing/2014/main" id="{00000000-0008-0000-0700-0000B4F25300}"/>
            </a:ext>
          </a:extLst>
        </xdr:cNvPr>
        <xdr:cNvSpPr>
          <a:spLocks noChangeShapeType="1"/>
        </xdr:cNvSpPr>
      </xdr:nvSpPr>
      <xdr:spPr bwMode="auto">
        <a:xfrm flipH="1" flipV="1">
          <a:off x="5708650" y="16605250"/>
          <a:ext cx="0" cy="533400"/>
        </a:xfrm>
        <a:prstGeom prst="line">
          <a:avLst/>
        </a:prstGeom>
        <a:noFill/>
        <a:ln w="6350">
          <a:solidFill>
            <a:srgbClr val="000000"/>
          </a:solidFill>
          <a:round/>
          <a:headEnd/>
          <a:tailEnd/>
        </a:ln>
      </xdr:spPr>
    </xdr:sp>
    <xdr:clientData/>
  </xdr:twoCellAnchor>
  <xdr:twoCellAnchor>
    <xdr:from>
      <xdr:col>6</xdr:col>
      <xdr:colOff>1422400</xdr:colOff>
      <xdr:row>103</xdr:row>
      <xdr:rowOff>0</xdr:rowOff>
    </xdr:from>
    <xdr:to>
      <xdr:col>8</xdr:col>
      <xdr:colOff>0</xdr:colOff>
      <xdr:row>103</xdr:row>
      <xdr:rowOff>0</xdr:rowOff>
    </xdr:to>
    <xdr:sp macro="" textlink="">
      <xdr:nvSpPr>
        <xdr:cNvPr id="5501621" name="Line 286">
          <a:extLst>
            <a:ext uri="{FF2B5EF4-FFF2-40B4-BE49-F238E27FC236}">
              <a16:creationId xmlns:a16="http://schemas.microsoft.com/office/drawing/2014/main" id="{00000000-0008-0000-0700-0000B5F25300}"/>
            </a:ext>
          </a:extLst>
        </xdr:cNvPr>
        <xdr:cNvSpPr>
          <a:spLocks noChangeShapeType="1"/>
        </xdr:cNvSpPr>
      </xdr:nvSpPr>
      <xdr:spPr bwMode="auto">
        <a:xfrm>
          <a:off x="5702300" y="17138650"/>
          <a:ext cx="908050" cy="0"/>
        </a:xfrm>
        <a:prstGeom prst="line">
          <a:avLst/>
        </a:prstGeom>
        <a:noFill/>
        <a:ln w="6350">
          <a:solidFill>
            <a:srgbClr val="000000"/>
          </a:solidFill>
          <a:round/>
          <a:headEnd type="triangle" w="sm" len="lg"/>
          <a:tailEnd type="triangle" w="sm" len="lg"/>
        </a:ln>
      </xdr:spPr>
    </xdr:sp>
    <xdr:clientData/>
  </xdr:twoCellAnchor>
  <xdr:twoCellAnchor>
    <xdr:from>
      <xdr:col>6</xdr:col>
      <xdr:colOff>685800</xdr:colOff>
      <xdr:row>89</xdr:row>
      <xdr:rowOff>69850</xdr:rowOff>
    </xdr:from>
    <xdr:to>
      <xdr:col>6</xdr:col>
      <xdr:colOff>1695450</xdr:colOff>
      <xdr:row>89</xdr:row>
      <xdr:rowOff>69850</xdr:rowOff>
    </xdr:to>
    <xdr:sp macro="" textlink="">
      <xdr:nvSpPr>
        <xdr:cNvPr id="5501622" name="Line 287">
          <a:extLst>
            <a:ext uri="{FF2B5EF4-FFF2-40B4-BE49-F238E27FC236}">
              <a16:creationId xmlns:a16="http://schemas.microsoft.com/office/drawing/2014/main" id="{00000000-0008-0000-0700-0000B6F25300}"/>
            </a:ext>
          </a:extLst>
        </xdr:cNvPr>
        <xdr:cNvSpPr>
          <a:spLocks noChangeShapeType="1"/>
        </xdr:cNvSpPr>
      </xdr:nvSpPr>
      <xdr:spPr bwMode="auto">
        <a:xfrm>
          <a:off x="4965700" y="14916150"/>
          <a:ext cx="1009650" cy="0"/>
        </a:xfrm>
        <a:prstGeom prst="line">
          <a:avLst/>
        </a:prstGeom>
        <a:noFill/>
        <a:ln w="3175">
          <a:solidFill>
            <a:srgbClr val="92D050"/>
          </a:solidFill>
          <a:prstDash val="sysDot"/>
          <a:round/>
          <a:headEnd type="triangle" w="sm" len="sm"/>
          <a:tailEnd type="triangle" w="sm" len="sm"/>
        </a:ln>
      </xdr:spPr>
    </xdr:sp>
    <xdr:clientData/>
  </xdr:twoCellAnchor>
  <xdr:twoCellAnchor>
    <xdr:from>
      <xdr:col>6</xdr:col>
      <xdr:colOff>990600</xdr:colOff>
      <xdr:row>93</xdr:row>
      <xdr:rowOff>25400</xdr:rowOff>
    </xdr:from>
    <xdr:to>
      <xdr:col>6</xdr:col>
      <xdr:colOff>1397000</xdr:colOff>
      <xdr:row>93</xdr:row>
      <xdr:rowOff>25400</xdr:rowOff>
    </xdr:to>
    <xdr:sp macro="" textlink="">
      <xdr:nvSpPr>
        <xdr:cNvPr id="5501623" name="Line 288">
          <a:extLst>
            <a:ext uri="{FF2B5EF4-FFF2-40B4-BE49-F238E27FC236}">
              <a16:creationId xmlns:a16="http://schemas.microsoft.com/office/drawing/2014/main" id="{00000000-0008-0000-0700-0000B7F25300}"/>
            </a:ext>
          </a:extLst>
        </xdr:cNvPr>
        <xdr:cNvSpPr>
          <a:spLocks noChangeShapeType="1"/>
        </xdr:cNvSpPr>
      </xdr:nvSpPr>
      <xdr:spPr bwMode="auto">
        <a:xfrm>
          <a:off x="5270500" y="15519400"/>
          <a:ext cx="406400" cy="0"/>
        </a:xfrm>
        <a:prstGeom prst="line">
          <a:avLst/>
        </a:prstGeom>
        <a:noFill/>
        <a:ln w="3175">
          <a:solidFill>
            <a:srgbClr val="92D050"/>
          </a:solidFill>
          <a:prstDash val="sysDot"/>
          <a:round/>
          <a:headEnd type="triangle" w="sm" len="sm"/>
          <a:tailEnd type="triangle" w="sm" len="sm"/>
        </a:ln>
      </xdr:spPr>
    </xdr:sp>
    <xdr:clientData/>
  </xdr:twoCellAnchor>
  <xdr:twoCellAnchor>
    <xdr:from>
      <xdr:col>6</xdr:col>
      <xdr:colOff>850900</xdr:colOff>
      <xdr:row>87</xdr:row>
      <xdr:rowOff>57150</xdr:rowOff>
    </xdr:from>
    <xdr:to>
      <xdr:col>8</xdr:col>
      <xdr:colOff>44450</xdr:colOff>
      <xdr:row>87</xdr:row>
      <xdr:rowOff>57150</xdr:rowOff>
    </xdr:to>
    <xdr:sp macro="" textlink="">
      <xdr:nvSpPr>
        <xdr:cNvPr id="5501624" name="Line 289">
          <a:extLst>
            <a:ext uri="{FF2B5EF4-FFF2-40B4-BE49-F238E27FC236}">
              <a16:creationId xmlns:a16="http://schemas.microsoft.com/office/drawing/2014/main" id="{00000000-0008-0000-0700-0000B8F25300}"/>
            </a:ext>
          </a:extLst>
        </xdr:cNvPr>
        <xdr:cNvSpPr>
          <a:spLocks noChangeShapeType="1"/>
        </xdr:cNvSpPr>
      </xdr:nvSpPr>
      <xdr:spPr bwMode="auto">
        <a:xfrm>
          <a:off x="5130800" y="14579600"/>
          <a:ext cx="1524000" cy="0"/>
        </a:xfrm>
        <a:prstGeom prst="line">
          <a:avLst/>
        </a:prstGeom>
        <a:noFill/>
        <a:ln w="6350">
          <a:solidFill>
            <a:srgbClr val="92D050"/>
          </a:solidFill>
          <a:round/>
          <a:headEnd/>
          <a:tailEnd/>
        </a:ln>
      </xdr:spPr>
    </xdr:sp>
    <xdr:clientData/>
  </xdr:twoCellAnchor>
  <xdr:twoCellAnchor>
    <xdr:from>
      <xdr:col>6</xdr:col>
      <xdr:colOff>698500</xdr:colOff>
      <xdr:row>88</xdr:row>
      <xdr:rowOff>57150</xdr:rowOff>
    </xdr:from>
    <xdr:to>
      <xdr:col>8</xdr:col>
      <xdr:colOff>57150</xdr:colOff>
      <xdr:row>88</xdr:row>
      <xdr:rowOff>57150</xdr:rowOff>
    </xdr:to>
    <xdr:sp macro="" textlink="">
      <xdr:nvSpPr>
        <xdr:cNvPr id="5501625" name="Line 290">
          <a:extLst>
            <a:ext uri="{FF2B5EF4-FFF2-40B4-BE49-F238E27FC236}">
              <a16:creationId xmlns:a16="http://schemas.microsoft.com/office/drawing/2014/main" id="{00000000-0008-0000-0700-0000B9F25300}"/>
            </a:ext>
          </a:extLst>
        </xdr:cNvPr>
        <xdr:cNvSpPr>
          <a:spLocks noChangeShapeType="1"/>
        </xdr:cNvSpPr>
      </xdr:nvSpPr>
      <xdr:spPr bwMode="auto">
        <a:xfrm>
          <a:off x="4978400" y="14738350"/>
          <a:ext cx="1689100" cy="0"/>
        </a:xfrm>
        <a:prstGeom prst="line">
          <a:avLst/>
        </a:prstGeom>
        <a:noFill/>
        <a:ln w="6350">
          <a:solidFill>
            <a:srgbClr val="92D050"/>
          </a:solidFill>
          <a:round/>
          <a:headEnd/>
          <a:tailEnd/>
        </a:ln>
      </xdr:spPr>
    </xdr:sp>
    <xdr:clientData/>
  </xdr:twoCellAnchor>
  <xdr:twoCellAnchor>
    <xdr:from>
      <xdr:col>6</xdr:col>
      <xdr:colOff>698500</xdr:colOff>
      <xdr:row>90</xdr:row>
      <xdr:rowOff>139700</xdr:rowOff>
    </xdr:from>
    <xdr:to>
      <xdr:col>8</xdr:col>
      <xdr:colOff>69850</xdr:colOff>
      <xdr:row>90</xdr:row>
      <xdr:rowOff>139700</xdr:rowOff>
    </xdr:to>
    <xdr:sp macro="" textlink="">
      <xdr:nvSpPr>
        <xdr:cNvPr id="5501626" name="Line 291">
          <a:extLst>
            <a:ext uri="{FF2B5EF4-FFF2-40B4-BE49-F238E27FC236}">
              <a16:creationId xmlns:a16="http://schemas.microsoft.com/office/drawing/2014/main" id="{00000000-0008-0000-0700-0000BAF25300}"/>
            </a:ext>
          </a:extLst>
        </xdr:cNvPr>
        <xdr:cNvSpPr>
          <a:spLocks noChangeShapeType="1"/>
        </xdr:cNvSpPr>
      </xdr:nvSpPr>
      <xdr:spPr bwMode="auto">
        <a:xfrm>
          <a:off x="4978400" y="15157450"/>
          <a:ext cx="1701800" cy="0"/>
        </a:xfrm>
        <a:prstGeom prst="line">
          <a:avLst/>
        </a:prstGeom>
        <a:noFill/>
        <a:ln w="6350">
          <a:solidFill>
            <a:srgbClr val="92D050"/>
          </a:solidFill>
          <a:round/>
          <a:headEnd/>
          <a:tailEnd/>
        </a:ln>
      </xdr:spPr>
    </xdr:sp>
    <xdr:clientData/>
  </xdr:twoCellAnchor>
  <xdr:twoCellAnchor>
    <xdr:from>
      <xdr:col>6</xdr:col>
      <xdr:colOff>977900</xdr:colOff>
      <xdr:row>92</xdr:row>
      <xdr:rowOff>44450</xdr:rowOff>
    </xdr:from>
    <xdr:to>
      <xdr:col>8</xdr:col>
      <xdr:colOff>44450</xdr:colOff>
      <xdr:row>92</xdr:row>
      <xdr:rowOff>44450</xdr:rowOff>
    </xdr:to>
    <xdr:sp macro="" textlink="">
      <xdr:nvSpPr>
        <xdr:cNvPr id="5501627" name="Line 292">
          <a:extLst>
            <a:ext uri="{FF2B5EF4-FFF2-40B4-BE49-F238E27FC236}">
              <a16:creationId xmlns:a16="http://schemas.microsoft.com/office/drawing/2014/main" id="{00000000-0008-0000-0700-0000BBF25300}"/>
            </a:ext>
          </a:extLst>
        </xdr:cNvPr>
        <xdr:cNvSpPr>
          <a:spLocks noChangeShapeType="1"/>
        </xdr:cNvSpPr>
      </xdr:nvSpPr>
      <xdr:spPr bwMode="auto">
        <a:xfrm>
          <a:off x="5257800" y="15379700"/>
          <a:ext cx="1397000" cy="0"/>
        </a:xfrm>
        <a:prstGeom prst="line">
          <a:avLst/>
        </a:prstGeom>
        <a:noFill/>
        <a:ln w="6350">
          <a:solidFill>
            <a:srgbClr val="92D050"/>
          </a:solidFill>
          <a:round/>
          <a:headEnd/>
          <a:tailEnd/>
        </a:ln>
      </xdr:spPr>
    </xdr:sp>
    <xdr:clientData/>
  </xdr:twoCellAnchor>
  <xdr:twoCellAnchor>
    <xdr:from>
      <xdr:col>6</xdr:col>
      <xdr:colOff>1790700</xdr:colOff>
      <xdr:row>80</xdr:row>
      <xdr:rowOff>0</xdr:rowOff>
    </xdr:from>
    <xdr:to>
      <xdr:col>6</xdr:col>
      <xdr:colOff>1790700</xdr:colOff>
      <xdr:row>87</xdr:row>
      <xdr:rowOff>63500</xdr:rowOff>
    </xdr:to>
    <xdr:sp macro="" textlink="">
      <xdr:nvSpPr>
        <xdr:cNvPr id="5501628" name="Line 293">
          <a:extLst>
            <a:ext uri="{FF2B5EF4-FFF2-40B4-BE49-F238E27FC236}">
              <a16:creationId xmlns:a16="http://schemas.microsoft.com/office/drawing/2014/main" id="{00000000-0008-0000-0700-0000BCF25300}"/>
            </a:ext>
          </a:extLst>
        </xdr:cNvPr>
        <xdr:cNvSpPr>
          <a:spLocks noChangeShapeType="1"/>
        </xdr:cNvSpPr>
      </xdr:nvSpPr>
      <xdr:spPr bwMode="auto">
        <a:xfrm>
          <a:off x="6070600" y="13354050"/>
          <a:ext cx="0" cy="1231900"/>
        </a:xfrm>
        <a:prstGeom prst="line">
          <a:avLst/>
        </a:prstGeom>
        <a:noFill/>
        <a:ln w="9525">
          <a:solidFill>
            <a:srgbClr val="92D050"/>
          </a:solidFill>
          <a:prstDash val="sysDot"/>
          <a:round/>
          <a:headEnd type="triangle" w="sm" len="sm"/>
          <a:tailEnd type="triangle" w="sm" len="sm"/>
        </a:ln>
      </xdr:spPr>
    </xdr:sp>
    <xdr:clientData/>
  </xdr:twoCellAnchor>
  <xdr:twoCellAnchor>
    <xdr:from>
      <xdr:col>7</xdr:col>
      <xdr:colOff>190500</xdr:colOff>
      <xdr:row>80</xdr:row>
      <xdr:rowOff>0</xdr:rowOff>
    </xdr:from>
    <xdr:to>
      <xdr:col>7</xdr:col>
      <xdr:colOff>190500</xdr:colOff>
      <xdr:row>90</xdr:row>
      <xdr:rowOff>133350</xdr:rowOff>
    </xdr:to>
    <xdr:sp macro="" textlink="">
      <xdr:nvSpPr>
        <xdr:cNvPr id="5501629" name="Line 294">
          <a:extLst>
            <a:ext uri="{FF2B5EF4-FFF2-40B4-BE49-F238E27FC236}">
              <a16:creationId xmlns:a16="http://schemas.microsoft.com/office/drawing/2014/main" id="{00000000-0008-0000-0700-0000BDF25300}"/>
            </a:ext>
          </a:extLst>
        </xdr:cNvPr>
        <xdr:cNvSpPr>
          <a:spLocks noChangeShapeType="1"/>
        </xdr:cNvSpPr>
      </xdr:nvSpPr>
      <xdr:spPr bwMode="auto">
        <a:xfrm>
          <a:off x="6330950" y="13354050"/>
          <a:ext cx="0" cy="1797050"/>
        </a:xfrm>
        <a:prstGeom prst="line">
          <a:avLst/>
        </a:prstGeom>
        <a:noFill/>
        <a:ln w="9525">
          <a:solidFill>
            <a:srgbClr val="92D050"/>
          </a:solidFill>
          <a:prstDash val="sysDot"/>
          <a:round/>
          <a:headEnd type="triangle" w="sm" len="sm"/>
          <a:tailEnd type="triangle" w="sm" len="sm"/>
        </a:ln>
      </xdr:spPr>
    </xdr:sp>
    <xdr:clientData/>
  </xdr:twoCellAnchor>
  <xdr:twoCellAnchor>
    <xdr:from>
      <xdr:col>8</xdr:col>
      <xdr:colOff>44450</xdr:colOff>
      <xdr:row>87</xdr:row>
      <xdr:rowOff>57150</xdr:rowOff>
    </xdr:from>
    <xdr:to>
      <xdr:col>8</xdr:col>
      <xdr:colOff>44450</xdr:colOff>
      <xdr:row>88</xdr:row>
      <xdr:rowOff>57150</xdr:rowOff>
    </xdr:to>
    <xdr:sp macro="" textlink="">
      <xdr:nvSpPr>
        <xdr:cNvPr id="5501630" name="Line 295">
          <a:extLst>
            <a:ext uri="{FF2B5EF4-FFF2-40B4-BE49-F238E27FC236}">
              <a16:creationId xmlns:a16="http://schemas.microsoft.com/office/drawing/2014/main" id="{00000000-0008-0000-0700-0000BEF25300}"/>
            </a:ext>
          </a:extLst>
        </xdr:cNvPr>
        <xdr:cNvSpPr>
          <a:spLocks noChangeShapeType="1"/>
        </xdr:cNvSpPr>
      </xdr:nvSpPr>
      <xdr:spPr bwMode="auto">
        <a:xfrm>
          <a:off x="6654800" y="14579600"/>
          <a:ext cx="0" cy="158750"/>
        </a:xfrm>
        <a:prstGeom prst="line">
          <a:avLst/>
        </a:prstGeom>
        <a:noFill/>
        <a:ln w="3175">
          <a:solidFill>
            <a:srgbClr val="92D050"/>
          </a:solidFill>
          <a:prstDash val="sysDot"/>
          <a:round/>
          <a:headEnd type="triangle" w="sm" len="sm"/>
          <a:tailEnd type="triangle" w="sm" len="sm"/>
        </a:ln>
      </xdr:spPr>
    </xdr:sp>
    <xdr:clientData/>
  </xdr:twoCellAnchor>
  <xdr:twoCellAnchor>
    <xdr:from>
      <xdr:col>8</xdr:col>
      <xdr:colOff>44450</xdr:colOff>
      <xdr:row>90</xdr:row>
      <xdr:rowOff>139700</xdr:rowOff>
    </xdr:from>
    <xdr:to>
      <xdr:col>8</xdr:col>
      <xdr:colOff>44450</xdr:colOff>
      <xdr:row>92</xdr:row>
      <xdr:rowOff>44450</xdr:rowOff>
    </xdr:to>
    <xdr:sp macro="" textlink="">
      <xdr:nvSpPr>
        <xdr:cNvPr id="5501631" name="Line 296">
          <a:extLst>
            <a:ext uri="{FF2B5EF4-FFF2-40B4-BE49-F238E27FC236}">
              <a16:creationId xmlns:a16="http://schemas.microsoft.com/office/drawing/2014/main" id="{00000000-0008-0000-0700-0000BFF25300}"/>
            </a:ext>
          </a:extLst>
        </xdr:cNvPr>
        <xdr:cNvSpPr>
          <a:spLocks noChangeShapeType="1"/>
        </xdr:cNvSpPr>
      </xdr:nvSpPr>
      <xdr:spPr bwMode="auto">
        <a:xfrm>
          <a:off x="6654800" y="15157450"/>
          <a:ext cx="0" cy="222250"/>
        </a:xfrm>
        <a:prstGeom prst="line">
          <a:avLst/>
        </a:prstGeom>
        <a:noFill/>
        <a:ln w="9525">
          <a:solidFill>
            <a:srgbClr val="92D050"/>
          </a:solidFill>
          <a:prstDash val="sysDot"/>
          <a:round/>
          <a:headEnd type="triangle" w="sm" len="sm"/>
          <a:tailEnd type="triangle" w="sm" len="sm"/>
        </a:ln>
      </xdr:spPr>
    </xdr:sp>
    <xdr:clientData/>
  </xdr:twoCellAnchor>
  <xdr:twoCellAnchor>
    <xdr:from>
      <xdr:col>6</xdr:col>
      <xdr:colOff>0</xdr:colOff>
      <xdr:row>84</xdr:row>
      <xdr:rowOff>101600</xdr:rowOff>
    </xdr:from>
    <xdr:to>
      <xdr:col>6</xdr:col>
      <xdr:colOff>838200</xdr:colOff>
      <xdr:row>84</xdr:row>
      <xdr:rowOff>101600</xdr:rowOff>
    </xdr:to>
    <xdr:sp macro="" textlink="">
      <xdr:nvSpPr>
        <xdr:cNvPr id="5501632" name="Line 297">
          <a:extLst>
            <a:ext uri="{FF2B5EF4-FFF2-40B4-BE49-F238E27FC236}">
              <a16:creationId xmlns:a16="http://schemas.microsoft.com/office/drawing/2014/main" id="{00000000-0008-0000-0700-0000C0F25300}"/>
            </a:ext>
          </a:extLst>
        </xdr:cNvPr>
        <xdr:cNvSpPr>
          <a:spLocks noChangeShapeType="1"/>
        </xdr:cNvSpPr>
      </xdr:nvSpPr>
      <xdr:spPr bwMode="auto">
        <a:xfrm>
          <a:off x="4279900" y="14128750"/>
          <a:ext cx="838200" cy="0"/>
        </a:xfrm>
        <a:prstGeom prst="line">
          <a:avLst/>
        </a:prstGeom>
        <a:noFill/>
        <a:ln w="9525">
          <a:solidFill>
            <a:srgbClr val="000000"/>
          </a:solidFill>
          <a:round/>
          <a:headEnd/>
          <a:tailEnd/>
        </a:ln>
      </xdr:spPr>
    </xdr:sp>
    <xdr:clientData/>
  </xdr:twoCellAnchor>
  <xdr:twoCellAnchor>
    <xdr:from>
      <xdr:col>6</xdr:col>
      <xdr:colOff>0</xdr:colOff>
      <xdr:row>89</xdr:row>
      <xdr:rowOff>69850</xdr:rowOff>
    </xdr:from>
    <xdr:to>
      <xdr:col>6</xdr:col>
      <xdr:colOff>685800</xdr:colOff>
      <xdr:row>89</xdr:row>
      <xdr:rowOff>69850</xdr:rowOff>
    </xdr:to>
    <xdr:sp macro="" textlink="">
      <xdr:nvSpPr>
        <xdr:cNvPr id="5501633" name="Line 298">
          <a:extLst>
            <a:ext uri="{FF2B5EF4-FFF2-40B4-BE49-F238E27FC236}">
              <a16:creationId xmlns:a16="http://schemas.microsoft.com/office/drawing/2014/main" id="{00000000-0008-0000-0700-0000C1F25300}"/>
            </a:ext>
          </a:extLst>
        </xdr:cNvPr>
        <xdr:cNvSpPr>
          <a:spLocks noChangeShapeType="1"/>
        </xdr:cNvSpPr>
      </xdr:nvSpPr>
      <xdr:spPr bwMode="auto">
        <a:xfrm>
          <a:off x="4279900" y="14916150"/>
          <a:ext cx="685800" cy="0"/>
        </a:xfrm>
        <a:prstGeom prst="line">
          <a:avLst/>
        </a:prstGeom>
        <a:noFill/>
        <a:ln w="9525">
          <a:solidFill>
            <a:srgbClr val="92D050"/>
          </a:solidFill>
          <a:round/>
          <a:headEnd/>
          <a:tailEnd/>
        </a:ln>
      </xdr:spPr>
    </xdr:sp>
    <xdr:clientData/>
  </xdr:twoCellAnchor>
  <xdr:twoCellAnchor>
    <xdr:from>
      <xdr:col>6</xdr:col>
      <xdr:colOff>0</xdr:colOff>
      <xdr:row>93</xdr:row>
      <xdr:rowOff>25400</xdr:rowOff>
    </xdr:from>
    <xdr:to>
      <xdr:col>6</xdr:col>
      <xdr:colOff>971550</xdr:colOff>
      <xdr:row>93</xdr:row>
      <xdr:rowOff>25400</xdr:rowOff>
    </xdr:to>
    <xdr:sp macro="" textlink="">
      <xdr:nvSpPr>
        <xdr:cNvPr id="5501634" name="Line 299">
          <a:extLst>
            <a:ext uri="{FF2B5EF4-FFF2-40B4-BE49-F238E27FC236}">
              <a16:creationId xmlns:a16="http://schemas.microsoft.com/office/drawing/2014/main" id="{00000000-0008-0000-0700-0000C2F25300}"/>
            </a:ext>
          </a:extLst>
        </xdr:cNvPr>
        <xdr:cNvSpPr>
          <a:spLocks noChangeShapeType="1"/>
        </xdr:cNvSpPr>
      </xdr:nvSpPr>
      <xdr:spPr bwMode="auto">
        <a:xfrm>
          <a:off x="4279900" y="15519400"/>
          <a:ext cx="971550" cy="0"/>
        </a:xfrm>
        <a:prstGeom prst="line">
          <a:avLst/>
        </a:prstGeom>
        <a:noFill/>
        <a:ln w="9525">
          <a:solidFill>
            <a:srgbClr val="92D050"/>
          </a:solidFill>
          <a:round/>
          <a:headEnd/>
          <a:tailEnd/>
        </a:ln>
      </xdr:spPr>
    </xdr:sp>
    <xdr:clientData/>
  </xdr:twoCellAnchor>
  <xdr:twoCellAnchor>
    <xdr:from>
      <xdr:col>6</xdr:col>
      <xdr:colOff>0</xdr:colOff>
      <xdr:row>96</xdr:row>
      <xdr:rowOff>76200</xdr:rowOff>
    </xdr:from>
    <xdr:to>
      <xdr:col>6</xdr:col>
      <xdr:colOff>476250</xdr:colOff>
      <xdr:row>96</xdr:row>
      <xdr:rowOff>76200</xdr:rowOff>
    </xdr:to>
    <xdr:sp macro="" textlink="">
      <xdr:nvSpPr>
        <xdr:cNvPr id="5501635" name="Line 300">
          <a:extLst>
            <a:ext uri="{FF2B5EF4-FFF2-40B4-BE49-F238E27FC236}">
              <a16:creationId xmlns:a16="http://schemas.microsoft.com/office/drawing/2014/main" id="{00000000-0008-0000-0700-0000C3F25300}"/>
            </a:ext>
          </a:extLst>
        </xdr:cNvPr>
        <xdr:cNvSpPr>
          <a:spLocks noChangeShapeType="1"/>
        </xdr:cNvSpPr>
      </xdr:nvSpPr>
      <xdr:spPr bwMode="auto">
        <a:xfrm>
          <a:off x="4279900" y="16052800"/>
          <a:ext cx="476250" cy="0"/>
        </a:xfrm>
        <a:prstGeom prst="line">
          <a:avLst/>
        </a:prstGeom>
        <a:noFill/>
        <a:ln w="9525">
          <a:solidFill>
            <a:srgbClr val="000000"/>
          </a:solidFill>
          <a:round/>
          <a:headEnd/>
          <a:tailEnd/>
        </a:ln>
      </xdr:spPr>
    </xdr:sp>
    <xdr:clientData/>
  </xdr:twoCellAnchor>
  <xdr:twoCellAnchor>
    <xdr:from>
      <xdr:col>7</xdr:col>
      <xdr:colOff>152400</xdr:colOff>
      <xdr:row>103</xdr:row>
      <xdr:rowOff>0</xdr:rowOff>
    </xdr:from>
    <xdr:to>
      <xdr:col>7</xdr:col>
      <xdr:colOff>152400</xdr:colOff>
      <xdr:row>104</xdr:row>
      <xdr:rowOff>12700</xdr:rowOff>
    </xdr:to>
    <xdr:sp macro="" textlink="">
      <xdr:nvSpPr>
        <xdr:cNvPr id="5501636" name="Line 301">
          <a:extLst>
            <a:ext uri="{FF2B5EF4-FFF2-40B4-BE49-F238E27FC236}">
              <a16:creationId xmlns:a16="http://schemas.microsoft.com/office/drawing/2014/main" id="{00000000-0008-0000-0700-0000C4F25300}"/>
            </a:ext>
          </a:extLst>
        </xdr:cNvPr>
        <xdr:cNvSpPr>
          <a:spLocks noChangeShapeType="1"/>
        </xdr:cNvSpPr>
      </xdr:nvSpPr>
      <xdr:spPr bwMode="auto">
        <a:xfrm>
          <a:off x="6292850" y="17138650"/>
          <a:ext cx="0" cy="184150"/>
        </a:xfrm>
        <a:prstGeom prst="line">
          <a:avLst/>
        </a:prstGeom>
        <a:noFill/>
        <a:ln w="9525">
          <a:solidFill>
            <a:srgbClr val="000000"/>
          </a:solidFill>
          <a:round/>
          <a:headEnd/>
          <a:tailEnd/>
        </a:ln>
      </xdr:spPr>
    </xdr:sp>
    <xdr:clientData/>
  </xdr:twoCellAnchor>
  <xdr:twoCellAnchor>
    <xdr:from>
      <xdr:col>6</xdr:col>
      <xdr:colOff>0</xdr:colOff>
      <xdr:row>81</xdr:row>
      <xdr:rowOff>76200</xdr:rowOff>
    </xdr:from>
    <xdr:to>
      <xdr:col>6</xdr:col>
      <xdr:colOff>152400</xdr:colOff>
      <xdr:row>81</xdr:row>
      <xdr:rowOff>76200</xdr:rowOff>
    </xdr:to>
    <xdr:sp macro="" textlink="">
      <xdr:nvSpPr>
        <xdr:cNvPr id="5501637" name="Line 302">
          <a:extLst>
            <a:ext uri="{FF2B5EF4-FFF2-40B4-BE49-F238E27FC236}">
              <a16:creationId xmlns:a16="http://schemas.microsoft.com/office/drawing/2014/main" id="{00000000-0008-0000-0700-0000C5F25300}"/>
            </a:ext>
          </a:extLst>
        </xdr:cNvPr>
        <xdr:cNvSpPr>
          <a:spLocks noChangeShapeType="1"/>
        </xdr:cNvSpPr>
      </xdr:nvSpPr>
      <xdr:spPr bwMode="auto">
        <a:xfrm>
          <a:off x="4279900" y="13601700"/>
          <a:ext cx="152400" cy="0"/>
        </a:xfrm>
        <a:prstGeom prst="line">
          <a:avLst/>
        </a:prstGeom>
        <a:noFill/>
        <a:ln w="9525">
          <a:solidFill>
            <a:srgbClr val="000000"/>
          </a:solidFill>
          <a:round/>
          <a:headEnd/>
          <a:tailEnd/>
        </a:ln>
      </xdr:spPr>
    </xdr:sp>
    <xdr:clientData/>
  </xdr:twoCellAnchor>
  <xdr:twoCellAnchor>
    <xdr:from>
      <xdr:col>6</xdr:col>
      <xdr:colOff>1778000</xdr:colOff>
      <xdr:row>83</xdr:row>
      <xdr:rowOff>82550</xdr:rowOff>
    </xdr:from>
    <xdr:to>
      <xdr:col>9</xdr:col>
      <xdr:colOff>0</xdr:colOff>
      <xdr:row>83</xdr:row>
      <xdr:rowOff>82550</xdr:rowOff>
    </xdr:to>
    <xdr:sp macro="" textlink="">
      <xdr:nvSpPr>
        <xdr:cNvPr id="5501638" name="Line 303">
          <a:extLst>
            <a:ext uri="{FF2B5EF4-FFF2-40B4-BE49-F238E27FC236}">
              <a16:creationId xmlns:a16="http://schemas.microsoft.com/office/drawing/2014/main" id="{00000000-0008-0000-0700-0000C6F25300}"/>
            </a:ext>
          </a:extLst>
        </xdr:cNvPr>
        <xdr:cNvSpPr>
          <a:spLocks noChangeShapeType="1"/>
        </xdr:cNvSpPr>
      </xdr:nvSpPr>
      <xdr:spPr bwMode="auto">
        <a:xfrm flipV="1">
          <a:off x="6057900" y="13944600"/>
          <a:ext cx="1022350" cy="0"/>
        </a:xfrm>
        <a:prstGeom prst="line">
          <a:avLst/>
        </a:prstGeom>
        <a:noFill/>
        <a:ln w="9525">
          <a:solidFill>
            <a:srgbClr val="92D050"/>
          </a:solidFill>
          <a:prstDash val="sysDot"/>
          <a:round/>
          <a:headEnd/>
          <a:tailEnd/>
        </a:ln>
      </xdr:spPr>
    </xdr:sp>
    <xdr:clientData/>
  </xdr:twoCellAnchor>
  <xdr:twoCellAnchor>
    <xdr:from>
      <xdr:col>7</xdr:col>
      <xdr:colOff>190500</xdr:colOff>
      <xdr:row>85</xdr:row>
      <xdr:rowOff>76200</xdr:rowOff>
    </xdr:from>
    <xdr:to>
      <xdr:col>9</xdr:col>
      <xdr:colOff>0</xdr:colOff>
      <xdr:row>85</xdr:row>
      <xdr:rowOff>76200</xdr:rowOff>
    </xdr:to>
    <xdr:sp macro="" textlink="">
      <xdr:nvSpPr>
        <xdr:cNvPr id="5501639" name="Line 304">
          <a:extLst>
            <a:ext uri="{FF2B5EF4-FFF2-40B4-BE49-F238E27FC236}">
              <a16:creationId xmlns:a16="http://schemas.microsoft.com/office/drawing/2014/main" id="{00000000-0008-0000-0700-0000C7F25300}"/>
            </a:ext>
          </a:extLst>
        </xdr:cNvPr>
        <xdr:cNvSpPr>
          <a:spLocks noChangeShapeType="1"/>
        </xdr:cNvSpPr>
      </xdr:nvSpPr>
      <xdr:spPr bwMode="auto">
        <a:xfrm flipV="1">
          <a:off x="6330950" y="14274800"/>
          <a:ext cx="749300" cy="0"/>
        </a:xfrm>
        <a:prstGeom prst="line">
          <a:avLst/>
        </a:prstGeom>
        <a:noFill/>
        <a:ln w="9525">
          <a:solidFill>
            <a:srgbClr val="92D050"/>
          </a:solidFill>
          <a:prstDash val="sysDot"/>
          <a:round/>
          <a:headEnd/>
          <a:tailEnd/>
        </a:ln>
      </xdr:spPr>
    </xdr:sp>
    <xdr:clientData/>
  </xdr:twoCellAnchor>
  <xdr:twoCellAnchor>
    <xdr:from>
      <xdr:col>8</xdr:col>
      <xdr:colOff>44450</xdr:colOff>
      <xdr:row>87</xdr:row>
      <xdr:rowOff>133350</xdr:rowOff>
    </xdr:from>
    <xdr:to>
      <xdr:col>9</xdr:col>
      <xdr:colOff>0</xdr:colOff>
      <xdr:row>87</xdr:row>
      <xdr:rowOff>133350</xdr:rowOff>
    </xdr:to>
    <xdr:sp macro="" textlink="">
      <xdr:nvSpPr>
        <xdr:cNvPr id="5501640" name="Line 305">
          <a:extLst>
            <a:ext uri="{FF2B5EF4-FFF2-40B4-BE49-F238E27FC236}">
              <a16:creationId xmlns:a16="http://schemas.microsoft.com/office/drawing/2014/main" id="{00000000-0008-0000-0700-0000C8F25300}"/>
            </a:ext>
          </a:extLst>
        </xdr:cNvPr>
        <xdr:cNvSpPr>
          <a:spLocks noChangeShapeType="1"/>
        </xdr:cNvSpPr>
      </xdr:nvSpPr>
      <xdr:spPr bwMode="auto">
        <a:xfrm flipV="1">
          <a:off x="6654800" y="14655800"/>
          <a:ext cx="425450" cy="0"/>
        </a:xfrm>
        <a:prstGeom prst="line">
          <a:avLst/>
        </a:prstGeom>
        <a:noFill/>
        <a:ln w="9525">
          <a:solidFill>
            <a:srgbClr val="92D050"/>
          </a:solidFill>
          <a:prstDash val="sysDot"/>
          <a:round/>
          <a:headEnd/>
          <a:tailEnd/>
        </a:ln>
      </xdr:spPr>
    </xdr:sp>
    <xdr:clientData/>
  </xdr:twoCellAnchor>
  <xdr:twoCellAnchor>
    <xdr:from>
      <xdr:col>8</xdr:col>
      <xdr:colOff>488950</xdr:colOff>
      <xdr:row>89</xdr:row>
      <xdr:rowOff>88900</xdr:rowOff>
    </xdr:from>
    <xdr:to>
      <xdr:col>9</xdr:col>
      <xdr:colOff>0</xdr:colOff>
      <xdr:row>89</xdr:row>
      <xdr:rowOff>88900</xdr:rowOff>
    </xdr:to>
    <xdr:sp macro="" textlink="">
      <xdr:nvSpPr>
        <xdr:cNvPr id="5501641" name="Line 307">
          <a:extLst>
            <a:ext uri="{FF2B5EF4-FFF2-40B4-BE49-F238E27FC236}">
              <a16:creationId xmlns:a16="http://schemas.microsoft.com/office/drawing/2014/main" id="{00000000-0008-0000-0700-0000C9F25300}"/>
            </a:ext>
          </a:extLst>
        </xdr:cNvPr>
        <xdr:cNvSpPr>
          <a:spLocks noChangeShapeType="1"/>
        </xdr:cNvSpPr>
      </xdr:nvSpPr>
      <xdr:spPr bwMode="auto">
        <a:xfrm flipV="1">
          <a:off x="7080250" y="14935200"/>
          <a:ext cx="0" cy="0"/>
        </a:xfrm>
        <a:prstGeom prst="line">
          <a:avLst/>
        </a:prstGeom>
        <a:noFill/>
        <a:ln w="9525">
          <a:solidFill>
            <a:srgbClr val="000000"/>
          </a:solidFill>
          <a:round/>
          <a:headEnd/>
          <a:tailEnd/>
        </a:ln>
      </xdr:spPr>
    </xdr:sp>
    <xdr:clientData/>
  </xdr:twoCellAnchor>
  <xdr:twoCellAnchor>
    <xdr:from>
      <xdr:col>8</xdr:col>
      <xdr:colOff>44450</xdr:colOff>
      <xdr:row>91</xdr:row>
      <xdr:rowOff>76200</xdr:rowOff>
    </xdr:from>
    <xdr:to>
      <xdr:col>9</xdr:col>
      <xdr:colOff>12700</xdr:colOff>
      <xdr:row>91</xdr:row>
      <xdr:rowOff>76200</xdr:rowOff>
    </xdr:to>
    <xdr:sp macro="" textlink="">
      <xdr:nvSpPr>
        <xdr:cNvPr id="5501642" name="Line 308">
          <a:extLst>
            <a:ext uri="{FF2B5EF4-FFF2-40B4-BE49-F238E27FC236}">
              <a16:creationId xmlns:a16="http://schemas.microsoft.com/office/drawing/2014/main" id="{00000000-0008-0000-0700-0000CAF25300}"/>
            </a:ext>
          </a:extLst>
        </xdr:cNvPr>
        <xdr:cNvSpPr>
          <a:spLocks noChangeShapeType="1"/>
        </xdr:cNvSpPr>
      </xdr:nvSpPr>
      <xdr:spPr bwMode="auto">
        <a:xfrm flipH="1" flipV="1">
          <a:off x="6654800" y="15252700"/>
          <a:ext cx="438150" cy="0"/>
        </a:xfrm>
        <a:prstGeom prst="line">
          <a:avLst/>
        </a:prstGeom>
        <a:noFill/>
        <a:ln w="9525">
          <a:solidFill>
            <a:srgbClr val="92D050"/>
          </a:solidFill>
          <a:prstDash val="sysDot"/>
          <a:round/>
          <a:headEnd type="none" w="sm" len="sm"/>
          <a:tailEnd type="none" w="sm" len="sm"/>
        </a:ln>
      </xdr:spPr>
    </xdr:sp>
    <xdr:clientData/>
  </xdr:twoCellAnchor>
  <xdr:twoCellAnchor>
    <xdr:from>
      <xdr:col>8</xdr:col>
      <xdr:colOff>488950</xdr:colOff>
      <xdr:row>96</xdr:row>
      <xdr:rowOff>76200</xdr:rowOff>
    </xdr:from>
    <xdr:to>
      <xdr:col>9</xdr:col>
      <xdr:colOff>0</xdr:colOff>
      <xdr:row>96</xdr:row>
      <xdr:rowOff>76200</xdr:rowOff>
    </xdr:to>
    <xdr:sp macro="" textlink="">
      <xdr:nvSpPr>
        <xdr:cNvPr id="5501643" name="Line 309">
          <a:extLst>
            <a:ext uri="{FF2B5EF4-FFF2-40B4-BE49-F238E27FC236}">
              <a16:creationId xmlns:a16="http://schemas.microsoft.com/office/drawing/2014/main" id="{00000000-0008-0000-0700-0000CBF25300}"/>
            </a:ext>
          </a:extLst>
        </xdr:cNvPr>
        <xdr:cNvSpPr>
          <a:spLocks noChangeShapeType="1"/>
        </xdr:cNvSpPr>
      </xdr:nvSpPr>
      <xdr:spPr bwMode="auto">
        <a:xfrm>
          <a:off x="7080250" y="16052800"/>
          <a:ext cx="0" cy="0"/>
        </a:xfrm>
        <a:prstGeom prst="line">
          <a:avLst/>
        </a:prstGeom>
        <a:noFill/>
        <a:ln w="9525">
          <a:solidFill>
            <a:srgbClr val="000000"/>
          </a:solidFill>
          <a:round/>
          <a:headEnd/>
          <a:tailEnd/>
        </a:ln>
      </xdr:spPr>
    </xdr:sp>
    <xdr:clientData/>
  </xdr:twoCellAnchor>
  <xdr:twoCellAnchor>
    <xdr:from>
      <xdr:col>8</xdr:col>
      <xdr:colOff>488950</xdr:colOff>
      <xdr:row>100</xdr:row>
      <xdr:rowOff>88900</xdr:rowOff>
    </xdr:from>
    <xdr:to>
      <xdr:col>9</xdr:col>
      <xdr:colOff>0</xdr:colOff>
      <xdr:row>100</xdr:row>
      <xdr:rowOff>88900</xdr:rowOff>
    </xdr:to>
    <xdr:sp macro="" textlink="">
      <xdr:nvSpPr>
        <xdr:cNvPr id="5501644" name="Line 310">
          <a:extLst>
            <a:ext uri="{FF2B5EF4-FFF2-40B4-BE49-F238E27FC236}">
              <a16:creationId xmlns:a16="http://schemas.microsoft.com/office/drawing/2014/main" id="{00000000-0008-0000-0700-0000CCF25300}"/>
            </a:ext>
          </a:extLst>
        </xdr:cNvPr>
        <xdr:cNvSpPr>
          <a:spLocks noChangeShapeType="1"/>
        </xdr:cNvSpPr>
      </xdr:nvSpPr>
      <xdr:spPr bwMode="auto">
        <a:xfrm>
          <a:off x="7080250" y="16725900"/>
          <a:ext cx="0" cy="0"/>
        </a:xfrm>
        <a:prstGeom prst="line">
          <a:avLst/>
        </a:prstGeom>
        <a:noFill/>
        <a:ln w="9525">
          <a:solidFill>
            <a:srgbClr val="000000"/>
          </a:solidFill>
          <a:round/>
          <a:headEnd/>
          <a:tailEnd/>
        </a:ln>
      </xdr:spPr>
    </xdr:sp>
    <xdr:clientData/>
  </xdr:twoCellAnchor>
  <xdr:twoCellAnchor>
    <xdr:from>
      <xdr:col>8</xdr:col>
      <xdr:colOff>222250</xdr:colOff>
      <xdr:row>89</xdr:row>
      <xdr:rowOff>88900</xdr:rowOff>
    </xdr:from>
    <xdr:to>
      <xdr:col>8</xdr:col>
      <xdr:colOff>463550</xdr:colOff>
      <xdr:row>89</xdr:row>
      <xdr:rowOff>88900</xdr:rowOff>
    </xdr:to>
    <xdr:sp macro="" textlink="">
      <xdr:nvSpPr>
        <xdr:cNvPr id="5501645" name="Line 278">
          <a:extLst>
            <a:ext uri="{FF2B5EF4-FFF2-40B4-BE49-F238E27FC236}">
              <a16:creationId xmlns:a16="http://schemas.microsoft.com/office/drawing/2014/main" id="{00000000-0008-0000-0700-0000CDF25300}"/>
            </a:ext>
          </a:extLst>
        </xdr:cNvPr>
        <xdr:cNvSpPr>
          <a:spLocks noChangeShapeType="1"/>
        </xdr:cNvSpPr>
      </xdr:nvSpPr>
      <xdr:spPr bwMode="auto">
        <a:xfrm>
          <a:off x="6832600" y="14935200"/>
          <a:ext cx="241300" cy="0"/>
        </a:xfrm>
        <a:prstGeom prst="line">
          <a:avLst/>
        </a:prstGeom>
        <a:noFill/>
        <a:ln w="6350">
          <a:solidFill>
            <a:srgbClr val="000000"/>
          </a:solidFill>
          <a:round/>
          <a:headEnd/>
          <a:tailEnd/>
        </a:ln>
      </xdr:spPr>
    </xdr:sp>
    <xdr:clientData/>
  </xdr:twoCellAnchor>
  <xdr:twoCellAnchor>
    <xdr:from>
      <xdr:col>17</xdr:col>
      <xdr:colOff>69850</xdr:colOff>
      <xdr:row>1</xdr:row>
      <xdr:rowOff>12700</xdr:rowOff>
    </xdr:from>
    <xdr:to>
      <xdr:col>19</xdr:col>
      <xdr:colOff>0</xdr:colOff>
      <xdr:row>31</xdr:row>
      <xdr:rowOff>101600</xdr:rowOff>
    </xdr:to>
    <xdr:grpSp>
      <xdr:nvGrpSpPr>
        <xdr:cNvPr id="5501646" name="Group 232">
          <a:extLst>
            <a:ext uri="{FF2B5EF4-FFF2-40B4-BE49-F238E27FC236}">
              <a16:creationId xmlns:a16="http://schemas.microsoft.com/office/drawing/2014/main" id="{00000000-0008-0000-0700-0000CEF25300}"/>
            </a:ext>
          </a:extLst>
        </xdr:cNvPr>
        <xdr:cNvGrpSpPr>
          <a:grpSpLocks/>
        </xdr:cNvGrpSpPr>
      </xdr:nvGrpSpPr>
      <xdr:grpSpPr bwMode="auto">
        <a:xfrm>
          <a:off x="12995275" y="184150"/>
          <a:ext cx="2082800" cy="5127625"/>
          <a:chOff x="3421" y="5379"/>
          <a:chExt cx="2289" cy="5759"/>
        </a:xfrm>
      </xdr:grpSpPr>
      <xdr:grpSp>
        <xdr:nvGrpSpPr>
          <xdr:cNvPr id="5501685" name="Group 233">
            <a:extLst>
              <a:ext uri="{FF2B5EF4-FFF2-40B4-BE49-F238E27FC236}">
                <a16:creationId xmlns:a16="http://schemas.microsoft.com/office/drawing/2014/main" id="{00000000-0008-0000-0700-0000F5F25300}"/>
              </a:ext>
            </a:extLst>
          </xdr:cNvPr>
          <xdr:cNvGrpSpPr>
            <a:grpSpLocks/>
          </xdr:cNvGrpSpPr>
        </xdr:nvGrpSpPr>
        <xdr:grpSpPr bwMode="auto">
          <a:xfrm>
            <a:off x="4047" y="5379"/>
            <a:ext cx="515" cy="4096"/>
            <a:chOff x="4047" y="5379"/>
            <a:chExt cx="515" cy="4096"/>
          </a:xfrm>
        </xdr:grpSpPr>
        <xdr:sp macro="" textlink="">
          <xdr:nvSpPr>
            <xdr:cNvPr id="5501703" name="Arc 234">
              <a:extLst>
                <a:ext uri="{FF2B5EF4-FFF2-40B4-BE49-F238E27FC236}">
                  <a16:creationId xmlns:a16="http://schemas.microsoft.com/office/drawing/2014/main" id="{00000000-0008-0000-0700-000007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704" name="Group 235">
              <a:extLst>
                <a:ext uri="{FF2B5EF4-FFF2-40B4-BE49-F238E27FC236}">
                  <a16:creationId xmlns:a16="http://schemas.microsoft.com/office/drawing/2014/main" id="{00000000-0008-0000-0700-000008F35300}"/>
                </a:ext>
              </a:extLst>
            </xdr:cNvPr>
            <xdr:cNvGrpSpPr>
              <a:grpSpLocks/>
            </xdr:cNvGrpSpPr>
          </xdr:nvGrpSpPr>
          <xdr:grpSpPr bwMode="auto">
            <a:xfrm>
              <a:off x="4047" y="6306"/>
              <a:ext cx="285" cy="3169"/>
              <a:chOff x="4050" y="6306"/>
              <a:chExt cx="285" cy="3169"/>
            </a:xfrm>
          </xdr:grpSpPr>
          <xdr:sp macro="" textlink="">
            <xdr:nvSpPr>
              <xdr:cNvPr id="5501705" name="Line 236">
                <a:extLst>
                  <a:ext uri="{FF2B5EF4-FFF2-40B4-BE49-F238E27FC236}">
                    <a16:creationId xmlns:a16="http://schemas.microsoft.com/office/drawing/2014/main" id="{00000000-0008-0000-0700-000009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706" name="Line 237">
                <a:extLst>
                  <a:ext uri="{FF2B5EF4-FFF2-40B4-BE49-F238E27FC236}">
                    <a16:creationId xmlns:a16="http://schemas.microsoft.com/office/drawing/2014/main" id="{00000000-0008-0000-0700-00000A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07" name="Line 238">
                <a:extLst>
                  <a:ext uri="{FF2B5EF4-FFF2-40B4-BE49-F238E27FC236}">
                    <a16:creationId xmlns:a16="http://schemas.microsoft.com/office/drawing/2014/main" id="{00000000-0008-0000-0700-00000B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08" name="Line 239">
                <a:extLst>
                  <a:ext uri="{FF2B5EF4-FFF2-40B4-BE49-F238E27FC236}">
                    <a16:creationId xmlns:a16="http://schemas.microsoft.com/office/drawing/2014/main" id="{00000000-0008-0000-0700-00000C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09" name="Line 240">
                <a:extLst>
                  <a:ext uri="{FF2B5EF4-FFF2-40B4-BE49-F238E27FC236}">
                    <a16:creationId xmlns:a16="http://schemas.microsoft.com/office/drawing/2014/main" id="{00000000-0008-0000-0700-00000D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grpSp>
        <xdr:nvGrpSpPr>
          <xdr:cNvPr id="5501686" name="Group 241">
            <a:extLst>
              <a:ext uri="{FF2B5EF4-FFF2-40B4-BE49-F238E27FC236}">
                <a16:creationId xmlns:a16="http://schemas.microsoft.com/office/drawing/2014/main" id="{00000000-0008-0000-0700-0000F6F25300}"/>
              </a:ext>
            </a:extLst>
          </xdr:cNvPr>
          <xdr:cNvGrpSpPr>
            <a:grpSpLocks/>
          </xdr:cNvGrpSpPr>
        </xdr:nvGrpSpPr>
        <xdr:grpSpPr bwMode="auto">
          <a:xfrm flipH="1">
            <a:off x="4560" y="5379"/>
            <a:ext cx="515" cy="4096"/>
            <a:chOff x="4047" y="5379"/>
            <a:chExt cx="515" cy="4096"/>
          </a:xfrm>
        </xdr:grpSpPr>
        <xdr:sp macro="" textlink="">
          <xdr:nvSpPr>
            <xdr:cNvPr id="5501696" name="Arc 242">
              <a:extLst>
                <a:ext uri="{FF2B5EF4-FFF2-40B4-BE49-F238E27FC236}">
                  <a16:creationId xmlns:a16="http://schemas.microsoft.com/office/drawing/2014/main" id="{00000000-0008-0000-0700-000000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697" name="Group 243">
              <a:extLst>
                <a:ext uri="{FF2B5EF4-FFF2-40B4-BE49-F238E27FC236}">
                  <a16:creationId xmlns:a16="http://schemas.microsoft.com/office/drawing/2014/main" id="{00000000-0008-0000-0700-000001F35300}"/>
                </a:ext>
              </a:extLst>
            </xdr:cNvPr>
            <xdr:cNvGrpSpPr>
              <a:grpSpLocks/>
            </xdr:cNvGrpSpPr>
          </xdr:nvGrpSpPr>
          <xdr:grpSpPr bwMode="auto">
            <a:xfrm>
              <a:off x="4047" y="6306"/>
              <a:ext cx="285" cy="3169"/>
              <a:chOff x="4050" y="6306"/>
              <a:chExt cx="285" cy="3169"/>
            </a:xfrm>
          </xdr:grpSpPr>
          <xdr:sp macro="" textlink="">
            <xdr:nvSpPr>
              <xdr:cNvPr id="5501698" name="Line 244">
                <a:extLst>
                  <a:ext uri="{FF2B5EF4-FFF2-40B4-BE49-F238E27FC236}">
                    <a16:creationId xmlns:a16="http://schemas.microsoft.com/office/drawing/2014/main" id="{00000000-0008-0000-0700-000002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699" name="Line 245">
                <a:extLst>
                  <a:ext uri="{FF2B5EF4-FFF2-40B4-BE49-F238E27FC236}">
                    <a16:creationId xmlns:a16="http://schemas.microsoft.com/office/drawing/2014/main" id="{00000000-0008-0000-0700-000003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00" name="Line 246">
                <a:extLst>
                  <a:ext uri="{FF2B5EF4-FFF2-40B4-BE49-F238E27FC236}">
                    <a16:creationId xmlns:a16="http://schemas.microsoft.com/office/drawing/2014/main" id="{00000000-0008-0000-0700-000004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01" name="Line 247">
                <a:extLst>
                  <a:ext uri="{FF2B5EF4-FFF2-40B4-BE49-F238E27FC236}">
                    <a16:creationId xmlns:a16="http://schemas.microsoft.com/office/drawing/2014/main" id="{00000000-0008-0000-0700-000005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02" name="Line 248">
                <a:extLst>
                  <a:ext uri="{FF2B5EF4-FFF2-40B4-BE49-F238E27FC236}">
                    <a16:creationId xmlns:a16="http://schemas.microsoft.com/office/drawing/2014/main" id="{00000000-0008-0000-0700-000006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sp macro="" textlink="">
        <xdr:nvSpPr>
          <xdr:cNvPr id="5501687" name="Line 249">
            <a:extLst>
              <a:ext uri="{FF2B5EF4-FFF2-40B4-BE49-F238E27FC236}">
                <a16:creationId xmlns:a16="http://schemas.microsoft.com/office/drawing/2014/main" id="{00000000-0008-0000-0700-0000F7F25300}"/>
              </a:ext>
            </a:extLst>
          </xdr:cNvPr>
          <xdr:cNvSpPr>
            <a:spLocks noChangeShapeType="1"/>
          </xdr:cNvSpPr>
        </xdr:nvSpPr>
        <xdr:spPr bwMode="auto">
          <a:xfrm>
            <a:off x="4332" y="9310"/>
            <a:ext cx="2" cy="1319"/>
          </a:xfrm>
          <a:prstGeom prst="line">
            <a:avLst/>
          </a:prstGeom>
          <a:noFill/>
          <a:ln w="9525">
            <a:solidFill>
              <a:srgbClr val="00B0F0"/>
            </a:solidFill>
            <a:round/>
            <a:headEnd/>
            <a:tailEnd/>
          </a:ln>
        </xdr:spPr>
      </xdr:sp>
      <xdr:sp macro="" textlink="">
        <xdr:nvSpPr>
          <xdr:cNvPr id="5501688" name="Line 250">
            <a:extLst>
              <a:ext uri="{FF2B5EF4-FFF2-40B4-BE49-F238E27FC236}">
                <a16:creationId xmlns:a16="http://schemas.microsoft.com/office/drawing/2014/main" id="{00000000-0008-0000-0700-0000F8F25300}"/>
              </a:ext>
            </a:extLst>
          </xdr:cNvPr>
          <xdr:cNvSpPr>
            <a:spLocks noChangeShapeType="1"/>
          </xdr:cNvSpPr>
        </xdr:nvSpPr>
        <xdr:spPr bwMode="auto">
          <a:xfrm>
            <a:off x="4790" y="9310"/>
            <a:ext cx="0" cy="1319"/>
          </a:xfrm>
          <a:prstGeom prst="line">
            <a:avLst/>
          </a:prstGeom>
          <a:noFill/>
          <a:ln w="9525">
            <a:solidFill>
              <a:srgbClr val="00B0F0"/>
            </a:solidFill>
            <a:round/>
            <a:headEnd/>
            <a:tailEnd/>
          </a:ln>
        </xdr:spPr>
      </xdr:sp>
      <xdr:sp macro="" textlink="">
        <xdr:nvSpPr>
          <xdr:cNvPr id="5501689" name="Line 251">
            <a:extLst>
              <a:ext uri="{FF2B5EF4-FFF2-40B4-BE49-F238E27FC236}">
                <a16:creationId xmlns:a16="http://schemas.microsoft.com/office/drawing/2014/main" id="{00000000-0008-0000-0700-0000F9F25300}"/>
              </a:ext>
            </a:extLst>
          </xdr:cNvPr>
          <xdr:cNvSpPr>
            <a:spLocks noChangeShapeType="1"/>
          </xdr:cNvSpPr>
        </xdr:nvSpPr>
        <xdr:spPr bwMode="auto">
          <a:xfrm>
            <a:off x="4330" y="10629"/>
            <a:ext cx="458" cy="0"/>
          </a:xfrm>
          <a:prstGeom prst="line">
            <a:avLst/>
          </a:prstGeom>
          <a:noFill/>
          <a:ln w="9525">
            <a:solidFill>
              <a:srgbClr val="00B0F0"/>
            </a:solidFill>
            <a:round/>
            <a:headEnd/>
            <a:tailEnd/>
          </a:ln>
        </xdr:spPr>
      </xdr:sp>
      <xdr:sp macro="" textlink="">
        <xdr:nvSpPr>
          <xdr:cNvPr id="5501690" name="Line 252">
            <a:extLst>
              <a:ext uri="{FF2B5EF4-FFF2-40B4-BE49-F238E27FC236}">
                <a16:creationId xmlns:a16="http://schemas.microsoft.com/office/drawing/2014/main" id="{00000000-0008-0000-0700-0000FAF25300}"/>
              </a:ext>
            </a:extLst>
          </xdr:cNvPr>
          <xdr:cNvSpPr>
            <a:spLocks noChangeShapeType="1"/>
          </xdr:cNvSpPr>
        </xdr:nvSpPr>
        <xdr:spPr bwMode="auto">
          <a:xfrm flipV="1">
            <a:off x="5709" y="10163"/>
            <a:ext cx="1" cy="946"/>
          </a:xfrm>
          <a:prstGeom prst="line">
            <a:avLst/>
          </a:prstGeom>
          <a:noFill/>
          <a:ln w="9525">
            <a:solidFill>
              <a:srgbClr val="00B0F0"/>
            </a:solidFill>
            <a:round/>
            <a:headEnd/>
            <a:tailEnd/>
          </a:ln>
        </xdr:spPr>
      </xdr:sp>
      <xdr:sp macro="" textlink="">
        <xdr:nvSpPr>
          <xdr:cNvPr id="5501691" name="Line 253">
            <a:extLst>
              <a:ext uri="{FF2B5EF4-FFF2-40B4-BE49-F238E27FC236}">
                <a16:creationId xmlns:a16="http://schemas.microsoft.com/office/drawing/2014/main" id="{00000000-0008-0000-0700-0000FBF25300}"/>
              </a:ext>
            </a:extLst>
          </xdr:cNvPr>
          <xdr:cNvSpPr>
            <a:spLocks noChangeShapeType="1"/>
          </xdr:cNvSpPr>
        </xdr:nvSpPr>
        <xdr:spPr bwMode="auto">
          <a:xfrm>
            <a:off x="4796" y="10419"/>
            <a:ext cx="909" cy="712"/>
          </a:xfrm>
          <a:prstGeom prst="line">
            <a:avLst/>
          </a:prstGeom>
          <a:noFill/>
          <a:ln w="9525">
            <a:solidFill>
              <a:srgbClr val="00B0F0"/>
            </a:solidFill>
            <a:round/>
            <a:headEnd/>
            <a:tailEnd/>
          </a:ln>
        </xdr:spPr>
      </xdr:sp>
      <xdr:sp macro="" textlink="">
        <xdr:nvSpPr>
          <xdr:cNvPr id="5501692" name="Line 254">
            <a:extLst>
              <a:ext uri="{FF2B5EF4-FFF2-40B4-BE49-F238E27FC236}">
                <a16:creationId xmlns:a16="http://schemas.microsoft.com/office/drawing/2014/main" id="{00000000-0008-0000-0700-0000FCF25300}"/>
              </a:ext>
            </a:extLst>
          </xdr:cNvPr>
          <xdr:cNvSpPr>
            <a:spLocks noChangeShapeType="1"/>
          </xdr:cNvSpPr>
        </xdr:nvSpPr>
        <xdr:spPr bwMode="auto">
          <a:xfrm flipH="1" flipV="1">
            <a:off x="4804" y="8797"/>
            <a:ext cx="905" cy="1372"/>
          </a:xfrm>
          <a:prstGeom prst="line">
            <a:avLst/>
          </a:prstGeom>
          <a:noFill/>
          <a:ln w="9525">
            <a:solidFill>
              <a:srgbClr val="00B0F0"/>
            </a:solidFill>
            <a:round/>
            <a:headEnd/>
            <a:tailEnd/>
          </a:ln>
        </xdr:spPr>
      </xdr:sp>
      <xdr:sp macro="" textlink="">
        <xdr:nvSpPr>
          <xdr:cNvPr id="5501693" name="Line 255">
            <a:extLst>
              <a:ext uri="{FF2B5EF4-FFF2-40B4-BE49-F238E27FC236}">
                <a16:creationId xmlns:a16="http://schemas.microsoft.com/office/drawing/2014/main" id="{00000000-0008-0000-0700-0000FDF25300}"/>
              </a:ext>
            </a:extLst>
          </xdr:cNvPr>
          <xdr:cNvSpPr>
            <a:spLocks noChangeShapeType="1"/>
          </xdr:cNvSpPr>
        </xdr:nvSpPr>
        <xdr:spPr bwMode="auto">
          <a:xfrm flipH="1" flipV="1">
            <a:off x="3421" y="10178"/>
            <a:ext cx="1" cy="946"/>
          </a:xfrm>
          <a:prstGeom prst="line">
            <a:avLst/>
          </a:prstGeom>
          <a:noFill/>
          <a:ln w="9525">
            <a:solidFill>
              <a:srgbClr val="00B0F0"/>
            </a:solidFill>
            <a:round/>
            <a:headEnd/>
            <a:tailEnd/>
          </a:ln>
        </xdr:spPr>
      </xdr:sp>
      <xdr:sp macro="" textlink="">
        <xdr:nvSpPr>
          <xdr:cNvPr id="5501694" name="Line 256">
            <a:extLst>
              <a:ext uri="{FF2B5EF4-FFF2-40B4-BE49-F238E27FC236}">
                <a16:creationId xmlns:a16="http://schemas.microsoft.com/office/drawing/2014/main" id="{00000000-0008-0000-0700-0000FEF25300}"/>
              </a:ext>
            </a:extLst>
          </xdr:cNvPr>
          <xdr:cNvSpPr>
            <a:spLocks noChangeShapeType="1"/>
          </xdr:cNvSpPr>
        </xdr:nvSpPr>
        <xdr:spPr bwMode="auto">
          <a:xfrm flipH="1">
            <a:off x="3421" y="10426"/>
            <a:ext cx="909" cy="712"/>
          </a:xfrm>
          <a:prstGeom prst="line">
            <a:avLst/>
          </a:prstGeom>
          <a:noFill/>
          <a:ln w="9525">
            <a:solidFill>
              <a:srgbClr val="00B0F0"/>
            </a:solidFill>
            <a:round/>
            <a:headEnd/>
            <a:tailEnd/>
          </a:ln>
        </xdr:spPr>
      </xdr:sp>
      <xdr:sp macro="" textlink="">
        <xdr:nvSpPr>
          <xdr:cNvPr id="5501695" name="Line 257">
            <a:extLst>
              <a:ext uri="{FF2B5EF4-FFF2-40B4-BE49-F238E27FC236}">
                <a16:creationId xmlns:a16="http://schemas.microsoft.com/office/drawing/2014/main" id="{00000000-0008-0000-0700-0000FFF25300}"/>
              </a:ext>
            </a:extLst>
          </xdr:cNvPr>
          <xdr:cNvSpPr>
            <a:spLocks noChangeShapeType="1"/>
          </xdr:cNvSpPr>
        </xdr:nvSpPr>
        <xdr:spPr bwMode="auto">
          <a:xfrm flipV="1">
            <a:off x="3429" y="8804"/>
            <a:ext cx="905" cy="1372"/>
          </a:xfrm>
          <a:prstGeom prst="line">
            <a:avLst/>
          </a:prstGeom>
          <a:noFill/>
          <a:ln w="9525">
            <a:solidFill>
              <a:srgbClr val="00B0F0"/>
            </a:solidFill>
            <a:round/>
            <a:headEnd/>
            <a:tailEnd/>
          </a:ln>
        </xdr:spPr>
      </xdr:sp>
    </xdr:grpSp>
    <xdr:clientData/>
  </xdr:twoCellAnchor>
  <xdr:twoCellAnchor>
    <xdr:from>
      <xdr:col>17</xdr:col>
      <xdr:colOff>831850</xdr:colOff>
      <xdr:row>11</xdr:row>
      <xdr:rowOff>101600</xdr:rowOff>
    </xdr:from>
    <xdr:to>
      <xdr:col>18</xdr:col>
      <xdr:colOff>368300</xdr:colOff>
      <xdr:row>11</xdr:row>
      <xdr:rowOff>101600</xdr:rowOff>
    </xdr:to>
    <xdr:sp macro="" textlink="">
      <xdr:nvSpPr>
        <xdr:cNvPr id="5501647" name="Line 268">
          <a:extLst>
            <a:ext uri="{FF2B5EF4-FFF2-40B4-BE49-F238E27FC236}">
              <a16:creationId xmlns:a16="http://schemas.microsoft.com/office/drawing/2014/main" id="{00000000-0008-0000-0700-0000CFF25300}"/>
            </a:ext>
          </a:extLst>
        </xdr:cNvPr>
        <xdr:cNvSpPr>
          <a:spLocks noChangeShapeType="1"/>
        </xdr:cNvSpPr>
      </xdr:nvSpPr>
      <xdr:spPr bwMode="auto">
        <a:xfrm flipV="1">
          <a:off x="14408150" y="2032000"/>
          <a:ext cx="673100" cy="0"/>
        </a:xfrm>
        <a:prstGeom prst="line">
          <a:avLst/>
        </a:prstGeom>
        <a:noFill/>
        <a:ln w="6350">
          <a:solidFill>
            <a:srgbClr val="000000"/>
          </a:solidFill>
          <a:round/>
          <a:headEnd type="triangle" w="sm" len="lg"/>
          <a:tailEnd type="triangle" w="sm" len="lg"/>
        </a:ln>
      </xdr:spPr>
    </xdr:sp>
    <xdr:clientData/>
  </xdr:twoCellAnchor>
  <xdr:twoCellAnchor>
    <xdr:from>
      <xdr:col>17</xdr:col>
      <xdr:colOff>88900</xdr:colOff>
      <xdr:row>1</xdr:row>
      <xdr:rowOff>12700</xdr:rowOff>
    </xdr:from>
    <xdr:to>
      <xdr:col>19</xdr:col>
      <xdr:colOff>336550</xdr:colOff>
      <xdr:row>1</xdr:row>
      <xdr:rowOff>12700</xdr:rowOff>
    </xdr:to>
    <xdr:sp macro="" textlink="">
      <xdr:nvSpPr>
        <xdr:cNvPr id="5501648" name="Line 269">
          <a:extLst>
            <a:ext uri="{FF2B5EF4-FFF2-40B4-BE49-F238E27FC236}">
              <a16:creationId xmlns:a16="http://schemas.microsoft.com/office/drawing/2014/main" id="{00000000-0008-0000-0700-0000D0F25300}"/>
            </a:ext>
          </a:extLst>
        </xdr:cNvPr>
        <xdr:cNvSpPr>
          <a:spLocks noChangeShapeType="1"/>
        </xdr:cNvSpPr>
      </xdr:nvSpPr>
      <xdr:spPr bwMode="auto">
        <a:xfrm flipV="1">
          <a:off x="13665200" y="184150"/>
          <a:ext cx="2520950" cy="0"/>
        </a:xfrm>
        <a:prstGeom prst="line">
          <a:avLst/>
        </a:prstGeom>
        <a:noFill/>
        <a:ln w="6350">
          <a:solidFill>
            <a:srgbClr val="000000"/>
          </a:solidFill>
          <a:round/>
          <a:headEnd/>
          <a:tailEnd/>
        </a:ln>
      </xdr:spPr>
    </xdr:sp>
    <xdr:clientData/>
  </xdr:twoCellAnchor>
  <xdr:twoCellAnchor>
    <xdr:from>
      <xdr:col>18</xdr:col>
      <xdr:colOff>1054100</xdr:colOff>
      <xdr:row>1</xdr:row>
      <xdr:rowOff>12700</xdr:rowOff>
    </xdr:from>
    <xdr:to>
      <xdr:col>18</xdr:col>
      <xdr:colOff>1054100</xdr:colOff>
      <xdr:row>28</xdr:row>
      <xdr:rowOff>139700</xdr:rowOff>
    </xdr:to>
    <xdr:sp macro="" textlink="">
      <xdr:nvSpPr>
        <xdr:cNvPr id="5501649" name="Line 270">
          <a:extLst>
            <a:ext uri="{FF2B5EF4-FFF2-40B4-BE49-F238E27FC236}">
              <a16:creationId xmlns:a16="http://schemas.microsoft.com/office/drawing/2014/main" id="{00000000-0008-0000-0700-0000D1F25300}"/>
            </a:ext>
          </a:extLst>
        </xdr:cNvPr>
        <xdr:cNvSpPr>
          <a:spLocks noChangeShapeType="1"/>
        </xdr:cNvSpPr>
      </xdr:nvSpPr>
      <xdr:spPr bwMode="auto">
        <a:xfrm>
          <a:off x="15767050" y="184150"/>
          <a:ext cx="0" cy="4705350"/>
        </a:xfrm>
        <a:prstGeom prst="line">
          <a:avLst/>
        </a:prstGeom>
        <a:noFill/>
        <a:ln w="6350">
          <a:solidFill>
            <a:srgbClr val="000000"/>
          </a:solidFill>
          <a:round/>
          <a:headEnd type="triangle" w="sm" len="lg"/>
          <a:tailEnd type="triangle" w="sm" len="lg"/>
        </a:ln>
      </xdr:spPr>
    </xdr:sp>
    <xdr:clientData/>
  </xdr:twoCellAnchor>
  <xdr:twoCellAnchor>
    <xdr:from>
      <xdr:col>17</xdr:col>
      <xdr:colOff>120650</xdr:colOff>
      <xdr:row>10</xdr:row>
      <xdr:rowOff>152400</xdr:rowOff>
    </xdr:from>
    <xdr:to>
      <xdr:col>18</xdr:col>
      <xdr:colOff>412750</xdr:colOff>
      <xdr:row>10</xdr:row>
      <xdr:rowOff>152400</xdr:rowOff>
    </xdr:to>
    <xdr:sp macro="" textlink="">
      <xdr:nvSpPr>
        <xdr:cNvPr id="5501650" name="Line 271">
          <a:extLst>
            <a:ext uri="{FF2B5EF4-FFF2-40B4-BE49-F238E27FC236}">
              <a16:creationId xmlns:a16="http://schemas.microsoft.com/office/drawing/2014/main" id="{00000000-0008-0000-0700-0000D2F25300}"/>
            </a:ext>
          </a:extLst>
        </xdr:cNvPr>
        <xdr:cNvSpPr>
          <a:spLocks noChangeShapeType="1"/>
        </xdr:cNvSpPr>
      </xdr:nvSpPr>
      <xdr:spPr bwMode="auto">
        <a:xfrm>
          <a:off x="13696950" y="1911350"/>
          <a:ext cx="1428750" cy="0"/>
        </a:xfrm>
        <a:prstGeom prst="line">
          <a:avLst/>
        </a:prstGeom>
        <a:noFill/>
        <a:ln w="6350">
          <a:solidFill>
            <a:srgbClr val="000000"/>
          </a:solidFill>
          <a:round/>
          <a:headEnd/>
          <a:tailEnd/>
        </a:ln>
      </xdr:spPr>
    </xdr:sp>
    <xdr:clientData/>
  </xdr:twoCellAnchor>
  <xdr:twoCellAnchor>
    <xdr:from>
      <xdr:col>17</xdr:col>
      <xdr:colOff>152400</xdr:colOff>
      <xdr:row>0</xdr:row>
      <xdr:rowOff>158750</xdr:rowOff>
    </xdr:from>
    <xdr:to>
      <xdr:col>17</xdr:col>
      <xdr:colOff>152400</xdr:colOff>
      <xdr:row>10</xdr:row>
      <xdr:rowOff>139700</xdr:rowOff>
    </xdr:to>
    <xdr:sp macro="" textlink="">
      <xdr:nvSpPr>
        <xdr:cNvPr id="5501651" name="Line 272">
          <a:extLst>
            <a:ext uri="{FF2B5EF4-FFF2-40B4-BE49-F238E27FC236}">
              <a16:creationId xmlns:a16="http://schemas.microsoft.com/office/drawing/2014/main" id="{00000000-0008-0000-0700-0000D3F25300}"/>
            </a:ext>
          </a:extLst>
        </xdr:cNvPr>
        <xdr:cNvSpPr>
          <a:spLocks noChangeShapeType="1"/>
        </xdr:cNvSpPr>
      </xdr:nvSpPr>
      <xdr:spPr bwMode="auto">
        <a:xfrm flipH="1">
          <a:off x="13728700" y="158750"/>
          <a:ext cx="0" cy="1739900"/>
        </a:xfrm>
        <a:prstGeom prst="line">
          <a:avLst/>
        </a:prstGeom>
        <a:noFill/>
        <a:ln w="6350">
          <a:solidFill>
            <a:srgbClr val="000000"/>
          </a:solidFill>
          <a:round/>
          <a:headEnd type="triangle" w="sm" len="lg"/>
          <a:tailEnd type="triangle" w="sm" len="lg"/>
        </a:ln>
      </xdr:spPr>
    </xdr:sp>
    <xdr:clientData/>
  </xdr:twoCellAnchor>
  <xdr:twoCellAnchor>
    <xdr:from>
      <xdr:col>16</xdr:col>
      <xdr:colOff>234950</xdr:colOff>
      <xdr:row>31</xdr:row>
      <xdr:rowOff>95250</xdr:rowOff>
    </xdr:from>
    <xdr:to>
      <xdr:col>17</xdr:col>
      <xdr:colOff>82550</xdr:colOff>
      <xdr:row>31</xdr:row>
      <xdr:rowOff>95250</xdr:rowOff>
    </xdr:to>
    <xdr:sp macro="" textlink="">
      <xdr:nvSpPr>
        <xdr:cNvPr id="5501652" name="Line 277">
          <a:extLst>
            <a:ext uri="{FF2B5EF4-FFF2-40B4-BE49-F238E27FC236}">
              <a16:creationId xmlns:a16="http://schemas.microsoft.com/office/drawing/2014/main" id="{00000000-0008-0000-0700-0000D4F25300}"/>
            </a:ext>
          </a:extLst>
        </xdr:cNvPr>
        <xdr:cNvSpPr>
          <a:spLocks noChangeShapeType="1"/>
        </xdr:cNvSpPr>
      </xdr:nvSpPr>
      <xdr:spPr bwMode="auto">
        <a:xfrm>
          <a:off x="12998450" y="5359400"/>
          <a:ext cx="660400" cy="0"/>
        </a:xfrm>
        <a:prstGeom prst="line">
          <a:avLst/>
        </a:prstGeom>
        <a:noFill/>
        <a:ln w="6350">
          <a:solidFill>
            <a:srgbClr val="000000"/>
          </a:solidFill>
          <a:round/>
          <a:headEnd/>
          <a:tailEnd/>
        </a:ln>
      </xdr:spPr>
    </xdr:sp>
    <xdr:clientData/>
  </xdr:twoCellAnchor>
  <xdr:twoCellAnchor>
    <xdr:from>
      <xdr:col>18</xdr:col>
      <xdr:colOff>196850</xdr:colOff>
      <xdr:row>29</xdr:row>
      <xdr:rowOff>88900</xdr:rowOff>
    </xdr:from>
    <xdr:to>
      <xdr:col>18</xdr:col>
      <xdr:colOff>1035050</xdr:colOff>
      <xdr:row>29</xdr:row>
      <xdr:rowOff>88900</xdr:rowOff>
    </xdr:to>
    <xdr:sp macro="" textlink="">
      <xdr:nvSpPr>
        <xdr:cNvPr id="5501653" name="Line 280">
          <a:extLst>
            <a:ext uri="{FF2B5EF4-FFF2-40B4-BE49-F238E27FC236}">
              <a16:creationId xmlns:a16="http://schemas.microsoft.com/office/drawing/2014/main" id="{00000000-0008-0000-0700-0000D5F25300}"/>
            </a:ext>
          </a:extLst>
        </xdr:cNvPr>
        <xdr:cNvSpPr>
          <a:spLocks noChangeShapeType="1"/>
        </xdr:cNvSpPr>
      </xdr:nvSpPr>
      <xdr:spPr bwMode="auto">
        <a:xfrm>
          <a:off x="14909800" y="5010150"/>
          <a:ext cx="838200" cy="0"/>
        </a:xfrm>
        <a:prstGeom prst="line">
          <a:avLst/>
        </a:prstGeom>
        <a:noFill/>
        <a:ln w="6350">
          <a:solidFill>
            <a:srgbClr val="000000"/>
          </a:solidFill>
          <a:round/>
          <a:headEnd/>
          <a:tailEnd/>
        </a:ln>
      </xdr:spPr>
    </xdr:sp>
    <xdr:clientData/>
  </xdr:twoCellAnchor>
  <xdr:twoCellAnchor>
    <xdr:from>
      <xdr:col>17</xdr:col>
      <xdr:colOff>508000</xdr:colOff>
      <xdr:row>20</xdr:row>
      <xdr:rowOff>0</xdr:rowOff>
    </xdr:from>
    <xdr:to>
      <xdr:col>17</xdr:col>
      <xdr:colOff>508000</xdr:colOff>
      <xdr:row>28</xdr:row>
      <xdr:rowOff>127000</xdr:rowOff>
    </xdr:to>
    <xdr:sp macro="" textlink="">
      <xdr:nvSpPr>
        <xdr:cNvPr id="5501654" name="Line 281">
          <a:extLst>
            <a:ext uri="{FF2B5EF4-FFF2-40B4-BE49-F238E27FC236}">
              <a16:creationId xmlns:a16="http://schemas.microsoft.com/office/drawing/2014/main" id="{00000000-0008-0000-0700-0000D6F25300}"/>
            </a:ext>
          </a:extLst>
        </xdr:cNvPr>
        <xdr:cNvSpPr>
          <a:spLocks noChangeShapeType="1"/>
        </xdr:cNvSpPr>
      </xdr:nvSpPr>
      <xdr:spPr bwMode="auto">
        <a:xfrm flipH="1">
          <a:off x="14084300" y="3422650"/>
          <a:ext cx="0" cy="1454150"/>
        </a:xfrm>
        <a:prstGeom prst="line">
          <a:avLst/>
        </a:prstGeom>
        <a:noFill/>
        <a:ln w="6350">
          <a:solidFill>
            <a:srgbClr val="000000"/>
          </a:solidFill>
          <a:round/>
          <a:headEnd type="triangle" w="sm" len="lg"/>
          <a:tailEnd type="triangle" w="sm" len="lg"/>
        </a:ln>
      </xdr:spPr>
    </xdr:sp>
    <xdr:clientData/>
  </xdr:twoCellAnchor>
  <xdr:twoCellAnchor>
    <xdr:from>
      <xdr:col>16</xdr:col>
      <xdr:colOff>311150</xdr:colOff>
      <xdr:row>27</xdr:row>
      <xdr:rowOff>133350</xdr:rowOff>
    </xdr:from>
    <xdr:to>
      <xdr:col>16</xdr:col>
      <xdr:colOff>323850</xdr:colOff>
      <xdr:row>31</xdr:row>
      <xdr:rowOff>95250</xdr:rowOff>
    </xdr:to>
    <xdr:sp macro="" textlink="">
      <xdr:nvSpPr>
        <xdr:cNvPr id="5501655" name="Line 282">
          <a:extLst>
            <a:ext uri="{FF2B5EF4-FFF2-40B4-BE49-F238E27FC236}">
              <a16:creationId xmlns:a16="http://schemas.microsoft.com/office/drawing/2014/main" id="{00000000-0008-0000-0700-0000D7F25300}"/>
            </a:ext>
          </a:extLst>
        </xdr:cNvPr>
        <xdr:cNvSpPr>
          <a:spLocks noChangeShapeType="1"/>
        </xdr:cNvSpPr>
      </xdr:nvSpPr>
      <xdr:spPr bwMode="auto">
        <a:xfrm flipH="1">
          <a:off x="13074650" y="4711700"/>
          <a:ext cx="12700" cy="647700"/>
        </a:xfrm>
        <a:prstGeom prst="line">
          <a:avLst/>
        </a:prstGeom>
        <a:noFill/>
        <a:ln w="6350">
          <a:solidFill>
            <a:srgbClr val="000000"/>
          </a:solidFill>
          <a:round/>
          <a:headEnd type="triangle" w="sm" len="lg"/>
          <a:tailEnd type="triangle" w="sm" len="lg"/>
        </a:ln>
      </xdr:spPr>
    </xdr:sp>
    <xdr:clientData/>
  </xdr:twoCellAnchor>
  <xdr:twoCellAnchor>
    <xdr:from>
      <xdr:col>16</xdr:col>
      <xdr:colOff>730250</xdr:colOff>
      <xdr:row>20</xdr:row>
      <xdr:rowOff>0</xdr:rowOff>
    </xdr:from>
    <xdr:to>
      <xdr:col>16</xdr:col>
      <xdr:colOff>730250</xdr:colOff>
      <xdr:row>27</xdr:row>
      <xdr:rowOff>133350</xdr:rowOff>
    </xdr:to>
    <xdr:sp macro="" textlink="">
      <xdr:nvSpPr>
        <xdr:cNvPr id="5501656" name="Line 283">
          <a:extLst>
            <a:ext uri="{FF2B5EF4-FFF2-40B4-BE49-F238E27FC236}">
              <a16:creationId xmlns:a16="http://schemas.microsoft.com/office/drawing/2014/main" id="{00000000-0008-0000-0700-0000D8F25300}"/>
            </a:ext>
          </a:extLst>
        </xdr:cNvPr>
        <xdr:cNvSpPr>
          <a:spLocks noChangeShapeType="1"/>
        </xdr:cNvSpPr>
      </xdr:nvSpPr>
      <xdr:spPr bwMode="auto">
        <a:xfrm>
          <a:off x="13493750" y="3422650"/>
          <a:ext cx="0" cy="1289050"/>
        </a:xfrm>
        <a:prstGeom prst="line">
          <a:avLst/>
        </a:prstGeom>
        <a:noFill/>
        <a:ln w="6350">
          <a:solidFill>
            <a:srgbClr val="000000"/>
          </a:solidFill>
          <a:round/>
          <a:headEnd type="triangle" w="sm" len="lg"/>
          <a:tailEnd type="triangle" w="sm" len="lg"/>
        </a:ln>
      </xdr:spPr>
    </xdr:sp>
    <xdr:clientData/>
  </xdr:twoCellAnchor>
  <xdr:twoCellAnchor>
    <xdr:from>
      <xdr:col>17</xdr:col>
      <xdr:colOff>69850</xdr:colOff>
      <xdr:row>31</xdr:row>
      <xdr:rowOff>95250</xdr:rowOff>
    </xdr:from>
    <xdr:to>
      <xdr:col>17</xdr:col>
      <xdr:colOff>69850</xdr:colOff>
      <xdr:row>32</xdr:row>
      <xdr:rowOff>0</xdr:rowOff>
    </xdr:to>
    <xdr:sp macro="" textlink="">
      <xdr:nvSpPr>
        <xdr:cNvPr id="5501657" name="Line 284">
          <a:extLst>
            <a:ext uri="{FF2B5EF4-FFF2-40B4-BE49-F238E27FC236}">
              <a16:creationId xmlns:a16="http://schemas.microsoft.com/office/drawing/2014/main" id="{00000000-0008-0000-0700-0000D9F25300}"/>
            </a:ext>
          </a:extLst>
        </xdr:cNvPr>
        <xdr:cNvSpPr>
          <a:spLocks noChangeShapeType="1"/>
        </xdr:cNvSpPr>
      </xdr:nvSpPr>
      <xdr:spPr bwMode="auto">
        <a:xfrm flipV="1">
          <a:off x="13646150" y="5359400"/>
          <a:ext cx="0" cy="76200"/>
        </a:xfrm>
        <a:prstGeom prst="line">
          <a:avLst/>
        </a:prstGeom>
        <a:noFill/>
        <a:ln w="6350">
          <a:solidFill>
            <a:srgbClr val="000000"/>
          </a:solidFill>
          <a:round/>
          <a:headEnd/>
          <a:tailEnd/>
        </a:ln>
      </xdr:spPr>
    </xdr:sp>
    <xdr:clientData/>
  </xdr:twoCellAnchor>
  <xdr:twoCellAnchor>
    <xdr:from>
      <xdr:col>17</xdr:col>
      <xdr:colOff>946150</xdr:colOff>
      <xdr:row>29</xdr:row>
      <xdr:rowOff>88900</xdr:rowOff>
    </xdr:from>
    <xdr:to>
      <xdr:col>17</xdr:col>
      <xdr:colOff>946150</xdr:colOff>
      <xdr:row>31</xdr:row>
      <xdr:rowOff>158750</xdr:rowOff>
    </xdr:to>
    <xdr:sp macro="" textlink="">
      <xdr:nvSpPr>
        <xdr:cNvPr id="5501658" name="Line 285">
          <a:extLst>
            <a:ext uri="{FF2B5EF4-FFF2-40B4-BE49-F238E27FC236}">
              <a16:creationId xmlns:a16="http://schemas.microsoft.com/office/drawing/2014/main" id="{00000000-0008-0000-0700-0000DAF25300}"/>
            </a:ext>
          </a:extLst>
        </xdr:cNvPr>
        <xdr:cNvSpPr>
          <a:spLocks noChangeShapeType="1"/>
        </xdr:cNvSpPr>
      </xdr:nvSpPr>
      <xdr:spPr bwMode="auto">
        <a:xfrm flipH="1" flipV="1">
          <a:off x="14522450" y="5010150"/>
          <a:ext cx="0" cy="412750"/>
        </a:xfrm>
        <a:prstGeom prst="line">
          <a:avLst/>
        </a:prstGeom>
        <a:noFill/>
        <a:ln w="6350">
          <a:solidFill>
            <a:srgbClr val="000000"/>
          </a:solidFill>
          <a:round/>
          <a:headEnd/>
          <a:tailEnd/>
        </a:ln>
      </xdr:spPr>
    </xdr:sp>
    <xdr:clientData/>
  </xdr:twoCellAnchor>
  <xdr:twoCellAnchor>
    <xdr:from>
      <xdr:col>17</xdr:col>
      <xdr:colOff>88900</xdr:colOff>
      <xdr:row>31</xdr:row>
      <xdr:rowOff>127000</xdr:rowOff>
    </xdr:from>
    <xdr:to>
      <xdr:col>17</xdr:col>
      <xdr:colOff>958850</xdr:colOff>
      <xdr:row>31</xdr:row>
      <xdr:rowOff>127000</xdr:rowOff>
    </xdr:to>
    <xdr:sp macro="" textlink="">
      <xdr:nvSpPr>
        <xdr:cNvPr id="5501659" name="Line 286">
          <a:extLst>
            <a:ext uri="{FF2B5EF4-FFF2-40B4-BE49-F238E27FC236}">
              <a16:creationId xmlns:a16="http://schemas.microsoft.com/office/drawing/2014/main" id="{00000000-0008-0000-0700-0000DBF25300}"/>
            </a:ext>
          </a:extLst>
        </xdr:cNvPr>
        <xdr:cNvSpPr>
          <a:spLocks noChangeShapeType="1"/>
        </xdr:cNvSpPr>
      </xdr:nvSpPr>
      <xdr:spPr bwMode="auto">
        <a:xfrm flipV="1">
          <a:off x="13665200" y="5391150"/>
          <a:ext cx="869950" cy="0"/>
        </a:xfrm>
        <a:prstGeom prst="line">
          <a:avLst/>
        </a:prstGeom>
        <a:noFill/>
        <a:ln w="6350">
          <a:solidFill>
            <a:srgbClr val="000000"/>
          </a:solidFill>
          <a:round/>
          <a:headEnd type="triangle" w="sm" len="lg"/>
          <a:tailEnd type="triangle" w="sm" len="lg"/>
        </a:ln>
      </xdr:spPr>
    </xdr:sp>
    <xdr:clientData/>
  </xdr:twoCellAnchor>
  <xdr:twoCellAnchor>
    <xdr:from>
      <xdr:col>17</xdr:col>
      <xdr:colOff>666750</xdr:colOff>
      <xdr:row>16</xdr:row>
      <xdr:rowOff>57150</xdr:rowOff>
    </xdr:from>
    <xdr:to>
      <xdr:col>18</xdr:col>
      <xdr:colOff>514350</xdr:colOff>
      <xdr:row>16</xdr:row>
      <xdr:rowOff>57150</xdr:rowOff>
    </xdr:to>
    <xdr:sp macro="" textlink="">
      <xdr:nvSpPr>
        <xdr:cNvPr id="5501660" name="Line 287">
          <a:extLst>
            <a:ext uri="{FF2B5EF4-FFF2-40B4-BE49-F238E27FC236}">
              <a16:creationId xmlns:a16="http://schemas.microsoft.com/office/drawing/2014/main" id="{00000000-0008-0000-0700-0000DCF25300}"/>
            </a:ext>
          </a:extLst>
        </xdr:cNvPr>
        <xdr:cNvSpPr>
          <a:spLocks noChangeShapeType="1"/>
        </xdr:cNvSpPr>
      </xdr:nvSpPr>
      <xdr:spPr bwMode="auto">
        <a:xfrm flipV="1">
          <a:off x="14243050" y="2819400"/>
          <a:ext cx="984250" cy="0"/>
        </a:xfrm>
        <a:prstGeom prst="line">
          <a:avLst/>
        </a:prstGeom>
        <a:noFill/>
        <a:ln w="3175">
          <a:solidFill>
            <a:srgbClr val="92D050"/>
          </a:solidFill>
          <a:prstDash val="sysDot"/>
          <a:round/>
          <a:headEnd type="triangle" w="sm" len="sm"/>
          <a:tailEnd type="triangle" w="sm" len="sm"/>
        </a:ln>
      </xdr:spPr>
    </xdr:sp>
    <xdr:clientData/>
  </xdr:twoCellAnchor>
  <xdr:twoCellAnchor>
    <xdr:from>
      <xdr:col>17</xdr:col>
      <xdr:colOff>831850</xdr:colOff>
      <xdr:row>14</xdr:row>
      <xdr:rowOff>127000</xdr:rowOff>
    </xdr:from>
    <xdr:to>
      <xdr:col>19</xdr:col>
      <xdr:colOff>19050</xdr:colOff>
      <xdr:row>14</xdr:row>
      <xdr:rowOff>127000</xdr:rowOff>
    </xdr:to>
    <xdr:sp macro="" textlink="">
      <xdr:nvSpPr>
        <xdr:cNvPr id="5501661" name="Line 289">
          <a:extLst>
            <a:ext uri="{FF2B5EF4-FFF2-40B4-BE49-F238E27FC236}">
              <a16:creationId xmlns:a16="http://schemas.microsoft.com/office/drawing/2014/main" id="{00000000-0008-0000-0700-0000DDF25300}"/>
            </a:ext>
          </a:extLst>
        </xdr:cNvPr>
        <xdr:cNvSpPr>
          <a:spLocks noChangeShapeType="1"/>
        </xdr:cNvSpPr>
      </xdr:nvSpPr>
      <xdr:spPr bwMode="auto">
        <a:xfrm>
          <a:off x="14408150" y="2559050"/>
          <a:ext cx="1460500" cy="0"/>
        </a:xfrm>
        <a:prstGeom prst="line">
          <a:avLst/>
        </a:prstGeom>
        <a:noFill/>
        <a:ln w="6350">
          <a:solidFill>
            <a:srgbClr val="92D050"/>
          </a:solidFill>
          <a:round/>
          <a:headEnd/>
          <a:tailEnd/>
        </a:ln>
      </xdr:spPr>
    </xdr:sp>
    <xdr:clientData/>
  </xdr:twoCellAnchor>
  <xdr:twoCellAnchor>
    <xdr:from>
      <xdr:col>17</xdr:col>
      <xdr:colOff>679450</xdr:colOff>
      <xdr:row>15</xdr:row>
      <xdr:rowOff>127000</xdr:rowOff>
    </xdr:from>
    <xdr:to>
      <xdr:col>19</xdr:col>
      <xdr:colOff>44450</xdr:colOff>
      <xdr:row>15</xdr:row>
      <xdr:rowOff>127000</xdr:rowOff>
    </xdr:to>
    <xdr:sp macro="" textlink="">
      <xdr:nvSpPr>
        <xdr:cNvPr id="5501662" name="Line 290">
          <a:extLst>
            <a:ext uri="{FF2B5EF4-FFF2-40B4-BE49-F238E27FC236}">
              <a16:creationId xmlns:a16="http://schemas.microsoft.com/office/drawing/2014/main" id="{00000000-0008-0000-0700-0000DEF25300}"/>
            </a:ext>
          </a:extLst>
        </xdr:cNvPr>
        <xdr:cNvSpPr>
          <a:spLocks noChangeShapeType="1"/>
        </xdr:cNvSpPr>
      </xdr:nvSpPr>
      <xdr:spPr bwMode="auto">
        <a:xfrm>
          <a:off x="14255750" y="2724150"/>
          <a:ext cx="1638300" cy="0"/>
        </a:xfrm>
        <a:prstGeom prst="line">
          <a:avLst/>
        </a:prstGeom>
        <a:noFill/>
        <a:ln w="6350">
          <a:solidFill>
            <a:srgbClr val="92D050"/>
          </a:solidFill>
          <a:round/>
          <a:headEnd/>
          <a:tailEnd/>
        </a:ln>
      </xdr:spPr>
    </xdr:sp>
    <xdr:clientData/>
  </xdr:twoCellAnchor>
  <xdr:twoCellAnchor>
    <xdr:from>
      <xdr:col>17</xdr:col>
      <xdr:colOff>666750</xdr:colOff>
      <xdr:row>18</xdr:row>
      <xdr:rowOff>69850</xdr:rowOff>
    </xdr:from>
    <xdr:to>
      <xdr:col>19</xdr:col>
      <xdr:colOff>44450</xdr:colOff>
      <xdr:row>18</xdr:row>
      <xdr:rowOff>69850</xdr:rowOff>
    </xdr:to>
    <xdr:sp macro="" textlink="">
      <xdr:nvSpPr>
        <xdr:cNvPr id="5501663" name="Line 291">
          <a:extLst>
            <a:ext uri="{FF2B5EF4-FFF2-40B4-BE49-F238E27FC236}">
              <a16:creationId xmlns:a16="http://schemas.microsoft.com/office/drawing/2014/main" id="{00000000-0008-0000-0700-0000DFF25300}"/>
            </a:ext>
          </a:extLst>
        </xdr:cNvPr>
        <xdr:cNvSpPr>
          <a:spLocks noChangeShapeType="1"/>
        </xdr:cNvSpPr>
      </xdr:nvSpPr>
      <xdr:spPr bwMode="auto">
        <a:xfrm>
          <a:off x="14243050" y="3162300"/>
          <a:ext cx="1651000" cy="0"/>
        </a:xfrm>
        <a:prstGeom prst="line">
          <a:avLst/>
        </a:prstGeom>
        <a:noFill/>
        <a:ln w="6350">
          <a:solidFill>
            <a:srgbClr val="92D050"/>
          </a:solidFill>
          <a:round/>
          <a:headEnd/>
          <a:tailEnd/>
        </a:ln>
      </xdr:spPr>
    </xdr:sp>
    <xdr:clientData/>
  </xdr:twoCellAnchor>
  <xdr:twoCellAnchor>
    <xdr:from>
      <xdr:col>17</xdr:col>
      <xdr:colOff>946150</xdr:colOff>
      <xdr:row>19</xdr:row>
      <xdr:rowOff>139700</xdr:rowOff>
    </xdr:from>
    <xdr:to>
      <xdr:col>19</xdr:col>
      <xdr:colOff>12700</xdr:colOff>
      <xdr:row>19</xdr:row>
      <xdr:rowOff>139700</xdr:rowOff>
    </xdr:to>
    <xdr:sp macro="" textlink="">
      <xdr:nvSpPr>
        <xdr:cNvPr id="5501664" name="Line 292">
          <a:extLst>
            <a:ext uri="{FF2B5EF4-FFF2-40B4-BE49-F238E27FC236}">
              <a16:creationId xmlns:a16="http://schemas.microsoft.com/office/drawing/2014/main" id="{00000000-0008-0000-0700-0000E0F25300}"/>
            </a:ext>
          </a:extLst>
        </xdr:cNvPr>
        <xdr:cNvSpPr>
          <a:spLocks noChangeShapeType="1"/>
        </xdr:cNvSpPr>
      </xdr:nvSpPr>
      <xdr:spPr bwMode="auto">
        <a:xfrm>
          <a:off x="14522450" y="3397250"/>
          <a:ext cx="1339850" cy="0"/>
        </a:xfrm>
        <a:prstGeom prst="line">
          <a:avLst/>
        </a:prstGeom>
        <a:noFill/>
        <a:ln w="6350">
          <a:solidFill>
            <a:srgbClr val="92D050"/>
          </a:solidFill>
          <a:round/>
          <a:headEnd/>
          <a:tailEnd/>
        </a:ln>
      </xdr:spPr>
    </xdr:sp>
    <xdr:clientData/>
  </xdr:twoCellAnchor>
  <xdr:twoCellAnchor>
    <xdr:from>
      <xdr:col>17</xdr:col>
      <xdr:colOff>1136650</xdr:colOff>
      <xdr:row>1</xdr:row>
      <xdr:rowOff>0</xdr:rowOff>
    </xdr:from>
    <xdr:to>
      <xdr:col>18</xdr:col>
      <xdr:colOff>0</xdr:colOff>
      <xdr:row>14</xdr:row>
      <xdr:rowOff>127000</xdr:rowOff>
    </xdr:to>
    <xdr:sp macro="" textlink="">
      <xdr:nvSpPr>
        <xdr:cNvPr id="5501665" name="Line 293">
          <a:extLst>
            <a:ext uri="{FF2B5EF4-FFF2-40B4-BE49-F238E27FC236}">
              <a16:creationId xmlns:a16="http://schemas.microsoft.com/office/drawing/2014/main" id="{00000000-0008-0000-0700-0000E1F25300}"/>
            </a:ext>
          </a:extLst>
        </xdr:cNvPr>
        <xdr:cNvSpPr>
          <a:spLocks noChangeShapeType="1"/>
        </xdr:cNvSpPr>
      </xdr:nvSpPr>
      <xdr:spPr bwMode="auto">
        <a:xfrm flipH="1">
          <a:off x="14712950" y="171450"/>
          <a:ext cx="0" cy="2387600"/>
        </a:xfrm>
        <a:prstGeom prst="line">
          <a:avLst/>
        </a:prstGeom>
        <a:noFill/>
        <a:ln w="9525">
          <a:solidFill>
            <a:srgbClr val="92D050"/>
          </a:solidFill>
          <a:prstDash val="sysDot"/>
          <a:round/>
          <a:headEnd type="triangle" w="sm" len="sm"/>
          <a:tailEnd type="triangle" w="sm" len="sm"/>
        </a:ln>
      </xdr:spPr>
    </xdr:sp>
    <xdr:clientData/>
  </xdr:twoCellAnchor>
  <xdr:twoCellAnchor>
    <xdr:from>
      <xdr:col>18</xdr:col>
      <xdr:colOff>190500</xdr:colOff>
      <xdr:row>1</xdr:row>
      <xdr:rowOff>0</xdr:rowOff>
    </xdr:from>
    <xdr:to>
      <xdr:col>18</xdr:col>
      <xdr:colOff>190500</xdr:colOff>
      <xdr:row>18</xdr:row>
      <xdr:rowOff>69850</xdr:rowOff>
    </xdr:to>
    <xdr:sp macro="" textlink="">
      <xdr:nvSpPr>
        <xdr:cNvPr id="5501666" name="Line 294">
          <a:extLst>
            <a:ext uri="{FF2B5EF4-FFF2-40B4-BE49-F238E27FC236}">
              <a16:creationId xmlns:a16="http://schemas.microsoft.com/office/drawing/2014/main" id="{00000000-0008-0000-0700-0000E2F25300}"/>
            </a:ext>
          </a:extLst>
        </xdr:cNvPr>
        <xdr:cNvSpPr>
          <a:spLocks noChangeShapeType="1"/>
        </xdr:cNvSpPr>
      </xdr:nvSpPr>
      <xdr:spPr bwMode="auto">
        <a:xfrm>
          <a:off x="14903450" y="171450"/>
          <a:ext cx="0" cy="2990850"/>
        </a:xfrm>
        <a:prstGeom prst="line">
          <a:avLst/>
        </a:prstGeom>
        <a:noFill/>
        <a:ln w="9525">
          <a:solidFill>
            <a:srgbClr val="92D050"/>
          </a:solidFill>
          <a:prstDash val="sysDot"/>
          <a:round/>
          <a:headEnd type="triangle" w="sm" len="sm"/>
          <a:tailEnd type="triangle" w="sm" len="sm"/>
        </a:ln>
      </xdr:spPr>
    </xdr:sp>
    <xdr:clientData/>
  </xdr:twoCellAnchor>
  <xdr:twoCellAnchor>
    <xdr:from>
      <xdr:col>19</xdr:col>
      <xdr:colOff>19050</xdr:colOff>
      <xdr:row>14</xdr:row>
      <xdr:rowOff>127000</xdr:rowOff>
    </xdr:from>
    <xdr:to>
      <xdr:col>19</xdr:col>
      <xdr:colOff>19050</xdr:colOff>
      <xdr:row>15</xdr:row>
      <xdr:rowOff>127000</xdr:rowOff>
    </xdr:to>
    <xdr:sp macro="" textlink="">
      <xdr:nvSpPr>
        <xdr:cNvPr id="5501667" name="Line 295">
          <a:extLst>
            <a:ext uri="{FF2B5EF4-FFF2-40B4-BE49-F238E27FC236}">
              <a16:creationId xmlns:a16="http://schemas.microsoft.com/office/drawing/2014/main" id="{00000000-0008-0000-0700-0000E3F25300}"/>
            </a:ext>
          </a:extLst>
        </xdr:cNvPr>
        <xdr:cNvSpPr>
          <a:spLocks noChangeShapeType="1"/>
        </xdr:cNvSpPr>
      </xdr:nvSpPr>
      <xdr:spPr bwMode="auto">
        <a:xfrm>
          <a:off x="15868650" y="2559050"/>
          <a:ext cx="0" cy="165100"/>
        </a:xfrm>
        <a:prstGeom prst="line">
          <a:avLst/>
        </a:prstGeom>
        <a:noFill/>
        <a:ln w="3175">
          <a:solidFill>
            <a:srgbClr val="92D050"/>
          </a:solidFill>
          <a:prstDash val="sysDot"/>
          <a:round/>
          <a:headEnd type="triangle" w="sm" len="sm"/>
          <a:tailEnd type="triangle" w="sm" len="sm"/>
        </a:ln>
      </xdr:spPr>
    </xdr:sp>
    <xdr:clientData/>
  </xdr:twoCellAnchor>
  <xdr:twoCellAnchor>
    <xdr:from>
      <xdr:col>19</xdr:col>
      <xdr:colOff>12700</xdr:colOff>
      <xdr:row>18</xdr:row>
      <xdr:rowOff>69850</xdr:rowOff>
    </xdr:from>
    <xdr:to>
      <xdr:col>19</xdr:col>
      <xdr:colOff>12700</xdr:colOff>
      <xdr:row>19</xdr:row>
      <xdr:rowOff>139700</xdr:rowOff>
    </xdr:to>
    <xdr:sp macro="" textlink="">
      <xdr:nvSpPr>
        <xdr:cNvPr id="5501668" name="Line 296">
          <a:extLst>
            <a:ext uri="{FF2B5EF4-FFF2-40B4-BE49-F238E27FC236}">
              <a16:creationId xmlns:a16="http://schemas.microsoft.com/office/drawing/2014/main" id="{00000000-0008-0000-0700-0000E4F25300}"/>
            </a:ext>
          </a:extLst>
        </xdr:cNvPr>
        <xdr:cNvSpPr>
          <a:spLocks noChangeShapeType="1"/>
        </xdr:cNvSpPr>
      </xdr:nvSpPr>
      <xdr:spPr bwMode="auto">
        <a:xfrm>
          <a:off x="15862300" y="3162300"/>
          <a:ext cx="0" cy="234950"/>
        </a:xfrm>
        <a:prstGeom prst="line">
          <a:avLst/>
        </a:prstGeom>
        <a:noFill/>
        <a:ln w="9525">
          <a:solidFill>
            <a:srgbClr val="92D050"/>
          </a:solidFill>
          <a:prstDash val="sysDot"/>
          <a:round/>
          <a:headEnd type="triangle" w="sm" len="sm"/>
          <a:tailEnd type="triangle" w="sm" len="sm"/>
        </a:ln>
      </xdr:spPr>
    </xdr:sp>
    <xdr:clientData/>
  </xdr:twoCellAnchor>
  <xdr:twoCellAnchor>
    <xdr:from>
      <xdr:col>17</xdr:col>
      <xdr:colOff>0</xdr:colOff>
      <xdr:row>11</xdr:row>
      <xdr:rowOff>101600</xdr:rowOff>
    </xdr:from>
    <xdr:to>
      <xdr:col>17</xdr:col>
      <xdr:colOff>838200</xdr:colOff>
      <xdr:row>11</xdr:row>
      <xdr:rowOff>101600</xdr:rowOff>
    </xdr:to>
    <xdr:sp macro="" textlink="">
      <xdr:nvSpPr>
        <xdr:cNvPr id="5501669" name="Line 297">
          <a:extLst>
            <a:ext uri="{FF2B5EF4-FFF2-40B4-BE49-F238E27FC236}">
              <a16:creationId xmlns:a16="http://schemas.microsoft.com/office/drawing/2014/main" id="{00000000-0008-0000-0700-0000E5F25300}"/>
            </a:ext>
          </a:extLst>
        </xdr:cNvPr>
        <xdr:cNvSpPr>
          <a:spLocks noChangeShapeType="1"/>
        </xdr:cNvSpPr>
      </xdr:nvSpPr>
      <xdr:spPr bwMode="auto">
        <a:xfrm>
          <a:off x="13576300" y="2032000"/>
          <a:ext cx="838200" cy="0"/>
        </a:xfrm>
        <a:prstGeom prst="line">
          <a:avLst/>
        </a:prstGeom>
        <a:noFill/>
        <a:ln w="9525">
          <a:solidFill>
            <a:srgbClr val="000000"/>
          </a:solidFill>
          <a:round/>
          <a:headEnd/>
          <a:tailEnd/>
        </a:ln>
      </xdr:spPr>
    </xdr:sp>
    <xdr:clientData/>
  </xdr:twoCellAnchor>
  <xdr:twoCellAnchor>
    <xdr:from>
      <xdr:col>17</xdr:col>
      <xdr:colOff>0</xdr:colOff>
      <xdr:row>16</xdr:row>
      <xdr:rowOff>69850</xdr:rowOff>
    </xdr:from>
    <xdr:to>
      <xdr:col>17</xdr:col>
      <xdr:colOff>679450</xdr:colOff>
      <xdr:row>16</xdr:row>
      <xdr:rowOff>69850</xdr:rowOff>
    </xdr:to>
    <xdr:sp macro="" textlink="">
      <xdr:nvSpPr>
        <xdr:cNvPr id="5501670" name="Line 298">
          <a:extLst>
            <a:ext uri="{FF2B5EF4-FFF2-40B4-BE49-F238E27FC236}">
              <a16:creationId xmlns:a16="http://schemas.microsoft.com/office/drawing/2014/main" id="{00000000-0008-0000-0700-0000E6F25300}"/>
            </a:ext>
          </a:extLst>
        </xdr:cNvPr>
        <xdr:cNvSpPr>
          <a:spLocks noChangeShapeType="1"/>
        </xdr:cNvSpPr>
      </xdr:nvSpPr>
      <xdr:spPr bwMode="auto">
        <a:xfrm>
          <a:off x="13576300" y="2832100"/>
          <a:ext cx="679450" cy="0"/>
        </a:xfrm>
        <a:prstGeom prst="line">
          <a:avLst/>
        </a:prstGeom>
        <a:noFill/>
        <a:ln w="9525">
          <a:solidFill>
            <a:srgbClr val="92D050"/>
          </a:solidFill>
          <a:round/>
          <a:headEnd/>
          <a:tailEnd/>
        </a:ln>
      </xdr:spPr>
    </xdr:sp>
    <xdr:clientData/>
  </xdr:twoCellAnchor>
  <xdr:twoCellAnchor>
    <xdr:from>
      <xdr:col>17</xdr:col>
      <xdr:colOff>514350</xdr:colOff>
      <xdr:row>31</xdr:row>
      <xdr:rowOff>127000</xdr:rowOff>
    </xdr:from>
    <xdr:to>
      <xdr:col>17</xdr:col>
      <xdr:colOff>514350</xdr:colOff>
      <xdr:row>33</xdr:row>
      <xdr:rowOff>95250</xdr:rowOff>
    </xdr:to>
    <xdr:sp macro="" textlink="">
      <xdr:nvSpPr>
        <xdr:cNvPr id="5501671" name="Line 301">
          <a:extLst>
            <a:ext uri="{FF2B5EF4-FFF2-40B4-BE49-F238E27FC236}">
              <a16:creationId xmlns:a16="http://schemas.microsoft.com/office/drawing/2014/main" id="{00000000-0008-0000-0700-0000E7F25300}"/>
            </a:ext>
          </a:extLst>
        </xdr:cNvPr>
        <xdr:cNvSpPr>
          <a:spLocks noChangeShapeType="1"/>
        </xdr:cNvSpPr>
      </xdr:nvSpPr>
      <xdr:spPr bwMode="auto">
        <a:xfrm flipH="1">
          <a:off x="14090650" y="5391150"/>
          <a:ext cx="0" cy="311150"/>
        </a:xfrm>
        <a:prstGeom prst="line">
          <a:avLst/>
        </a:prstGeom>
        <a:noFill/>
        <a:ln w="9525">
          <a:solidFill>
            <a:srgbClr val="000000"/>
          </a:solidFill>
          <a:round/>
          <a:headEnd/>
          <a:tailEnd/>
        </a:ln>
      </xdr:spPr>
    </xdr:sp>
    <xdr:clientData/>
  </xdr:twoCellAnchor>
  <xdr:twoCellAnchor>
    <xdr:from>
      <xdr:col>17</xdr:col>
      <xdr:colOff>0</xdr:colOff>
      <xdr:row>2</xdr:row>
      <xdr:rowOff>76200</xdr:rowOff>
    </xdr:from>
    <xdr:to>
      <xdr:col>17</xdr:col>
      <xdr:colOff>152400</xdr:colOff>
      <xdr:row>2</xdr:row>
      <xdr:rowOff>76200</xdr:rowOff>
    </xdr:to>
    <xdr:sp macro="" textlink="">
      <xdr:nvSpPr>
        <xdr:cNvPr id="5501672" name="Line 302">
          <a:extLst>
            <a:ext uri="{FF2B5EF4-FFF2-40B4-BE49-F238E27FC236}">
              <a16:creationId xmlns:a16="http://schemas.microsoft.com/office/drawing/2014/main" id="{00000000-0008-0000-0700-0000E8F25300}"/>
            </a:ext>
          </a:extLst>
        </xdr:cNvPr>
        <xdr:cNvSpPr>
          <a:spLocks noChangeShapeType="1"/>
        </xdr:cNvSpPr>
      </xdr:nvSpPr>
      <xdr:spPr bwMode="auto">
        <a:xfrm>
          <a:off x="13576300" y="419100"/>
          <a:ext cx="152400" cy="0"/>
        </a:xfrm>
        <a:prstGeom prst="line">
          <a:avLst/>
        </a:prstGeom>
        <a:noFill/>
        <a:ln w="9525">
          <a:solidFill>
            <a:srgbClr val="000000"/>
          </a:solidFill>
          <a:round/>
          <a:headEnd/>
          <a:tailEnd/>
        </a:ln>
      </xdr:spPr>
    </xdr:sp>
    <xdr:clientData/>
  </xdr:twoCellAnchor>
  <xdr:twoCellAnchor>
    <xdr:from>
      <xdr:col>17</xdr:col>
      <xdr:colOff>1771650</xdr:colOff>
      <xdr:row>10</xdr:row>
      <xdr:rowOff>88900</xdr:rowOff>
    </xdr:from>
    <xdr:to>
      <xdr:col>20</xdr:col>
      <xdr:colOff>0</xdr:colOff>
      <xdr:row>10</xdr:row>
      <xdr:rowOff>88900</xdr:rowOff>
    </xdr:to>
    <xdr:sp macro="" textlink="">
      <xdr:nvSpPr>
        <xdr:cNvPr id="5501673" name="Line 303">
          <a:extLst>
            <a:ext uri="{FF2B5EF4-FFF2-40B4-BE49-F238E27FC236}">
              <a16:creationId xmlns:a16="http://schemas.microsoft.com/office/drawing/2014/main" id="{00000000-0008-0000-0700-0000E9F25300}"/>
            </a:ext>
          </a:extLst>
        </xdr:cNvPr>
        <xdr:cNvSpPr>
          <a:spLocks noChangeShapeType="1"/>
        </xdr:cNvSpPr>
      </xdr:nvSpPr>
      <xdr:spPr bwMode="auto">
        <a:xfrm flipV="1">
          <a:off x="14712950" y="1847850"/>
          <a:ext cx="1949450" cy="0"/>
        </a:xfrm>
        <a:prstGeom prst="line">
          <a:avLst/>
        </a:prstGeom>
        <a:noFill/>
        <a:ln w="9525">
          <a:solidFill>
            <a:srgbClr val="92D050"/>
          </a:solidFill>
          <a:prstDash val="sysDot"/>
          <a:round/>
          <a:headEnd/>
          <a:tailEnd/>
        </a:ln>
      </xdr:spPr>
    </xdr:sp>
    <xdr:clientData/>
  </xdr:twoCellAnchor>
  <xdr:twoCellAnchor>
    <xdr:from>
      <xdr:col>18</xdr:col>
      <xdr:colOff>190500</xdr:colOff>
      <xdr:row>12</xdr:row>
      <xdr:rowOff>76200</xdr:rowOff>
    </xdr:from>
    <xdr:to>
      <xdr:col>20</xdr:col>
      <xdr:colOff>0</xdr:colOff>
      <xdr:row>12</xdr:row>
      <xdr:rowOff>76200</xdr:rowOff>
    </xdr:to>
    <xdr:sp macro="" textlink="">
      <xdr:nvSpPr>
        <xdr:cNvPr id="5501674" name="Line 304">
          <a:extLst>
            <a:ext uri="{FF2B5EF4-FFF2-40B4-BE49-F238E27FC236}">
              <a16:creationId xmlns:a16="http://schemas.microsoft.com/office/drawing/2014/main" id="{00000000-0008-0000-0700-0000EAF25300}"/>
            </a:ext>
          </a:extLst>
        </xdr:cNvPr>
        <xdr:cNvSpPr>
          <a:spLocks noChangeShapeType="1"/>
        </xdr:cNvSpPr>
      </xdr:nvSpPr>
      <xdr:spPr bwMode="auto">
        <a:xfrm flipV="1">
          <a:off x="14903450" y="2178050"/>
          <a:ext cx="1758950" cy="0"/>
        </a:xfrm>
        <a:prstGeom prst="line">
          <a:avLst/>
        </a:prstGeom>
        <a:noFill/>
        <a:ln w="9525">
          <a:solidFill>
            <a:srgbClr val="92D050"/>
          </a:solidFill>
          <a:prstDash val="sysDot"/>
          <a:round/>
          <a:headEnd/>
          <a:tailEnd/>
        </a:ln>
      </xdr:spPr>
    </xdr:sp>
    <xdr:clientData/>
  </xdr:twoCellAnchor>
  <xdr:twoCellAnchor>
    <xdr:from>
      <xdr:col>19</xdr:col>
      <xdr:colOff>19050</xdr:colOff>
      <xdr:row>15</xdr:row>
      <xdr:rowOff>44450</xdr:rowOff>
    </xdr:from>
    <xdr:to>
      <xdr:col>19</xdr:col>
      <xdr:colOff>787400</xdr:colOff>
      <xdr:row>15</xdr:row>
      <xdr:rowOff>44450</xdr:rowOff>
    </xdr:to>
    <xdr:sp macro="" textlink="">
      <xdr:nvSpPr>
        <xdr:cNvPr id="5501675" name="Line 305">
          <a:extLst>
            <a:ext uri="{FF2B5EF4-FFF2-40B4-BE49-F238E27FC236}">
              <a16:creationId xmlns:a16="http://schemas.microsoft.com/office/drawing/2014/main" id="{00000000-0008-0000-0700-0000EBF25300}"/>
            </a:ext>
          </a:extLst>
        </xdr:cNvPr>
        <xdr:cNvSpPr>
          <a:spLocks noChangeShapeType="1"/>
        </xdr:cNvSpPr>
      </xdr:nvSpPr>
      <xdr:spPr bwMode="auto">
        <a:xfrm flipV="1">
          <a:off x="15868650" y="2641600"/>
          <a:ext cx="768350" cy="0"/>
        </a:xfrm>
        <a:prstGeom prst="line">
          <a:avLst/>
        </a:prstGeom>
        <a:noFill/>
        <a:ln w="9525">
          <a:solidFill>
            <a:srgbClr val="92D050"/>
          </a:solidFill>
          <a:prstDash val="sysDot"/>
          <a:round/>
          <a:headEnd/>
          <a:tailEnd/>
        </a:ln>
      </xdr:spPr>
    </xdr:sp>
    <xdr:clientData/>
  </xdr:twoCellAnchor>
  <xdr:twoCellAnchor>
    <xdr:from>
      <xdr:col>19</xdr:col>
      <xdr:colOff>19050</xdr:colOff>
      <xdr:row>19</xdr:row>
      <xdr:rowOff>25400</xdr:rowOff>
    </xdr:from>
    <xdr:to>
      <xdr:col>19</xdr:col>
      <xdr:colOff>806450</xdr:colOff>
      <xdr:row>19</xdr:row>
      <xdr:rowOff>25400</xdr:rowOff>
    </xdr:to>
    <xdr:sp macro="" textlink="">
      <xdr:nvSpPr>
        <xdr:cNvPr id="5501676" name="Line 308">
          <a:extLst>
            <a:ext uri="{FF2B5EF4-FFF2-40B4-BE49-F238E27FC236}">
              <a16:creationId xmlns:a16="http://schemas.microsoft.com/office/drawing/2014/main" id="{00000000-0008-0000-0700-0000ECF25300}"/>
            </a:ext>
          </a:extLst>
        </xdr:cNvPr>
        <xdr:cNvSpPr>
          <a:spLocks noChangeShapeType="1"/>
        </xdr:cNvSpPr>
      </xdr:nvSpPr>
      <xdr:spPr bwMode="auto">
        <a:xfrm flipH="1" flipV="1">
          <a:off x="15868650" y="3282950"/>
          <a:ext cx="787400" cy="0"/>
        </a:xfrm>
        <a:prstGeom prst="line">
          <a:avLst/>
        </a:prstGeom>
        <a:noFill/>
        <a:ln w="9525">
          <a:solidFill>
            <a:srgbClr val="92D050"/>
          </a:solidFill>
          <a:prstDash val="sysDot"/>
          <a:round/>
          <a:headEnd type="none" w="sm" len="sm"/>
          <a:tailEnd type="none" w="sm" len="sm"/>
        </a:ln>
      </xdr:spPr>
    </xdr:sp>
    <xdr:clientData/>
  </xdr:twoCellAnchor>
  <xdr:twoCellAnchor>
    <xdr:from>
      <xdr:col>15</xdr:col>
      <xdr:colOff>812800</xdr:colOff>
      <xdr:row>28</xdr:row>
      <xdr:rowOff>88900</xdr:rowOff>
    </xdr:from>
    <xdr:to>
      <xdr:col>16</xdr:col>
      <xdr:colOff>323850</xdr:colOff>
      <xdr:row>28</xdr:row>
      <xdr:rowOff>88900</xdr:rowOff>
    </xdr:to>
    <xdr:sp macro="" textlink="">
      <xdr:nvSpPr>
        <xdr:cNvPr id="5501677" name="Line 310">
          <a:extLst>
            <a:ext uri="{FF2B5EF4-FFF2-40B4-BE49-F238E27FC236}">
              <a16:creationId xmlns:a16="http://schemas.microsoft.com/office/drawing/2014/main" id="{00000000-0008-0000-0700-0000EDF25300}"/>
            </a:ext>
          </a:extLst>
        </xdr:cNvPr>
        <xdr:cNvSpPr>
          <a:spLocks noChangeShapeType="1"/>
        </xdr:cNvSpPr>
      </xdr:nvSpPr>
      <xdr:spPr bwMode="auto">
        <a:xfrm>
          <a:off x="12763500" y="4838700"/>
          <a:ext cx="323850" cy="0"/>
        </a:xfrm>
        <a:prstGeom prst="line">
          <a:avLst/>
        </a:prstGeom>
        <a:noFill/>
        <a:ln w="9525">
          <a:solidFill>
            <a:srgbClr val="000000"/>
          </a:solidFill>
          <a:round/>
          <a:headEnd/>
          <a:tailEnd/>
        </a:ln>
      </xdr:spPr>
    </xdr:sp>
    <xdr:clientData/>
  </xdr:twoCellAnchor>
  <xdr:twoCellAnchor>
    <xdr:from>
      <xdr:col>16</xdr:col>
      <xdr:colOff>234950</xdr:colOff>
      <xdr:row>27</xdr:row>
      <xdr:rowOff>127000</xdr:rowOff>
    </xdr:from>
    <xdr:to>
      <xdr:col>17</xdr:col>
      <xdr:colOff>69850</xdr:colOff>
      <xdr:row>27</xdr:row>
      <xdr:rowOff>127000</xdr:rowOff>
    </xdr:to>
    <xdr:sp macro="" textlink="">
      <xdr:nvSpPr>
        <xdr:cNvPr id="5501678" name="Line 277">
          <a:extLst>
            <a:ext uri="{FF2B5EF4-FFF2-40B4-BE49-F238E27FC236}">
              <a16:creationId xmlns:a16="http://schemas.microsoft.com/office/drawing/2014/main" id="{00000000-0008-0000-0700-0000EEF25300}"/>
            </a:ext>
          </a:extLst>
        </xdr:cNvPr>
        <xdr:cNvSpPr>
          <a:spLocks noChangeShapeType="1"/>
        </xdr:cNvSpPr>
      </xdr:nvSpPr>
      <xdr:spPr bwMode="auto">
        <a:xfrm>
          <a:off x="12998450" y="4705350"/>
          <a:ext cx="647700" cy="0"/>
        </a:xfrm>
        <a:prstGeom prst="line">
          <a:avLst/>
        </a:prstGeom>
        <a:noFill/>
        <a:ln w="6350">
          <a:solidFill>
            <a:srgbClr val="000000"/>
          </a:solidFill>
          <a:round/>
          <a:headEnd/>
          <a:tailEnd/>
        </a:ln>
      </xdr:spPr>
    </xdr:sp>
    <xdr:clientData/>
  </xdr:twoCellAnchor>
  <xdr:twoCellAnchor>
    <xdr:from>
      <xdr:col>17</xdr:col>
      <xdr:colOff>412750</xdr:colOff>
      <xdr:row>28</xdr:row>
      <xdr:rowOff>127000</xdr:rowOff>
    </xdr:from>
    <xdr:to>
      <xdr:col>19</xdr:col>
      <xdr:colOff>82550</xdr:colOff>
      <xdr:row>28</xdr:row>
      <xdr:rowOff>127000</xdr:rowOff>
    </xdr:to>
    <xdr:sp macro="" textlink="">
      <xdr:nvSpPr>
        <xdr:cNvPr id="5501679" name="Line 280">
          <a:extLst>
            <a:ext uri="{FF2B5EF4-FFF2-40B4-BE49-F238E27FC236}">
              <a16:creationId xmlns:a16="http://schemas.microsoft.com/office/drawing/2014/main" id="{00000000-0008-0000-0700-0000EFF25300}"/>
            </a:ext>
          </a:extLst>
        </xdr:cNvPr>
        <xdr:cNvSpPr>
          <a:spLocks noChangeShapeType="1"/>
        </xdr:cNvSpPr>
      </xdr:nvSpPr>
      <xdr:spPr bwMode="auto">
        <a:xfrm flipV="1">
          <a:off x="13989050" y="4876800"/>
          <a:ext cx="1943100" cy="0"/>
        </a:xfrm>
        <a:prstGeom prst="line">
          <a:avLst/>
        </a:prstGeom>
        <a:noFill/>
        <a:ln w="6350">
          <a:solidFill>
            <a:srgbClr val="000000"/>
          </a:solidFill>
          <a:round/>
          <a:headEnd/>
          <a:tailEnd/>
        </a:ln>
      </xdr:spPr>
    </xdr:sp>
    <xdr:clientData/>
  </xdr:twoCellAnchor>
  <xdr:twoCellAnchor>
    <xdr:from>
      <xdr:col>18</xdr:col>
      <xdr:colOff>165100</xdr:colOff>
      <xdr:row>30</xdr:row>
      <xdr:rowOff>44450</xdr:rowOff>
    </xdr:from>
    <xdr:to>
      <xdr:col>18</xdr:col>
      <xdr:colOff>927100</xdr:colOff>
      <xdr:row>30</xdr:row>
      <xdr:rowOff>44450</xdr:rowOff>
    </xdr:to>
    <xdr:sp macro="" textlink="">
      <xdr:nvSpPr>
        <xdr:cNvPr id="5501680" name="Line 280">
          <a:extLst>
            <a:ext uri="{FF2B5EF4-FFF2-40B4-BE49-F238E27FC236}">
              <a16:creationId xmlns:a16="http://schemas.microsoft.com/office/drawing/2014/main" id="{00000000-0008-0000-0700-0000F0F25300}"/>
            </a:ext>
          </a:extLst>
        </xdr:cNvPr>
        <xdr:cNvSpPr>
          <a:spLocks noChangeShapeType="1"/>
        </xdr:cNvSpPr>
      </xdr:nvSpPr>
      <xdr:spPr bwMode="auto">
        <a:xfrm>
          <a:off x="14878050" y="5137150"/>
          <a:ext cx="762000" cy="0"/>
        </a:xfrm>
        <a:prstGeom prst="line">
          <a:avLst/>
        </a:prstGeom>
        <a:noFill/>
        <a:ln w="6350">
          <a:solidFill>
            <a:srgbClr val="000000"/>
          </a:solidFill>
          <a:round/>
          <a:headEnd/>
          <a:tailEnd/>
        </a:ln>
      </xdr:spPr>
    </xdr:sp>
    <xdr:clientData/>
  </xdr:twoCellAnchor>
  <xdr:twoCellAnchor>
    <xdr:from>
      <xdr:col>17</xdr:col>
      <xdr:colOff>1047750</xdr:colOff>
      <xdr:row>20</xdr:row>
      <xdr:rowOff>0</xdr:rowOff>
    </xdr:from>
    <xdr:to>
      <xdr:col>18</xdr:col>
      <xdr:colOff>158750</xdr:colOff>
      <xdr:row>30</xdr:row>
      <xdr:rowOff>44450</xdr:rowOff>
    </xdr:to>
    <xdr:sp macro="" textlink="">
      <xdr:nvSpPr>
        <xdr:cNvPr id="5501681" name="Rectangle 139">
          <a:extLst>
            <a:ext uri="{FF2B5EF4-FFF2-40B4-BE49-F238E27FC236}">
              <a16:creationId xmlns:a16="http://schemas.microsoft.com/office/drawing/2014/main" id="{00000000-0008-0000-0700-0000F1F25300}"/>
            </a:ext>
          </a:extLst>
        </xdr:cNvPr>
        <xdr:cNvSpPr>
          <a:spLocks noChangeArrowheads="1"/>
        </xdr:cNvSpPr>
      </xdr:nvSpPr>
      <xdr:spPr bwMode="auto">
        <a:xfrm>
          <a:off x="14624050" y="3422650"/>
          <a:ext cx="247650" cy="1714500"/>
        </a:xfrm>
        <a:prstGeom prst="rect">
          <a:avLst/>
        </a:prstGeom>
        <a:noFill/>
        <a:ln w="9525" algn="ctr">
          <a:solidFill>
            <a:srgbClr val="00B0F0"/>
          </a:solidFill>
          <a:prstDash val="sysDash"/>
          <a:round/>
          <a:headEnd/>
          <a:tailEnd/>
        </a:ln>
      </xdr:spPr>
    </xdr:sp>
    <xdr:clientData/>
  </xdr:twoCellAnchor>
  <xdr:twoCellAnchor>
    <xdr:from>
      <xdr:col>18</xdr:col>
      <xdr:colOff>927100</xdr:colOff>
      <xdr:row>1</xdr:row>
      <xdr:rowOff>12700</xdr:rowOff>
    </xdr:from>
    <xdr:to>
      <xdr:col>18</xdr:col>
      <xdr:colOff>927100</xdr:colOff>
      <xdr:row>29</xdr:row>
      <xdr:rowOff>69850</xdr:rowOff>
    </xdr:to>
    <xdr:sp macro="" textlink="">
      <xdr:nvSpPr>
        <xdr:cNvPr id="5501682" name="Line 270">
          <a:extLst>
            <a:ext uri="{FF2B5EF4-FFF2-40B4-BE49-F238E27FC236}">
              <a16:creationId xmlns:a16="http://schemas.microsoft.com/office/drawing/2014/main" id="{00000000-0008-0000-0700-0000F2F25300}"/>
            </a:ext>
          </a:extLst>
        </xdr:cNvPr>
        <xdr:cNvSpPr>
          <a:spLocks noChangeShapeType="1"/>
        </xdr:cNvSpPr>
      </xdr:nvSpPr>
      <xdr:spPr bwMode="auto">
        <a:xfrm flipH="1">
          <a:off x="15640050" y="184150"/>
          <a:ext cx="0" cy="4806950"/>
        </a:xfrm>
        <a:prstGeom prst="line">
          <a:avLst/>
        </a:prstGeom>
        <a:noFill/>
        <a:ln w="6350">
          <a:solidFill>
            <a:srgbClr val="000000"/>
          </a:solidFill>
          <a:round/>
          <a:headEnd type="triangle" w="sm" len="lg"/>
          <a:tailEnd type="triangle" w="sm" len="lg"/>
        </a:ln>
      </xdr:spPr>
    </xdr:sp>
    <xdr:clientData/>
  </xdr:twoCellAnchor>
  <xdr:twoCellAnchor>
    <xdr:from>
      <xdr:col>17</xdr:col>
      <xdr:colOff>12700</xdr:colOff>
      <xdr:row>33</xdr:row>
      <xdr:rowOff>95250</xdr:rowOff>
    </xdr:from>
    <xdr:to>
      <xdr:col>17</xdr:col>
      <xdr:colOff>520700</xdr:colOff>
      <xdr:row>33</xdr:row>
      <xdr:rowOff>95250</xdr:rowOff>
    </xdr:to>
    <xdr:sp macro="" textlink="">
      <xdr:nvSpPr>
        <xdr:cNvPr id="5501683" name="Line 301">
          <a:extLst>
            <a:ext uri="{FF2B5EF4-FFF2-40B4-BE49-F238E27FC236}">
              <a16:creationId xmlns:a16="http://schemas.microsoft.com/office/drawing/2014/main" id="{00000000-0008-0000-0700-0000F3F25300}"/>
            </a:ext>
          </a:extLst>
        </xdr:cNvPr>
        <xdr:cNvSpPr>
          <a:spLocks noChangeShapeType="1"/>
        </xdr:cNvSpPr>
      </xdr:nvSpPr>
      <xdr:spPr bwMode="auto">
        <a:xfrm>
          <a:off x="13589000" y="5702300"/>
          <a:ext cx="508000" cy="0"/>
        </a:xfrm>
        <a:prstGeom prst="line">
          <a:avLst/>
        </a:prstGeom>
        <a:noFill/>
        <a:ln w="9525">
          <a:solidFill>
            <a:srgbClr val="000000"/>
          </a:solidFill>
          <a:round/>
          <a:headEnd/>
          <a:tailEnd/>
        </a:ln>
      </xdr:spPr>
    </xdr:sp>
    <xdr:clientData/>
  </xdr:twoCellAnchor>
  <xdr:twoCellAnchor>
    <xdr:from>
      <xdr:col>18</xdr:col>
      <xdr:colOff>787400</xdr:colOff>
      <xdr:row>1</xdr:row>
      <xdr:rowOff>19050</xdr:rowOff>
    </xdr:from>
    <xdr:to>
      <xdr:col>18</xdr:col>
      <xdr:colOff>787400</xdr:colOff>
      <xdr:row>30</xdr:row>
      <xdr:rowOff>38100</xdr:rowOff>
    </xdr:to>
    <xdr:sp macro="" textlink="">
      <xdr:nvSpPr>
        <xdr:cNvPr id="5501684" name="Line 270">
          <a:extLst>
            <a:ext uri="{FF2B5EF4-FFF2-40B4-BE49-F238E27FC236}">
              <a16:creationId xmlns:a16="http://schemas.microsoft.com/office/drawing/2014/main" id="{00000000-0008-0000-0700-0000F4F25300}"/>
            </a:ext>
          </a:extLst>
        </xdr:cNvPr>
        <xdr:cNvSpPr>
          <a:spLocks noChangeShapeType="1"/>
        </xdr:cNvSpPr>
      </xdr:nvSpPr>
      <xdr:spPr bwMode="auto">
        <a:xfrm>
          <a:off x="15500350" y="190500"/>
          <a:ext cx="0" cy="4940300"/>
        </a:xfrm>
        <a:prstGeom prst="line">
          <a:avLst/>
        </a:prstGeom>
        <a:noFill/>
        <a:ln w="6350">
          <a:solidFill>
            <a:srgbClr val="000000"/>
          </a:solidFill>
          <a:round/>
          <a:headEnd type="triangle" w="sm" len="lg"/>
          <a:tailEnd type="triangle" w="sm" len="lg"/>
        </a:ln>
      </xdr:spPr>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lexi\Documents\scolaire\IPSA\AeroIpsa\SP-02\STABTRAJ\pro24_4_4_new\Alpha\alpha_vol_actif.xlsx" TargetMode="External"/><Relationship Id="rId1" Type="http://schemas.openxmlformats.org/officeDocument/2006/relationships/externalLinkPath" Target="alpha_vol_actif.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tabilito"/>
      <sheetName val="Trajecto"/>
      <sheetName val="Courbes"/>
      <sheetName val="Propu"/>
      <sheetName val="Calculs"/>
      <sheetName val="Abaco"/>
      <sheetName val="Info"/>
      <sheetName val="Controle"/>
    </sheetNames>
    <sheetDataSet>
      <sheetData sheetId="0"/>
      <sheetData sheetId="1"/>
      <sheetData sheetId="2"/>
      <sheetData sheetId="3">
        <row r="2">
          <cell r="H2">
            <v>1E-4</v>
          </cell>
          <cell r="L2">
            <v>0</v>
          </cell>
        </row>
      </sheetData>
      <sheetData sheetId="4"/>
      <sheetData sheetId="5"/>
      <sheetData sheetId="6"/>
      <sheetData sheetId="7"/>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omments" Target="../comments1.xml"/><Relationship Id="rId2" Type="http://schemas.openxmlformats.org/officeDocument/2006/relationships/drawing" Target="../drawings/drawing1.xml"/><Relationship Id="rId16" Type="http://schemas.openxmlformats.org/officeDocument/2006/relationships/ctrlProp" Target="../ctrlProps/ctrlProp13.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16.xml"/><Relationship Id="rId3" Type="http://schemas.openxmlformats.org/officeDocument/2006/relationships/vmlDrawing" Target="../drawings/vmlDrawing2.vml"/><Relationship Id="rId7" Type="http://schemas.openxmlformats.org/officeDocument/2006/relationships/ctrlProp" Target="../ctrlProps/ctrlProp15.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14.xml"/><Relationship Id="rId11" Type="http://schemas.openxmlformats.org/officeDocument/2006/relationships/comments" Target="../comments2.xml"/><Relationship Id="rId5" Type="http://schemas.openxmlformats.org/officeDocument/2006/relationships/image" Target="../media/image6.emf"/><Relationship Id="rId10" Type="http://schemas.openxmlformats.org/officeDocument/2006/relationships/ctrlProp" Target="../ctrlProps/ctrlProp18.xml"/><Relationship Id="rId4" Type="http://schemas.openxmlformats.org/officeDocument/2006/relationships/oleObject" Target="../embeddings/oleObject1.bin"/><Relationship Id="rId9" Type="http://schemas.openxmlformats.org/officeDocument/2006/relationships/ctrlProp" Target="../ctrlProps/ctrlProp17.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6" Type="http://schemas.openxmlformats.org/officeDocument/2006/relationships/oleObject" Target="../embeddings/oleObject12.bin"/><Relationship Id="rId21" Type="http://schemas.openxmlformats.org/officeDocument/2006/relationships/image" Target="../media/image14.emf"/><Relationship Id="rId42" Type="http://schemas.openxmlformats.org/officeDocument/2006/relationships/oleObject" Target="../embeddings/oleObject20.bin"/><Relationship Id="rId47" Type="http://schemas.openxmlformats.org/officeDocument/2006/relationships/image" Target="../media/image27.emf"/><Relationship Id="rId63" Type="http://schemas.openxmlformats.org/officeDocument/2006/relationships/image" Target="../media/image35.emf"/><Relationship Id="rId68" Type="http://schemas.openxmlformats.org/officeDocument/2006/relationships/oleObject" Target="../embeddings/oleObject33.bin"/><Relationship Id="rId16" Type="http://schemas.openxmlformats.org/officeDocument/2006/relationships/oleObject" Target="../embeddings/oleObject7.bin"/><Relationship Id="rId11" Type="http://schemas.openxmlformats.org/officeDocument/2006/relationships/image" Target="../media/image9.emf"/><Relationship Id="rId24" Type="http://schemas.openxmlformats.org/officeDocument/2006/relationships/oleObject" Target="../embeddings/oleObject11.bin"/><Relationship Id="rId32" Type="http://schemas.openxmlformats.org/officeDocument/2006/relationships/oleObject" Target="../embeddings/oleObject15.bin"/><Relationship Id="rId37" Type="http://schemas.openxmlformats.org/officeDocument/2006/relationships/image" Target="../media/image22.emf"/><Relationship Id="rId40" Type="http://schemas.openxmlformats.org/officeDocument/2006/relationships/oleObject" Target="../embeddings/oleObject19.bin"/><Relationship Id="rId45" Type="http://schemas.openxmlformats.org/officeDocument/2006/relationships/image" Target="../media/image26.emf"/><Relationship Id="rId53" Type="http://schemas.openxmlformats.org/officeDocument/2006/relationships/image" Target="../media/image30.emf"/><Relationship Id="rId58" Type="http://schemas.openxmlformats.org/officeDocument/2006/relationships/oleObject" Target="../embeddings/oleObject28.bin"/><Relationship Id="rId66" Type="http://schemas.openxmlformats.org/officeDocument/2006/relationships/oleObject" Target="../embeddings/oleObject32.bin"/><Relationship Id="rId74" Type="http://schemas.openxmlformats.org/officeDocument/2006/relationships/oleObject" Target="../embeddings/oleObject36.bin"/><Relationship Id="rId5" Type="http://schemas.openxmlformats.org/officeDocument/2006/relationships/vmlDrawing" Target="../drawings/vmlDrawing3.vml"/><Relationship Id="rId61" Type="http://schemas.openxmlformats.org/officeDocument/2006/relationships/image" Target="../media/image34.emf"/><Relationship Id="rId19" Type="http://schemas.openxmlformats.org/officeDocument/2006/relationships/image" Target="../media/image13.emf"/><Relationship Id="rId14" Type="http://schemas.openxmlformats.org/officeDocument/2006/relationships/oleObject" Target="../embeddings/oleObject6.bin"/><Relationship Id="rId22" Type="http://schemas.openxmlformats.org/officeDocument/2006/relationships/oleObject" Target="../embeddings/oleObject10.bin"/><Relationship Id="rId27" Type="http://schemas.openxmlformats.org/officeDocument/2006/relationships/image" Target="../media/image17.emf"/><Relationship Id="rId30" Type="http://schemas.openxmlformats.org/officeDocument/2006/relationships/oleObject" Target="../embeddings/oleObject14.bin"/><Relationship Id="rId35" Type="http://schemas.openxmlformats.org/officeDocument/2006/relationships/image" Target="../media/image21.emf"/><Relationship Id="rId43" Type="http://schemas.openxmlformats.org/officeDocument/2006/relationships/image" Target="../media/image25.emf"/><Relationship Id="rId48" Type="http://schemas.openxmlformats.org/officeDocument/2006/relationships/oleObject" Target="../embeddings/oleObject23.bin"/><Relationship Id="rId56" Type="http://schemas.openxmlformats.org/officeDocument/2006/relationships/oleObject" Target="../embeddings/oleObject27.bin"/><Relationship Id="rId64" Type="http://schemas.openxmlformats.org/officeDocument/2006/relationships/oleObject" Target="../embeddings/oleObject31.bin"/><Relationship Id="rId69" Type="http://schemas.openxmlformats.org/officeDocument/2006/relationships/image" Target="../media/image38.emf"/><Relationship Id="rId77" Type="http://schemas.openxmlformats.org/officeDocument/2006/relationships/image" Target="../media/image42.emf"/><Relationship Id="rId8" Type="http://schemas.openxmlformats.org/officeDocument/2006/relationships/oleObject" Target="../embeddings/oleObject3.bin"/><Relationship Id="rId51" Type="http://schemas.openxmlformats.org/officeDocument/2006/relationships/image" Target="../media/image29.emf"/><Relationship Id="rId72" Type="http://schemas.openxmlformats.org/officeDocument/2006/relationships/oleObject" Target="../embeddings/oleObject35.bin"/><Relationship Id="rId3" Type="http://schemas.openxmlformats.org/officeDocument/2006/relationships/printerSettings" Target="../printerSettings/printerSettings5.bin"/><Relationship Id="rId12" Type="http://schemas.openxmlformats.org/officeDocument/2006/relationships/oleObject" Target="../embeddings/oleObject5.bin"/><Relationship Id="rId17" Type="http://schemas.openxmlformats.org/officeDocument/2006/relationships/image" Target="../media/image12.emf"/><Relationship Id="rId25" Type="http://schemas.openxmlformats.org/officeDocument/2006/relationships/image" Target="../media/image16.emf"/><Relationship Id="rId33" Type="http://schemas.openxmlformats.org/officeDocument/2006/relationships/image" Target="../media/image20.emf"/><Relationship Id="rId38" Type="http://schemas.openxmlformats.org/officeDocument/2006/relationships/oleObject" Target="../embeddings/oleObject18.bin"/><Relationship Id="rId46" Type="http://schemas.openxmlformats.org/officeDocument/2006/relationships/oleObject" Target="../embeddings/oleObject22.bin"/><Relationship Id="rId59" Type="http://schemas.openxmlformats.org/officeDocument/2006/relationships/image" Target="../media/image33.emf"/><Relationship Id="rId67" Type="http://schemas.openxmlformats.org/officeDocument/2006/relationships/image" Target="../media/image37.emf"/><Relationship Id="rId20" Type="http://schemas.openxmlformats.org/officeDocument/2006/relationships/oleObject" Target="../embeddings/oleObject9.bin"/><Relationship Id="rId41" Type="http://schemas.openxmlformats.org/officeDocument/2006/relationships/image" Target="../media/image24.emf"/><Relationship Id="rId54" Type="http://schemas.openxmlformats.org/officeDocument/2006/relationships/oleObject" Target="../embeddings/oleObject26.bin"/><Relationship Id="rId62" Type="http://schemas.openxmlformats.org/officeDocument/2006/relationships/oleObject" Target="../embeddings/oleObject30.bin"/><Relationship Id="rId70" Type="http://schemas.openxmlformats.org/officeDocument/2006/relationships/oleObject" Target="../embeddings/oleObject34.bin"/><Relationship Id="rId75" Type="http://schemas.openxmlformats.org/officeDocument/2006/relationships/image" Target="../media/image41.emf"/><Relationship Id="rId1" Type="http://schemas.openxmlformats.org/officeDocument/2006/relationships/hyperlink" Target="http://en.wikipedia.org/wiki/Template:Numerical_integrators" TargetMode="External"/><Relationship Id="rId6" Type="http://schemas.openxmlformats.org/officeDocument/2006/relationships/oleObject" Target="../embeddings/oleObject2.bin"/><Relationship Id="rId15" Type="http://schemas.openxmlformats.org/officeDocument/2006/relationships/image" Target="../media/image11.emf"/><Relationship Id="rId23" Type="http://schemas.openxmlformats.org/officeDocument/2006/relationships/image" Target="../media/image15.emf"/><Relationship Id="rId28" Type="http://schemas.openxmlformats.org/officeDocument/2006/relationships/oleObject" Target="../embeddings/oleObject13.bin"/><Relationship Id="rId36" Type="http://schemas.openxmlformats.org/officeDocument/2006/relationships/oleObject" Target="../embeddings/oleObject17.bin"/><Relationship Id="rId49" Type="http://schemas.openxmlformats.org/officeDocument/2006/relationships/image" Target="../media/image28.emf"/><Relationship Id="rId57" Type="http://schemas.openxmlformats.org/officeDocument/2006/relationships/image" Target="../media/image32.emf"/><Relationship Id="rId10" Type="http://schemas.openxmlformats.org/officeDocument/2006/relationships/oleObject" Target="../embeddings/oleObject4.bin"/><Relationship Id="rId31" Type="http://schemas.openxmlformats.org/officeDocument/2006/relationships/image" Target="../media/image19.emf"/><Relationship Id="rId44" Type="http://schemas.openxmlformats.org/officeDocument/2006/relationships/oleObject" Target="../embeddings/oleObject21.bin"/><Relationship Id="rId52" Type="http://schemas.openxmlformats.org/officeDocument/2006/relationships/oleObject" Target="../embeddings/oleObject25.bin"/><Relationship Id="rId60" Type="http://schemas.openxmlformats.org/officeDocument/2006/relationships/oleObject" Target="../embeddings/oleObject29.bin"/><Relationship Id="rId65" Type="http://schemas.openxmlformats.org/officeDocument/2006/relationships/image" Target="../media/image36.emf"/><Relationship Id="rId73" Type="http://schemas.openxmlformats.org/officeDocument/2006/relationships/image" Target="../media/image40.emf"/><Relationship Id="rId4" Type="http://schemas.openxmlformats.org/officeDocument/2006/relationships/drawing" Target="../drawings/drawing5.xml"/><Relationship Id="rId9" Type="http://schemas.openxmlformats.org/officeDocument/2006/relationships/image" Target="../media/image8.emf"/><Relationship Id="rId13" Type="http://schemas.openxmlformats.org/officeDocument/2006/relationships/image" Target="../media/image10.emf"/><Relationship Id="rId18" Type="http://schemas.openxmlformats.org/officeDocument/2006/relationships/oleObject" Target="../embeddings/oleObject8.bin"/><Relationship Id="rId39" Type="http://schemas.openxmlformats.org/officeDocument/2006/relationships/image" Target="../media/image23.emf"/><Relationship Id="rId34" Type="http://schemas.openxmlformats.org/officeDocument/2006/relationships/oleObject" Target="../embeddings/oleObject16.bin"/><Relationship Id="rId50" Type="http://schemas.openxmlformats.org/officeDocument/2006/relationships/oleObject" Target="../embeddings/oleObject24.bin"/><Relationship Id="rId55" Type="http://schemas.openxmlformats.org/officeDocument/2006/relationships/image" Target="../media/image31.emf"/><Relationship Id="rId76" Type="http://schemas.openxmlformats.org/officeDocument/2006/relationships/oleObject" Target="../embeddings/oleObject37.bin"/><Relationship Id="rId7" Type="http://schemas.openxmlformats.org/officeDocument/2006/relationships/image" Target="../media/image7.emf"/><Relationship Id="rId71" Type="http://schemas.openxmlformats.org/officeDocument/2006/relationships/image" Target="../media/image39.emf"/><Relationship Id="rId2" Type="http://schemas.openxmlformats.org/officeDocument/2006/relationships/hyperlink" Target="http://www.planete-sciences.org/espace/basedoc/" TargetMode="External"/><Relationship Id="rId29" Type="http://schemas.openxmlformats.org/officeDocument/2006/relationships/image" Target="../media/image18.emf"/></Relationships>
</file>

<file path=xl/worksheets/_rels/sheet6.xml.rels><?xml version="1.0" encoding="UTF-8" standalone="yes"?>
<Relationships xmlns="http://schemas.openxmlformats.org/package/2006/relationships"><Relationship Id="rId8" Type="http://schemas.openxmlformats.org/officeDocument/2006/relationships/comments" Target="../comments3.xml"/><Relationship Id="rId3" Type="http://schemas.openxmlformats.org/officeDocument/2006/relationships/vmlDrawing" Target="../drawings/vmlDrawing4.vml"/><Relationship Id="rId7" Type="http://schemas.openxmlformats.org/officeDocument/2006/relationships/ctrlProp" Target="../ctrlProps/ctrlProp20.xml"/><Relationship Id="rId2" Type="http://schemas.openxmlformats.org/officeDocument/2006/relationships/drawing" Target="../drawings/drawing6.xml"/><Relationship Id="rId1" Type="http://schemas.openxmlformats.org/officeDocument/2006/relationships/printerSettings" Target="../printerSettings/printerSettings6.bin"/><Relationship Id="rId6" Type="http://schemas.openxmlformats.org/officeDocument/2006/relationships/ctrlProp" Target="../ctrlProps/ctrlProp19.xml"/><Relationship Id="rId5" Type="http://schemas.openxmlformats.org/officeDocument/2006/relationships/image" Target="../media/image43.emf"/><Relationship Id="rId4" Type="http://schemas.openxmlformats.org/officeDocument/2006/relationships/oleObject" Target="../embeddings/oleObject38.bin"/></Relationships>
</file>

<file path=xl/worksheets/_rels/sheet7.xml.rels><?xml version="1.0" encoding="UTF-8" standalone="yes"?>
<Relationships xmlns="http://schemas.openxmlformats.org/package/2006/relationships"><Relationship Id="rId3" Type="http://schemas.openxmlformats.org/officeDocument/2006/relationships/hyperlink" Target="http://creativecommons.org/licenses/by-sa/3.0/" TargetMode="External"/><Relationship Id="rId7" Type="http://schemas.openxmlformats.org/officeDocument/2006/relationships/comments" Target="../comments4.xml"/><Relationship Id="rId2" Type="http://schemas.openxmlformats.org/officeDocument/2006/relationships/hyperlink" Target="mailto:espace@planete-sciences.org" TargetMode="External"/><Relationship Id="rId1" Type="http://schemas.openxmlformats.org/officeDocument/2006/relationships/hyperlink" Target="http://www.planete-sciences.org/espace/basedoc/" TargetMode="External"/><Relationship Id="rId6" Type="http://schemas.openxmlformats.org/officeDocument/2006/relationships/vmlDrawing" Target="../drawings/vmlDrawing5.vml"/><Relationship Id="rId5" Type="http://schemas.openxmlformats.org/officeDocument/2006/relationships/drawing" Target="../drawings/drawing7.xml"/><Relationship Id="rId4"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2">
    <pageSetUpPr fitToPage="1"/>
  </sheetPr>
  <dimension ref="A1:W361"/>
  <sheetViews>
    <sheetView showGridLines="0" tabSelected="1" zoomScale="115" zoomScaleNormal="115" zoomScaleSheetLayoutView="100" workbookViewId="0">
      <selection activeCell="C13" sqref="C13"/>
    </sheetView>
  </sheetViews>
  <sheetFormatPr baseColWidth="10" defaultColWidth="11.42578125" defaultRowHeight="12.75" x14ac:dyDescent="0.2"/>
  <cols>
    <col min="1" max="1" width="2.140625" style="24" customWidth="1"/>
    <col min="2" max="2" width="16.140625" style="24" customWidth="1"/>
    <col min="3" max="3" width="12.85546875" style="31" customWidth="1"/>
    <col min="4" max="4" width="12.85546875" style="24" customWidth="1"/>
    <col min="5" max="5" width="4.140625" style="89" customWidth="1"/>
    <col min="6" max="6" width="10.140625" style="26" bestFit="1" customWidth="1"/>
    <col min="7" max="7" width="10" style="26" bestFit="1" customWidth="1"/>
    <col min="8" max="9" width="8.5703125" style="26" customWidth="1"/>
    <col min="10" max="10" width="5.42578125" style="24" customWidth="1"/>
    <col min="11" max="11" width="2.140625" style="24" customWidth="1"/>
    <col min="12" max="12" width="17" style="24" customWidth="1"/>
    <col min="13" max="13" width="8.5703125" style="24" customWidth="1"/>
    <col min="14" max="15" width="4.140625" style="24" customWidth="1"/>
    <col min="16" max="16" width="8.5703125" style="24" customWidth="1"/>
    <col min="17" max="18" width="2.140625" style="24" customWidth="1"/>
    <col min="19" max="16384" width="11.42578125" style="24"/>
  </cols>
  <sheetData>
    <row r="1" spans="1:20" ht="12.75" customHeight="1" x14ac:dyDescent="0.2">
      <c r="A1" s="19"/>
      <c r="B1" s="20"/>
      <c r="C1" s="21"/>
      <c r="D1" s="20"/>
      <c r="E1" s="88"/>
      <c r="F1" s="22"/>
      <c r="G1" s="22"/>
      <c r="H1" s="22"/>
      <c r="I1" s="22"/>
      <c r="J1" s="20"/>
      <c r="K1" s="20"/>
      <c r="L1" s="20"/>
      <c r="M1" s="20"/>
      <c r="N1" s="20"/>
      <c r="O1" s="20"/>
      <c r="P1" s="20"/>
      <c r="Q1" s="23"/>
    </row>
    <row r="2" spans="1:20" ht="12.75" customHeight="1" x14ac:dyDescent="0.2">
      <c r="A2" s="25"/>
      <c r="C2" s="558" t="s">
        <v>53</v>
      </c>
      <c r="D2" s="558"/>
      <c r="L2" s="147" t="str">
        <f>"Language/Langue"</f>
        <v>Language/Langue</v>
      </c>
      <c r="M2" s="583" t="s">
        <v>1</v>
      </c>
      <c r="N2" s="583"/>
      <c r="O2" s="583"/>
      <c r="P2" s="584"/>
      <c r="Q2" s="27"/>
    </row>
    <row r="3" spans="1:20" ht="12.75" customHeight="1" x14ac:dyDescent="0.2">
      <c r="A3" s="25"/>
      <c r="C3" s="558"/>
      <c r="D3" s="558"/>
      <c r="L3" s="591"/>
      <c r="M3" s="591"/>
      <c r="N3" s="45"/>
      <c r="Q3" s="27"/>
    </row>
    <row r="4" spans="1:20" ht="12.75" customHeight="1" x14ac:dyDescent="0.2">
      <c r="A4" s="25"/>
      <c r="C4" s="559" t="str">
        <f>IF(Lang="Français","Stabilité de fusée à ailerons",IF(Lang="English","Stability for rocket with fins",""))</f>
        <v>Stabilité de fusée à ailerons</v>
      </c>
      <c r="D4" s="559"/>
      <c r="L4" s="33"/>
      <c r="M4" s="583" t="s">
        <v>570</v>
      </c>
      <c r="N4" s="583"/>
      <c r="O4" s="583"/>
      <c r="P4" s="584"/>
      <c r="Q4" s="27"/>
    </row>
    <row r="5" spans="1:20" ht="12.75" customHeight="1" x14ac:dyDescent="0.25">
      <c r="A5" s="25"/>
      <c r="B5" s="28"/>
      <c r="C5" s="540"/>
      <c r="D5" s="540"/>
      <c r="L5" s="33"/>
      <c r="M5" s="565" t="s">
        <v>156</v>
      </c>
      <c r="N5" s="566"/>
      <c r="O5" s="594" t="s">
        <v>157</v>
      </c>
      <c r="P5" s="594"/>
      <c r="Q5" s="29"/>
    </row>
    <row r="6" spans="1:20" ht="12.75" customHeight="1" thickBot="1" x14ac:dyDescent="0.25">
      <c r="A6" s="25"/>
      <c r="B6" s="87"/>
      <c r="C6" s="553" t="str">
        <f>IF(Lang="Français","Remplir les cases jaunes",IF(Lang="English","Fill-in yellow cells only",""))</f>
        <v>Remplir les cases jaunes</v>
      </c>
      <c r="D6" s="553"/>
      <c r="L6" s="139" t="str">
        <f>IF(Lang="Français","Longueur      'L'",IF(Lang="English","Length      'L'",""))</f>
        <v>Longueur      'L'</v>
      </c>
      <c r="M6" s="554">
        <v>60</v>
      </c>
      <c r="N6" s="555"/>
      <c r="O6" s="575">
        <v>50</v>
      </c>
      <c r="P6" s="575"/>
      <c r="Q6" s="29"/>
    </row>
    <row r="7" spans="1:20" ht="12.75" customHeight="1" thickTop="1" thickBot="1" x14ac:dyDescent="0.25">
      <c r="A7" s="25"/>
      <c r="B7" s="31"/>
      <c r="C7" s="561" t="str">
        <f>IF(Lang="Français","Fusée",IF(Lang="English","Rocket",""))</f>
        <v>Fusée</v>
      </c>
      <c r="D7" s="562"/>
      <c r="L7" s="139" t="str">
        <f>IF(Lang="Français","Diamètre     'D1'",IF(Lang="English","Diameter 'D1'",""))</f>
        <v>Diamètre     'D1'</v>
      </c>
      <c r="M7" s="554">
        <v>84</v>
      </c>
      <c r="N7" s="555"/>
      <c r="O7" s="575">
        <v>104</v>
      </c>
      <c r="P7" s="575"/>
      <c r="Q7" s="29"/>
    </row>
    <row r="8" spans="1:20" ht="12.75" customHeight="1" thickTop="1" x14ac:dyDescent="0.2">
      <c r="A8" s="25"/>
      <c r="B8" s="138" t="str">
        <f>IF(Lang="Français","Nom",IF(Lang="English","Name",""))</f>
        <v>Nom</v>
      </c>
      <c r="C8" s="556" t="s">
        <v>571</v>
      </c>
      <c r="D8" s="556"/>
      <c r="E8" s="90"/>
      <c r="K8" s="33"/>
      <c r="L8" s="139" t="str">
        <f>IF(Lang="Français","Diamètre     'D2'",IF(Lang="English","Diameter 'D2'",""))</f>
        <v>Diamètre     'D2'</v>
      </c>
      <c r="M8" s="554">
        <v>104</v>
      </c>
      <c r="N8" s="555"/>
      <c r="O8" s="575">
        <v>84</v>
      </c>
      <c r="P8" s="575"/>
      <c r="Q8" s="29"/>
    </row>
    <row r="9" spans="1:20" ht="12.75" customHeight="1" x14ac:dyDescent="0.2">
      <c r="A9" s="25"/>
      <c r="B9" s="138" t="s">
        <v>4</v>
      </c>
      <c r="C9" s="557" t="s">
        <v>568</v>
      </c>
      <c r="D9" s="557"/>
      <c r="E9" s="90"/>
      <c r="K9" s="33"/>
      <c r="L9" s="139" t="str">
        <f>IF(Lang="Français","Implantation 'x'",IF(Lang="English","Basement 'x'",""))</f>
        <v>Implantation 'x'</v>
      </c>
      <c r="M9" s="554">
        <v>1</v>
      </c>
      <c r="N9" s="555"/>
      <c r="O9" s="575">
        <v>1070</v>
      </c>
      <c r="P9" s="575"/>
      <c r="Q9" s="29"/>
    </row>
    <row r="10" spans="1:20" ht="12.75" customHeight="1" x14ac:dyDescent="0.2">
      <c r="A10" s="25"/>
      <c r="B10" s="138" t="s">
        <v>562</v>
      </c>
      <c r="C10" s="537" t="str">
        <f>IF((LEFT(Type_fusee,4)="Mini"),"MF",(IF((RIGHT(Type_fusee,1)="."),"FX","")))</f>
        <v>FX</v>
      </c>
      <c r="D10" s="538">
        <v>0</v>
      </c>
      <c r="E10" s="539" t="str">
        <f>IF(C10="","",C10&amp;D10)</f>
        <v>FX0</v>
      </c>
      <c r="K10" s="33"/>
      <c r="Q10" s="29"/>
    </row>
    <row r="11" spans="1:20" ht="12.75" customHeight="1" x14ac:dyDescent="0.2">
      <c r="A11" s="25"/>
      <c r="B11" s="139" t="s">
        <v>54</v>
      </c>
      <c r="C11" s="563" t="s">
        <v>567</v>
      </c>
      <c r="D11" s="564"/>
      <c r="E11" s="90"/>
      <c r="K11" s="33"/>
      <c r="L11" s="107"/>
      <c r="M11" s="224" t="str">
        <f>IF(Lang="Français","Propu plein",IF(Lang="English","Loaded Motor",""))</f>
        <v>Propu plein</v>
      </c>
      <c r="N11" s="592" t="str">
        <f>IF(Lang="Français","Propu vide",IF(Lang="English","Empty Motor",""))</f>
        <v>Propu vide</v>
      </c>
      <c r="O11" s="593"/>
      <c r="P11" s="224" t="str">
        <f>IF(Lang="Français","Sans propu",IF(Lang="English","Without M",""))</f>
        <v>Sans propu</v>
      </c>
      <c r="Q11" s="29"/>
      <c r="S11" s="385"/>
      <c r="T11" s="386" t="str">
        <f>IF(Lang="Français","Propulseur",IF(Lang="English","Motor",""))</f>
        <v>Propulseur</v>
      </c>
    </row>
    <row r="12" spans="1:20" ht="12.75" customHeight="1" x14ac:dyDescent="0.2">
      <c r="A12" s="25"/>
      <c r="B12" s="139" t="str">
        <f>IF(Lang="Français","Masse",IF(Lang="English","Weight",""))</f>
        <v>Masse</v>
      </c>
      <c r="C12" s="222">
        <v>5083</v>
      </c>
      <c r="D12" s="34" t="s">
        <v>572</v>
      </c>
      <c r="L12" s="108" t="str">
        <f>IF(Lang="Français","Masse propu",IF(Lang="English","Motor Mass",""))</f>
        <v>Masse propu</v>
      </c>
      <c r="M12" s="109">
        <f ca="1">MpropuPlein</f>
        <v>1E-4</v>
      </c>
      <c r="N12" s="587">
        <f ca="1">MpropuVide</f>
        <v>0</v>
      </c>
      <c r="O12" s="588"/>
      <c r="P12" s="110" t="s">
        <v>14</v>
      </c>
      <c r="Q12" s="29"/>
      <c r="S12" s="386" t="str">
        <f>IF(Lang="Français","Haut",IF(Lang="English","Top",""))</f>
        <v>Haut</v>
      </c>
      <c r="T12" s="387">
        <f ca="1">XpropuRef-Long_propu</f>
        <v>1110</v>
      </c>
    </row>
    <row r="13" spans="1:20" ht="12.75" customHeight="1" x14ac:dyDescent="0.2">
      <c r="A13" s="25"/>
      <c r="B13" s="139" t="str">
        <f>IF(Lang="Français","Centre de Masse",IF(Lang="English","Center of Mass",""))</f>
        <v>Centre de Masse</v>
      </c>
      <c r="C13" s="35">
        <v>495</v>
      </c>
      <c r="D13" s="34" t="s">
        <v>572</v>
      </c>
      <c r="L13" s="108" t="str">
        <f>IF(Lang="Français","CdM propu",IF(Lang="English","Motor CoM",""))</f>
        <v>CdM propu</v>
      </c>
      <c r="M13" s="111">
        <f ca="1">XpropuPlein</f>
        <v>0</v>
      </c>
      <c r="N13" s="585">
        <f ca="1">XpropuVide</f>
        <v>0</v>
      </c>
      <c r="O13" s="586"/>
      <c r="P13" s="110" t="s">
        <v>14</v>
      </c>
      <c r="Q13" s="29"/>
      <c r="S13" s="386" t="str">
        <f>IF(Lang="Français","Longueur",IF(Lang="English","Length",""))</f>
        <v>Longueur</v>
      </c>
      <c r="T13" s="387">
        <f ca="1">Long_propu</f>
        <v>0</v>
      </c>
    </row>
    <row r="14" spans="1:20" ht="12.6" customHeight="1" x14ac:dyDescent="0.2">
      <c r="A14" s="25"/>
      <c r="B14" s="139" t="str">
        <f>IF(Lang="Français","Longueur totale",IF(Lang="English","Total length",""))</f>
        <v>Longueur totale</v>
      </c>
      <c r="C14" s="554">
        <v>1120</v>
      </c>
      <c r="D14" s="555"/>
      <c r="L14" s="108" t="str">
        <f>IF(Lang="Français","Masse fusée",IF(Lang="English","Rocket Mass",""))</f>
        <v>Masse fusée</v>
      </c>
      <c r="M14" s="112">
        <f ca="1">MasseSans+MpropuPlein</f>
        <v>5.0831</v>
      </c>
      <c r="N14" s="567">
        <f ca="1">MasseSans+MpropuVide</f>
        <v>5.0830000000000002</v>
      </c>
      <c r="O14" s="568"/>
      <c r="P14" s="109">
        <f>IF(OR(D12="sans propu",D12="without motor"),C12/1000,IF(OR(D12="avec propu vide",D12="with empty motor"),C12/1000-MpropuVide,IF(OR(D12="avec propu plein",D12="with loaded motor"),C12/1000-MpropuPlein,"Erreur")))</f>
        <v>5.0830000000000002</v>
      </c>
      <c r="Q14" s="29"/>
      <c r="S14" s="386" t="str">
        <f>IF(Lang="Français","Bas",IF(Lang="English","Base",""))</f>
        <v>Bas</v>
      </c>
      <c r="T14" s="387">
        <f>XpropuRef</f>
        <v>1110</v>
      </c>
    </row>
    <row r="15" spans="1:20" ht="12.75" customHeight="1" x14ac:dyDescent="0.2">
      <c r="A15" s="25"/>
      <c r="B15" s="139" t="str">
        <f>IF(Lang="Français","Diamètre Réf.",IF(Lang="English","Ref. Diameter",""))</f>
        <v>Diamètre Réf.</v>
      </c>
      <c r="C15" s="554">
        <v>104</v>
      </c>
      <c r="D15" s="555"/>
      <c r="L15" s="175" t="str">
        <f>IF(Lang="Français","CdM fusée",IF(Lang="English","Rocket CoM",""))</f>
        <v>CdM fusée</v>
      </c>
      <c r="M15" s="176">
        <f ca="1">(XcgSans*MasseSans+(XpropuRef-Long_propu+XpropuPlein)*MpropuPlein)/MassePlein</f>
        <v>495.01209891601582</v>
      </c>
      <c r="N15" s="569">
        <f ca="1">(XcgSans*MasseSans+(XpropuRef-Long_propu+XpropuVide)*MpropuVide)/MasseVide</f>
        <v>495</v>
      </c>
      <c r="O15" s="570"/>
      <c r="P15" s="113">
        <f>IF(OR(D13="sans propu",D13="without motor"),C13,IF(OR(D13="avec propu vide",D13="with empty motor"),(C13*MasseVide-(XpropuRef-Long_propu+XpropuVide)*MpropuVide)/MasseSans,IF(OR(D13="avec propu plein",D13="with loaded motor"),(C13*MassePlein-(XpropuRef-Long_propu+XpropuPlein)*MpropuPlein)/MasseSans,"Erreur")))</f>
        <v>495</v>
      </c>
      <c r="Q15" s="29"/>
    </row>
    <row r="16" spans="1:20" ht="12.75" customHeight="1" thickBot="1" x14ac:dyDescent="0.25">
      <c r="A16" s="25"/>
      <c r="D16" s="31"/>
      <c r="L16" s="94"/>
      <c r="M16" s="94"/>
      <c r="N16" s="94"/>
      <c r="O16" s="94"/>
      <c r="P16" s="94"/>
      <c r="Q16" s="29"/>
      <c r="S16" s="385"/>
      <c r="T16" s="386" t="str">
        <f>IF(RIGHT(Type_masquage,1)=",",IF(Lang="Français","Ailerons","Fins"),IF(Lang="Français","Ailerons bas","Lower Fins"))</f>
        <v>Ailerons bas</v>
      </c>
    </row>
    <row r="17" spans="1:22" ht="12.75" customHeight="1" thickTop="1" thickBot="1" x14ac:dyDescent="0.25">
      <c r="A17" s="25"/>
      <c r="C17" s="542" t="str">
        <f>IF(Lang="Français","Propulseur",IF(Lang="English","Motor",""))</f>
        <v>Propulseur</v>
      </c>
      <c r="D17" s="543"/>
      <c r="L17" s="114"/>
      <c r="M17" s="571" t="s">
        <v>55</v>
      </c>
      <c r="N17" s="572"/>
      <c r="O17" s="595" t="s">
        <v>65</v>
      </c>
      <c r="P17" s="595"/>
      <c r="Q17" s="29"/>
      <c r="S17" s="386" t="str">
        <f>IF(Lang="Français","Haut","Top")</f>
        <v>Haut</v>
      </c>
      <c r="T17" s="387">
        <f>X_ail-m_ail</f>
        <v>850</v>
      </c>
    </row>
    <row r="18" spans="1:22" ht="12.75" customHeight="1" thickTop="1" x14ac:dyDescent="0.2">
      <c r="A18" s="25"/>
      <c r="B18" s="139" t="s">
        <v>54</v>
      </c>
      <c r="C18" s="544" t="s">
        <v>44</v>
      </c>
      <c r="D18" s="545"/>
      <c r="K18" s="37"/>
      <c r="L18" s="108" t="str">
        <f>IF(Lang="Français","Coiffe",IF(Lang="English","Nose Cone",""))</f>
        <v>Coiffe</v>
      </c>
      <c r="M18" s="547">
        <f>IF(LEFT(Forme_ogive,5)="Parab",1/2*Long_ogive,IF(LEFT(Forme_ogive,4)="Ogiv",7/15*Long_ogive,IF(LEFT(Forme_ogive,3)="Con",2/3*Long_ogive)))</f>
        <v>0.66666666666666663</v>
      </c>
      <c r="N18" s="548"/>
      <c r="O18" s="546">
        <f>2*POWER(D_og/D_ref, 2)</f>
        <v>1.304733727810651</v>
      </c>
      <c r="P18" s="546"/>
      <c r="Q18" s="29"/>
      <c r="S18" s="386" t="str">
        <f>IF(Lang="Français","Emplanture","Root edge")</f>
        <v>Emplanture</v>
      </c>
      <c r="T18" s="387">
        <f>m_ail</f>
        <v>190</v>
      </c>
    </row>
    <row r="19" spans="1:22" ht="12.75" customHeight="1" x14ac:dyDescent="0.2">
      <c r="A19" s="25"/>
      <c r="B19" s="139" t="str">
        <f>IF(Lang="Français","Position du bas",IF(Lang="English","Basement",""))</f>
        <v>Position du bas</v>
      </c>
      <c r="C19" s="575">
        <v>1110</v>
      </c>
      <c r="D19" s="575"/>
      <c r="L19" s="108" t="str">
        <f>IF(Lang="Français","Ailerons",IF(Lang="English","Fins",""))</f>
        <v>Ailerons</v>
      </c>
      <c r="M19" s="547">
        <f>(XCpa*Cnail-0.5*XCpi*Cni)/Cnai</f>
        <v>963.39506172839526</v>
      </c>
      <c r="N19" s="548"/>
      <c r="O19" s="549">
        <f>Cnail-Cni/2</f>
        <v>14.372450779495276</v>
      </c>
      <c r="P19" s="550"/>
      <c r="Q19" s="29"/>
      <c r="S19" s="386" t="str">
        <f>IF(Lang="Français","Bas","Base")</f>
        <v>Bas</v>
      </c>
      <c r="T19" s="387">
        <f>X_ail</f>
        <v>1040</v>
      </c>
    </row>
    <row r="20" spans="1:22" ht="12.75" customHeight="1" thickBot="1" x14ac:dyDescent="0.25">
      <c r="A20" s="25"/>
      <c r="B20" s="428" t="str">
        <f>IF(Propu="Cariacou","Cariacou :"," ")</f>
        <v xml:space="preserve"> </v>
      </c>
      <c r="C20" s="576" t="str">
        <f>IF(Propu="Pandora (Pro24-6G)",IF(Lang="Français","C'Space Seulement",IF(Lang="English","C'Space only","")),"")</f>
        <v/>
      </c>
      <c r="D20" s="576"/>
      <c r="L20" s="108" t="str">
        <f>IF(Lang="Français","Ail bas entier",IF(Lang="English","Total Lower Fins",""))</f>
        <v>Ail bas entier</v>
      </c>
      <c r="M20" s="547">
        <f>X_ail-m_ail+p_ail*(m_ail+2*n_ail)/(3*(m_ail+n_ail))+(m_ail+n_ail-m_ail*n_ail/(m_ail+n_ail))/6</f>
        <v>963.39506172839515</v>
      </c>
      <c r="N20" s="548"/>
      <c r="O20" s="546">
        <f>4*Q_ail*POWER((E_ail/D_ref),2)*(1+D_ail/(2*E_ail+D_ail))/(1+SQRT(1+POWER(2*f_ail/(m_ail+n_ail),2)))</f>
        <v>14.372450779495276</v>
      </c>
      <c r="P20" s="546"/>
      <c r="Q20" s="29"/>
    </row>
    <row r="21" spans="1:22" ht="12.75" customHeight="1" thickTop="1" thickBot="1" x14ac:dyDescent="0.25">
      <c r="A21" s="25"/>
      <c r="B21" s="30"/>
      <c r="C21" s="551" t="str">
        <f>IF(Lang="Français","Coiffe",IF(Lang="English","Nose Cone",""))</f>
        <v>Coiffe</v>
      </c>
      <c r="D21" s="552"/>
      <c r="L21" s="108" t="str">
        <f>IF(Lang="Français","Ailerons haut",IF(Lang="English","Upper Fins",""))</f>
        <v>Ailerons haut</v>
      </c>
      <c r="M21" s="547">
        <f>IF(LEFT(Type_masquage,1)="M",0, X_can-m_can+p_can*(m_can+2*n_can)/(3*(m_can+n_can))+(m_can+n_can-m_can*n_can/(m_can+n_can))/6)</f>
        <v>0</v>
      </c>
      <c r="N21" s="548"/>
      <c r="O21" s="546">
        <f>IF(LEFT(Type_masquage,1)="M",0, 4*Q_can*POWER((E_can/D_ref),2)*(1+D_can/(2*E_can+D_can))/(1+SQRT(1+POWER(2*f_can/(m_can+n_can),2))))</f>
        <v>0</v>
      </c>
      <c r="P21" s="546"/>
      <c r="Q21" s="29"/>
    </row>
    <row r="22" spans="1:22" ht="12.75" customHeight="1" thickTop="1" x14ac:dyDescent="0.2">
      <c r="A22" s="25"/>
      <c r="B22" s="139" t="str">
        <f>IF(Lang="Français","Forme",IF(Lang="English","Shape",""))</f>
        <v>Forme</v>
      </c>
      <c r="C22" s="577" t="s">
        <v>569</v>
      </c>
      <c r="D22" s="578"/>
      <c r="L22" s="108" t="str">
        <f>IF(Lang="Français","Partie masquée",IF(Lang="English","Interation zone",""))</f>
        <v>Partie masquée</v>
      </c>
      <c r="M22" s="560">
        <f>IF(LEFT(Type_masquage,1)="B", X_int-m_int+p_int*(m_int+2*n_int)/(3*(m_int+n_int))+(m_int+n_int-m_int*n_int/(m_int+n_int))/6, 0 )</f>
        <v>0</v>
      </c>
      <c r="N22" s="560"/>
      <c r="O22" s="549">
        <f>IF(LEFT(Type_masquage,1)="B", 4*Q_int*POWER((E_int/D_ref),2)*(1+D_int/(2*E_int+D_int))/(1+SQRT(1+POWER(2*f_int/(m_int+n_int),2))), 0 )</f>
        <v>0</v>
      </c>
      <c r="P22" s="550"/>
      <c r="Q22" s="29"/>
    </row>
    <row r="23" spans="1:22" ht="12.75" customHeight="1" x14ac:dyDescent="0.2">
      <c r="A23" s="25"/>
      <c r="B23" s="139" t="str">
        <f>IF(Lang="Français","Hauteur",IF(Lang="English","Heigth",""))</f>
        <v>Hauteur</v>
      </c>
      <c r="C23" s="554">
        <v>1</v>
      </c>
      <c r="D23" s="555"/>
      <c r="L23" s="108" t="s">
        <v>156</v>
      </c>
      <c r="M23" s="547">
        <f>IF(OR(RIGHT(Nb_diam,1)=",",D2j=0),0, X_j+l_j/3*(1+1/(1+D1j/D2j)) )</f>
        <v>32.063829787234042</v>
      </c>
      <c r="N23" s="548"/>
      <c r="O23" s="546">
        <f>IF(OR(RIGHT(Nb_diam,1)=",",D2j=0),0,2*(POWER(D2j/D_ref,2)-POWER(D1j/D_ref,2)))</f>
        <v>0.695266272189349</v>
      </c>
      <c r="P23" s="546"/>
      <c r="Q23" s="29"/>
    </row>
    <row r="24" spans="1:22" ht="12.75" customHeight="1" thickBot="1" x14ac:dyDescent="0.25">
      <c r="A24" s="25"/>
      <c r="B24" s="139" t="str">
        <f>IF(Lang="Français","Diamètre",IF(Lang="English","Diameter",""))</f>
        <v>Diamètre</v>
      </c>
      <c r="C24" s="554">
        <v>84</v>
      </c>
      <c r="D24" s="555"/>
      <c r="L24" s="108" t="s">
        <v>157</v>
      </c>
      <c r="M24" s="547">
        <f>IF( OR(RIGHT(Nb_diam,1)=",",D2r=0), 0, X_r+l_r/3*(1+1/(1+D1r/D2r)) )</f>
        <v>1094.113475177305</v>
      </c>
      <c r="N24" s="548"/>
      <c r="O24" s="546">
        <f>IF( OR(RIGHT(Nb_diam,1)=",",D2r=0), 0, 2*(POWER(D2r/D_ref,2)-POWER(D1r/D_ref,2)) )</f>
        <v>-0.695266272189349</v>
      </c>
      <c r="P24" s="546"/>
      <c r="Q24" s="29"/>
    </row>
    <row r="25" spans="1:22" ht="12.75" customHeight="1" thickBot="1" x14ac:dyDescent="0.25">
      <c r="A25" s="25"/>
      <c r="E25" s="180" t="s">
        <v>151</v>
      </c>
      <c r="L25" s="38"/>
      <c r="M25" s="38"/>
      <c r="N25" s="38"/>
      <c r="Q25" s="29"/>
      <c r="R25" s="38"/>
      <c r="S25" s="388" t="str">
        <f ca="1">IF(AND(Portee_balistique&gt;200,LEFT(Type_propu,3)="Min"),IF(Lang="Français","Fusée trop lègère !","Rocket too light"),"")</f>
        <v/>
      </c>
    </row>
    <row r="26" spans="1:22" ht="12.75" customHeight="1" thickTop="1" thickBot="1" x14ac:dyDescent="0.25">
      <c r="A26" s="25"/>
      <c r="B26" s="30"/>
      <c r="C26" s="178" t="str">
        <f>IF(LEFT(Type_masquage,1)="M",IF(Lang="Français","Ailerons","Fins"),IF(Lang="Français","Ailerons bas","Lower Fins"))</f>
        <v>Ailerons</v>
      </c>
      <c r="D26" s="179" t="str">
        <f>IF(Lang="Français","Ailerons haut",IF(Lang="English","Upper Fins",""))</f>
        <v>Ailerons haut</v>
      </c>
      <c r="F26" s="39">
        <f ca="1">TODAY()</f>
        <v>45968</v>
      </c>
      <c r="G26" s="137" t="s">
        <v>62</v>
      </c>
      <c r="H26" s="541" t="str">
        <f>IF(Lang="Français","Résultats",IF(Lang="English","Results",""))</f>
        <v>Résultats</v>
      </c>
      <c r="I26" s="541"/>
      <c r="J26" s="137" t="s">
        <v>63</v>
      </c>
      <c r="K26" s="32"/>
      <c r="L26" s="38"/>
      <c r="M26" s="38"/>
      <c r="N26" s="38"/>
      <c r="Q26" s="29"/>
      <c r="R26" s="38"/>
      <c r="S26" s="388" t="e">
        <f ca="1">IF(AND(Vsortie_de_rampe&lt;18, OR(LEFT(Type_fusee,1)=",",LEFT(Type_fusee,4)="Mini",LEFT(Type_fusee,1)="R")),IF(Lang="Français","Fusée trop lourde ou rampe trop courte !","Rocket too heavy or launch pad too small!"),"")</f>
        <v>#N/A</v>
      </c>
    </row>
    <row r="27" spans="1:22" ht="12.75" customHeight="1" thickTop="1" x14ac:dyDescent="0.2">
      <c r="A27" s="25"/>
      <c r="B27" s="30"/>
      <c r="C27" s="573" t="s">
        <v>423</v>
      </c>
      <c r="D27" s="574"/>
      <c r="E27" s="146">
        <f>m_ail</f>
        <v>190</v>
      </c>
      <c r="F27" s="105" t="s">
        <v>64</v>
      </c>
      <c r="G27" s="104">
        <f>IF(RIGHT(Type_fusee,1)=".",10, IF(OR(LEFT(Type_fusee,1)="R",LEFT(Type_fusee,1)=",",LEFT(Type_fusee,4)="Mini"),10, IF(LEFT(Type_fusee,5)="Micro",10, IF(RIGHT(Type_fusee,1)=" ",1))))</f>
        <v>10</v>
      </c>
      <c r="H27" s="589">
        <f>Long_tot/D_ref</f>
        <v>10.76923076923077</v>
      </c>
      <c r="I27" s="590"/>
      <c r="J27" s="104">
        <f>IF(RIGHT(Type_fusee,1)=".",35, IF(OR(LEFT(Type_fusee,1)="R",LEFT(Type_fusee,1)=",",LEFT(Type_fusee,4)="Mini"),20, IF(LEFT(Type_fusee,5)="Micro",30, IF(RIGHT(Type_fusee,1)=" ",100))))</f>
        <v>35</v>
      </c>
      <c r="K27" s="32"/>
      <c r="L27" s="38"/>
      <c r="M27" s="38"/>
      <c r="N27" s="38"/>
      <c r="Q27" s="29"/>
      <c r="R27" s="38"/>
      <c r="S27" s="388" t="str">
        <f>IF(Finesse&lt;CritFinessemin, IF(Lang="Français","Fusée trop courte !","Rocket too short!"), "" ) &amp; IF(Finesse&gt;CritFinessemax, IF(Lang="Français","Fusée trop longue !","Rocket too long!"), "" )</f>
        <v/>
      </c>
    </row>
    <row r="28" spans="1:22" ht="12.75" customHeight="1" x14ac:dyDescent="0.2">
      <c r="A28" s="25"/>
      <c r="B28" s="524" t="str">
        <f>IF(Lang="Français"," Emplanture  'm'",IF(Lang="English"," Root edge  'm'",""))</f>
        <v xml:space="preserve"> Emplanture  'm'</v>
      </c>
      <c r="C28" s="177">
        <v>190</v>
      </c>
      <c r="D28" s="177">
        <v>180</v>
      </c>
      <c r="E28" s="146">
        <f>n_ail+(m_ail-n_ail)*(1-E_int/E_ail)</f>
        <v>106.55172413793105</v>
      </c>
      <c r="F28" s="105" t="str">
        <f>IF(Lang="Français","Portance","Lift")</f>
        <v>Portance</v>
      </c>
      <c r="G28" s="104">
        <f>IF(RIGHT(Type_fusee,1)=".",15,IF(OR(LEFT(Type_fusee,1)="R",LEFT(Type_fusee,1)=",",LEFT(Type_fusee,4)="Mini"),15, IF(LEFT(Type_fusee,5)="Micro",15, IF(RIGHT(Type_fusee,1)=" ",15))))</f>
        <v>15</v>
      </c>
      <c r="H28" s="508">
        <f>Cnai+Cnc+Cno+Cnj+Cnr</f>
        <v>15.677184507305929</v>
      </c>
      <c r="I28" s="508">
        <f>Cnail+Cnc+Cno+Cnj+Cnr</f>
        <v>15.677184507305929</v>
      </c>
      <c r="J28" s="104">
        <f>IF(RIGHT(Type_fusee,1)=".",40, IF(OR(LEFT(Type_fusee,1)="R",LEFT(Type_fusee,1)=",",LEFT(Type_fusee,4)="Mini"),30, IF(LEFT(Type_fusee,5)="Micro",30, IF(RIGHT(Type_fusee,1)=" ",30))))</f>
        <v>40</v>
      </c>
      <c r="K28" s="32"/>
      <c r="L28" s="38"/>
      <c r="M28" s="38"/>
      <c r="N28" s="38"/>
      <c r="Q28" s="29"/>
      <c r="R28" s="38"/>
      <c r="S28" s="388" t="str">
        <f>IF(Cn&lt;CritCnmin, IF(Lang="Français","Ailerons trop petits !","Fins too small!"), "" ) &amp; IF(Cn&gt;CritCnmax, IF(Lang="Français","Ailerons trop grands !","Fins too big!"), "" )</f>
        <v/>
      </c>
    </row>
    <row r="29" spans="1:22" ht="12.75" customHeight="1" x14ac:dyDescent="0.2">
      <c r="A29" s="25"/>
      <c r="B29" s="524" t="str">
        <f>IF(Lang="Français"," Saumon       'n'",IF(Lang="English"," Tip edge    'n'",""))</f>
        <v xml:space="preserve"> Saumon       'n'</v>
      </c>
      <c r="C29" s="35">
        <v>80</v>
      </c>
      <c r="D29" s="35">
        <v>80</v>
      </c>
      <c r="E29" s="146">
        <f>p_ail*E_int/E_ail</f>
        <v>136.55172413793105</v>
      </c>
      <c r="F29" s="515" t="str">
        <f>IF(Lang="Français","MargeStat.","StatMargin")</f>
        <v>MargeStat.</v>
      </c>
      <c r="G29" s="510">
        <f>IF(RIGHT(Type_fusee,1)=".",2, IF(OR(LEFT(Type_fusee,1)="R",LEFT(Type_fusee,1)=",",LEFT(Type_fusee,4)="Mini"),1.5, IF(LEFT(Type_fusee,5)="Micro",1, IF(RIGHT(Type_fusee,1)=" ",1))))</f>
        <v>2</v>
      </c>
      <c r="H29" s="97">
        <f ca="1">(XCp-XcgPlein)/D_ref</f>
        <v>3.2803762470178883</v>
      </c>
      <c r="I29" s="98">
        <f ca="1">(XCp0-XcgVide)/D_ref</f>
        <v>3.2804925827488094</v>
      </c>
      <c r="J29" s="510">
        <f>IF(RIGHT(Type_fusee,1)=".",6, IF(OR(LEFT(Type_fusee,1)="R",LEFT(Type_fusee,1)=",",LEFT(Type_fusee,4)="Mini"),6, IF(LEFT(Type_fusee,5)="Micro",3, IF(RIGHT(Type_fusee,1)=" ",3))))</f>
        <v>6</v>
      </c>
      <c r="K29" s="32"/>
      <c r="Q29" s="29"/>
      <c r="R29" s="38"/>
      <c r="S29" s="388" t="str">
        <f ca="1">IF(MS_min&lt;CritMsmin, IF(Lang="Français","Abaisser les ailerons ou rehausser le CdM !","Lower the fins or move up the center of mass!"), "" ) &amp; IF(MS_max&gt;CritMsmax, IF(Lang="Français","Rehausser les ailerons ou abaisser le CdM !","Move up the fins or lower the center of mass!"), "" )</f>
        <v/>
      </c>
      <c r="U29" s="24" t="s">
        <v>575</v>
      </c>
    </row>
    <row r="30" spans="1:22" ht="12.75" customHeight="1" x14ac:dyDescent="0.2">
      <c r="A30" s="25"/>
      <c r="B30" s="524" t="str">
        <f>IF(Lang="Français"," Flèche          'p'"," Offset         'p'")</f>
        <v xml:space="preserve"> Flèche          'p'</v>
      </c>
      <c r="C30" s="35">
        <v>180</v>
      </c>
      <c r="D30" s="35">
        <v>160</v>
      </c>
      <c r="E30" s="146">
        <f>IF(D_can/2+E_can&lt;=D_ail/2,0, IF(D_can/2+E_can&gt;=D_ail/2+E_ail,E_ail,  D_can/2+E_can - D_ail/2  ) )</f>
        <v>110</v>
      </c>
      <c r="F30" s="516" t="str">
        <f>IF(Lang="Français","Couple","Torque")</f>
        <v>Couple</v>
      </c>
      <c r="G30" s="511">
        <f>IF(RIGHT(Type_fusee,1)=".",40, IF(OR(LEFT(Type_fusee,1)="R",LEFT(Type_fusee,1)=",",LEFT(Type_fusee,4)="Mini"),30, IF(LEFT(Type_fusee,5)="Micro",15, IF(RIGHT(Type_fusee,1)=" ",15))))</f>
        <v>40</v>
      </c>
      <c r="H30" s="99">
        <f ca="1">MS_min*Cn</f>
        <v>51.427063677883204</v>
      </c>
      <c r="I30" s="96">
        <f ca="1">MS_max*Cn0</f>
        <v>51.428887494601646</v>
      </c>
      <c r="J30" s="511">
        <f>IF(RIGHT(Type_fusee,1)=".",100, IF(OR(LEFT(Type_fusee,1)="R",LEFT(Type_fusee,1)=",",LEFT(Type_fusee,4)="Mini"),100, IF(LEFT(Type_fusee,5)="Micro",100, IF(RIGHT(Type_fusee,1)=" ",90))))</f>
        <v>100</v>
      </c>
      <c r="K30" s="32"/>
      <c r="Q30" s="29"/>
      <c r="R30" s="38"/>
      <c r="S30" s="388" t="str">
        <f ca="1">IF(MS_Cn_min&lt;CritMsCnmin, IF(Lang="Français","Ailerons trop petits ou trop haut /CdM !","Fins too small or too high /CoM!"), "" ) &amp; IF(MS_Cn_max&gt;CritMsCnmax, IF(Lang="Français","Ailerons trop grands ou trop bas  /CdM !","Fins too big or too low / CoM!"), "" )</f>
        <v/>
      </c>
      <c r="U30" s="24" t="s">
        <v>574</v>
      </c>
      <c r="V30" s="24" t="s">
        <v>573</v>
      </c>
    </row>
    <row r="31" spans="1:22" ht="12.75" customHeight="1" x14ac:dyDescent="0.2">
      <c r="A31" s="25"/>
      <c r="B31" s="524" t="str">
        <f>IF(Lang="Français"," Envergure     'E'",IF(Lang="English"," Span          'E'",""))</f>
        <v xml:space="preserve"> Envergure     'E'</v>
      </c>
      <c r="C31" s="35">
        <v>145</v>
      </c>
      <c r="D31" s="35">
        <v>110</v>
      </c>
      <c r="E31" s="146">
        <f>ep_ail</f>
        <v>3</v>
      </c>
      <c r="F31" s="106" t="s">
        <v>55</v>
      </c>
      <c r="G31" s="103"/>
      <c r="H31" s="509">
        <f>(Cnai*XCpai+Cnc*XCpc+Cnj*XCpj+Cnr*XCpr+Cno*XCpo)/(Cnai+Cnc+Cnr+Cnj+Cno)</f>
        <v>836.17122860587619</v>
      </c>
      <c r="I31" s="509">
        <f>(Cnail*XCpa+Cnc*XCpc+Cnj*XCpj+Cnr*XCpr+Cno*XCpo)/(Cnail+Cnc+Cnr+Cnj+Cno)</f>
        <v>836.17122860587619</v>
      </c>
      <c r="J31" s="102"/>
      <c r="K31" s="32"/>
      <c r="Q31" s="29"/>
      <c r="R31" s="38"/>
      <c r="S31" s="388"/>
      <c r="U31" s="24">
        <v>4.0199999999999996</v>
      </c>
      <c r="V31" s="24">
        <v>14.656000000000001</v>
      </c>
    </row>
    <row r="32" spans="1:22" ht="12.75" customHeight="1" x14ac:dyDescent="0.2">
      <c r="A32" s="25"/>
      <c r="B32" s="525" t="str">
        <f>IF(Lang="Français"," Epaisseur     'ep'",IF(Lang="English"," Thickness  'ep'",""))</f>
        <v xml:space="preserve"> Epaisseur     'ep'</v>
      </c>
      <c r="C32" s="35">
        <v>3</v>
      </c>
      <c r="D32" s="35">
        <v>4</v>
      </c>
      <c r="E32" s="146">
        <f>IF(Q_ail=Q_can,Q_ail,FALSE)</f>
        <v>4</v>
      </c>
      <c r="F32" s="106" t="s">
        <v>66</v>
      </c>
      <c r="G32" s="103"/>
      <c r="H32" s="100">
        <f ca="1">(XCp-XcgPlein)/Long_tot*100</f>
        <v>30.460636579451823</v>
      </c>
      <c r="I32" s="101">
        <f ca="1">(XCp-XcgVide)/Long_tot*100</f>
        <v>30.461716839810375</v>
      </c>
      <c r="J32" s="102"/>
      <c r="K32" s="32"/>
      <c r="Q32" s="29"/>
      <c r="R32" s="38"/>
      <c r="U32" s="24">
        <v>3.89</v>
      </c>
      <c r="V32" s="24">
        <v>14.656000000000001</v>
      </c>
    </row>
    <row r="33" spans="1:23" ht="12.75" customHeight="1" x14ac:dyDescent="0.2">
      <c r="A33" s="25"/>
      <c r="B33" s="524" t="str">
        <f>IF(Lang="Français"," Nombre            ",IF(Lang="English"," Number of fins",""))</f>
        <v xml:space="preserve"> Nombre            </v>
      </c>
      <c r="C33" s="36">
        <v>4</v>
      </c>
      <c r="D33" s="36">
        <v>4</v>
      </c>
      <c r="E33" s="146">
        <f>X_ail</f>
        <v>1040</v>
      </c>
      <c r="G33" s="24"/>
      <c r="H33" s="579" t="str">
        <f ca="1">IF(AND(CritCnmin&lt;Cn,Cn0&lt;CritCnmax,CritMsmin&lt;MS_min,MS_max&lt;CritMsmax,CritMsCnmin&lt;MS_Cn_min,MS_Cn_max&lt;CritMsCnmax),"STABLE",IF(OR(Cn&lt;CritCnmin,MS_min&lt;CritMsmin,MS_Cn_min&lt;CritMsCnmin),"INSTABLE",IF(Lang="Français","SURSTABLE","OVERSTABLE")))</f>
        <v>STABLE</v>
      </c>
      <c r="I33" s="580"/>
      <c r="J33" s="31"/>
      <c r="K33" s="32"/>
      <c r="Q33" s="29"/>
      <c r="R33" s="38"/>
    </row>
    <row r="34" spans="1:23" ht="12.75" customHeight="1" x14ac:dyDescent="0.2">
      <c r="A34" s="25"/>
      <c r="B34" s="524" t="str">
        <f>IF(Lang="Français"," Position du bas",IF(Lang="English"," Basement",""))</f>
        <v xml:space="preserve"> Position du bas</v>
      </c>
      <c r="C34" s="35">
        <v>1040</v>
      </c>
      <c r="D34" s="35">
        <v>1250</v>
      </c>
      <c r="E34" s="146">
        <f>D_ail</f>
        <v>104</v>
      </c>
      <c r="G34" s="24"/>
      <c r="H34" s="581"/>
      <c r="I34" s="582"/>
      <c r="K34" s="32"/>
      <c r="Q34" s="29"/>
      <c r="R34" s="38"/>
    </row>
    <row r="35" spans="1:23" ht="12.75" customHeight="1" x14ac:dyDescent="0.2">
      <c r="A35" s="25"/>
      <c r="B35" s="524" t="str">
        <f>IF(Lang="Français"," Diamètre         ",IF(Lang="English"," Diameter at Fins",""))</f>
        <v xml:space="preserve"> Diamètre         </v>
      </c>
      <c r="C35" s="35">
        <v>104</v>
      </c>
      <c r="D35" s="35">
        <f>D_ref</f>
        <v>104</v>
      </c>
      <c r="E35" s="146">
        <f>SQRT(POWER(p_int+n_int/2-m_int/2,2)+POWER(E_int,2))</f>
        <v>145.23178407575389</v>
      </c>
      <c r="K35" s="32"/>
      <c r="Q35" s="29"/>
      <c r="R35" s="38"/>
      <c r="W35" s="24" t="str">
        <f>RIGHT(Type_fusee,1="R")</f>
        <v/>
      </c>
    </row>
    <row r="36" spans="1:23" ht="12.75" customHeight="1" x14ac:dyDescent="0.2">
      <c r="A36" s="25"/>
      <c r="B36" s="524" t="str">
        <f>IF(Lang="Français"," Ligne mi-corde f",IF(Lang="English"," Mid-chord line f",""))</f>
        <v xml:space="preserve"> Ligne mi-corde f</v>
      </c>
      <c r="C36" s="145">
        <f>SQRT(POWER(p_ail+n_ail/2-m_ail/2,2)+POWER(E_ail,2))</f>
        <v>191.44189719076647</v>
      </c>
      <c r="D36" s="145">
        <f>SQRT(POWER(p_can+n_can/2-m_can/2,2)+POWER(E_can,2))</f>
        <v>155.56349186104046</v>
      </c>
      <c r="E36" s="536"/>
      <c r="K36" s="32"/>
      <c r="Q36" s="29"/>
      <c r="R36" s="38"/>
    </row>
    <row r="37" spans="1:23" ht="12.75" customHeight="1" thickBot="1" x14ac:dyDescent="0.25">
      <c r="A37" s="40"/>
      <c r="B37" s="182" t="str">
        <f>IF(Lang="Français","Commentaire libre :",IF(Lang="English","Free comment:",""))</f>
        <v>Commentaire libre :</v>
      </c>
      <c r="C37" s="41"/>
      <c r="D37" s="42"/>
      <c r="E37" s="91"/>
      <c r="F37" s="67"/>
      <c r="G37" s="67"/>
      <c r="H37" s="67"/>
      <c r="I37" s="67"/>
      <c r="J37" s="42"/>
      <c r="K37" s="42"/>
      <c r="L37" s="389" t="s">
        <v>270</v>
      </c>
      <c r="M37" s="392" t="str">
        <f>IF(ROUND(SUM(Propu!5:1228),0)=437735,"propu OK","propu NOK")</f>
        <v>propu OK</v>
      </c>
      <c r="N37" s="391" t="str">
        <f>IF(Lang="Français","fichier initial","Initial file")</f>
        <v>fichier initial</v>
      </c>
      <c r="O37" s="392"/>
      <c r="P37" s="390"/>
      <c r="Q37" s="291" t="s">
        <v>566</v>
      </c>
      <c r="R37" s="43"/>
    </row>
    <row r="39" spans="1:23" x14ac:dyDescent="0.2">
      <c r="L39" s="226" t="str">
        <f>IF(Lang="Français","Maintenant que votre fusée est stable, vérifiez sa trajectoire via la feuille","Now your rocket is stable, check its trajectory on sheet")</f>
        <v>Maintenant que votre fusée est stable, vérifiez sa trajectoire via la feuille</v>
      </c>
      <c r="M39" s="481" t="s">
        <v>180</v>
      </c>
    </row>
    <row r="40" spans="1:23" x14ac:dyDescent="0.2">
      <c r="H40" s="87"/>
      <c r="O40" s="26"/>
      <c r="P40" s="26"/>
      <c r="S40" s="506"/>
    </row>
    <row r="41" spans="1:23" x14ac:dyDescent="0.2">
      <c r="F41" s="24"/>
      <c r="H41" s="43"/>
      <c r="I41" s="44"/>
      <c r="J41" s="43"/>
      <c r="N41" s="43"/>
      <c r="Q41" s="43"/>
      <c r="R41" s="43"/>
    </row>
    <row r="42" spans="1:23" x14ac:dyDescent="0.2">
      <c r="F42" s="24"/>
      <c r="G42" s="503"/>
      <c r="H42" s="504"/>
      <c r="I42" s="44"/>
      <c r="J42" s="43"/>
      <c r="N42" s="43"/>
      <c r="Q42" s="43"/>
      <c r="R42" s="43"/>
    </row>
    <row r="43" spans="1:23" x14ac:dyDescent="0.2">
      <c r="F43" s="24"/>
      <c r="H43" s="43"/>
      <c r="I43" s="44"/>
      <c r="J43" s="43"/>
      <c r="N43" s="43"/>
      <c r="Q43" s="43"/>
      <c r="R43" s="43"/>
    </row>
    <row r="44" spans="1:23" x14ac:dyDescent="0.2">
      <c r="F44" s="24"/>
      <c r="H44" s="43"/>
      <c r="I44" s="44"/>
      <c r="J44" s="43"/>
      <c r="N44" s="43"/>
      <c r="Q44" s="43"/>
      <c r="R44" s="43"/>
    </row>
    <row r="45" spans="1:23" x14ac:dyDescent="0.2">
      <c r="F45" s="24"/>
      <c r="H45" s="43"/>
      <c r="I45" s="44"/>
      <c r="J45" s="43"/>
      <c r="N45" s="43"/>
      <c r="Q45" s="43"/>
      <c r="R45" s="43"/>
    </row>
    <row r="46" spans="1:23" x14ac:dyDescent="0.2">
      <c r="F46" s="24"/>
      <c r="H46" s="43"/>
      <c r="I46" s="44"/>
      <c r="J46" s="43"/>
      <c r="N46" s="43"/>
      <c r="Q46" s="43"/>
      <c r="R46" s="43"/>
    </row>
    <row r="47" spans="1:23" x14ac:dyDescent="0.2">
      <c r="F47" s="24"/>
      <c r="H47" s="43"/>
      <c r="I47" s="44"/>
      <c r="J47" s="43"/>
      <c r="L47" s="43"/>
      <c r="M47" s="43"/>
      <c r="N47" s="43"/>
      <c r="Q47" s="43"/>
      <c r="R47" s="43"/>
    </row>
    <row r="48" spans="1:23" x14ac:dyDescent="0.2">
      <c r="F48" s="24"/>
      <c r="H48" s="43"/>
      <c r="I48" s="44"/>
      <c r="J48" s="43"/>
      <c r="L48" s="43"/>
      <c r="M48" s="43"/>
      <c r="N48" s="43"/>
      <c r="Q48" s="43"/>
      <c r="R48" s="43"/>
    </row>
    <row r="49" spans="2:18" x14ac:dyDescent="0.2">
      <c r="F49" s="24"/>
      <c r="H49" s="43"/>
      <c r="I49" s="44"/>
      <c r="J49" s="43"/>
      <c r="L49" s="43"/>
      <c r="M49" s="43"/>
      <c r="N49" s="43"/>
      <c r="Q49" s="43"/>
      <c r="R49" s="43"/>
    </row>
    <row r="50" spans="2:18" x14ac:dyDescent="0.2">
      <c r="F50" s="24"/>
      <c r="H50" s="43"/>
      <c r="I50" s="44"/>
      <c r="J50" s="43"/>
      <c r="L50" s="43"/>
      <c r="M50" s="43"/>
      <c r="N50" s="43"/>
      <c r="Q50" s="43"/>
      <c r="R50" s="43"/>
    </row>
    <row r="51" spans="2:18" x14ac:dyDescent="0.2">
      <c r="F51" s="24"/>
      <c r="H51" s="43"/>
      <c r="I51" s="44"/>
      <c r="J51" s="43"/>
      <c r="L51" s="43"/>
      <c r="M51" s="43"/>
      <c r="N51" s="43"/>
      <c r="Q51" s="43"/>
      <c r="R51" s="43"/>
    </row>
    <row r="52" spans="2:18" x14ac:dyDescent="0.2">
      <c r="F52" s="24"/>
      <c r="H52" s="43"/>
      <c r="I52" s="44"/>
      <c r="J52" s="43"/>
      <c r="L52" s="43"/>
      <c r="M52" s="43"/>
      <c r="N52" s="43"/>
      <c r="Q52" s="43"/>
      <c r="R52" s="43"/>
    </row>
    <row r="53" spans="2:18" x14ac:dyDescent="0.2">
      <c r="H53" s="43"/>
      <c r="I53" s="44"/>
      <c r="J53" s="43"/>
      <c r="L53" s="43"/>
      <c r="M53" s="43"/>
      <c r="N53" s="43"/>
      <c r="Q53" s="43"/>
      <c r="R53" s="43"/>
    </row>
    <row r="54" spans="2:18" x14ac:dyDescent="0.2">
      <c r="H54" s="43"/>
      <c r="I54" s="44"/>
      <c r="J54" s="43"/>
      <c r="L54" s="43"/>
      <c r="M54" s="43"/>
      <c r="N54" s="43"/>
      <c r="Q54" s="43"/>
      <c r="R54" s="43"/>
    </row>
    <row r="55" spans="2:18" x14ac:dyDescent="0.2">
      <c r="H55" s="43"/>
      <c r="I55" s="44"/>
      <c r="J55" s="43"/>
      <c r="L55" s="43"/>
      <c r="M55" s="43"/>
      <c r="N55" s="43"/>
      <c r="Q55" s="43"/>
      <c r="R55" s="43"/>
    </row>
    <row r="56" spans="2:18" x14ac:dyDescent="0.2">
      <c r="H56" s="43"/>
      <c r="I56" s="44"/>
      <c r="J56" s="43"/>
      <c r="L56" s="43"/>
      <c r="M56" s="43"/>
      <c r="N56" s="43"/>
      <c r="Q56" s="43"/>
      <c r="R56" s="43"/>
    </row>
    <row r="57" spans="2:18" x14ac:dyDescent="0.2">
      <c r="C57" s="24"/>
      <c r="H57" s="43"/>
      <c r="I57" s="44"/>
      <c r="J57" s="43"/>
      <c r="L57" s="43"/>
      <c r="M57" s="43"/>
      <c r="N57" s="43"/>
      <c r="Q57" s="43"/>
      <c r="R57" s="43"/>
    </row>
    <row r="58" spans="2:18" x14ac:dyDescent="0.2">
      <c r="H58" s="43"/>
      <c r="I58" s="44"/>
      <c r="J58" s="43"/>
      <c r="L58" s="43"/>
      <c r="M58" s="43"/>
      <c r="N58" s="43"/>
      <c r="Q58" s="43"/>
      <c r="R58" s="43"/>
    </row>
    <row r="59" spans="2:18" x14ac:dyDescent="0.2">
      <c r="B59" s="31"/>
      <c r="H59" s="43"/>
      <c r="I59" s="44"/>
      <c r="J59" s="43"/>
      <c r="L59" s="43"/>
      <c r="M59" s="43"/>
      <c r="N59" s="43"/>
      <c r="Q59" s="43"/>
      <c r="R59" s="43"/>
    </row>
    <row r="60" spans="2:18" x14ac:dyDescent="0.2">
      <c r="B60" s="31"/>
      <c r="H60" s="43"/>
      <c r="I60" s="44"/>
      <c r="J60" s="43"/>
      <c r="L60" s="43"/>
      <c r="M60" s="43"/>
      <c r="N60" s="43"/>
      <c r="Q60" s="43"/>
      <c r="R60" s="43"/>
    </row>
    <row r="61" spans="2:18" x14ac:dyDescent="0.2">
      <c r="B61" s="31"/>
      <c r="H61" s="43"/>
      <c r="I61" s="44"/>
      <c r="J61" s="43"/>
      <c r="L61" s="43"/>
      <c r="M61" s="43"/>
      <c r="N61" s="43"/>
      <c r="Q61" s="43"/>
      <c r="R61" s="43"/>
    </row>
    <row r="62" spans="2:18" x14ac:dyDescent="0.2">
      <c r="B62" s="31"/>
      <c r="H62" s="43"/>
      <c r="I62" s="44"/>
      <c r="J62" s="43"/>
      <c r="L62" s="43"/>
      <c r="M62" s="43"/>
      <c r="N62" s="43"/>
      <c r="Q62" s="43"/>
      <c r="R62" s="43"/>
    </row>
    <row r="63" spans="2:18" x14ac:dyDescent="0.2">
      <c r="B63" s="31"/>
      <c r="H63" s="43"/>
      <c r="I63" s="44"/>
      <c r="J63" s="43"/>
      <c r="L63" s="43"/>
      <c r="M63" s="43"/>
      <c r="N63" s="43"/>
      <c r="Q63" s="43"/>
      <c r="R63" s="43"/>
    </row>
    <row r="64" spans="2:18" x14ac:dyDescent="0.2">
      <c r="B64" s="31"/>
      <c r="H64" s="43"/>
      <c r="I64" s="44"/>
      <c r="J64" s="43"/>
      <c r="L64" s="43"/>
      <c r="M64" s="43"/>
      <c r="N64" s="43"/>
      <c r="Q64" s="43"/>
      <c r="R64" s="43"/>
    </row>
    <row r="65" spans="2:18" x14ac:dyDescent="0.2">
      <c r="B65" s="31"/>
      <c r="H65" s="43"/>
      <c r="I65" s="44"/>
      <c r="J65" s="43"/>
      <c r="L65" s="43"/>
      <c r="M65" s="43"/>
      <c r="N65" s="43"/>
      <c r="Q65" s="43"/>
      <c r="R65" s="43"/>
    </row>
    <row r="66" spans="2:18" x14ac:dyDescent="0.2">
      <c r="B66" s="31"/>
      <c r="H66" s="43"/>
      <c r="I66" s="44"/>
      <c r="J66" s="43"/>
      <c r="L66" s="43"/>
      <c r="M66" s="43"/>
      <c r="N66" s="43"/>
      <c r="Q66" s="43"/>
      <c r="R66" s="43"/>
    </row>
    <row r="67" spans="2:18" x14ac:dyDescent="0.2">
      <c r="B67" s="31"/>
      <c r="H67" s="43"/>
      <c r="I67" s="44"/>
      <c r="J67" s="43"/>
      <c r="L67" s="43"/>
      <c r="M67" s="43"/>
      <c r="N67" s="43"/>
      <c r="Q67" s="43"/>
      <c r="R67" s="43"/>
    </row>
    <row r="68" spans="2:18" x14ac:dyDescent="0.2">
      <c r="C68" s="24"/>
      <c r="H68" s="43"/>
      <c r="I68" s="44"/>
      <c r="J68" s="43"/>
      <c r="L68" s="43"/>
      <c r="M68" s="43"/>
      <c r="N68" s="43"/>
      <c r="Q68" s="43"/>
      <c r="R68" s="43"/>
    </row>
    <row r="69" spans="2:18" x14ac:dyDescent="0.2">
      <c r="C69" s="24"/>
      <c r="H69" s="43"/>
      <c r="I69" s="44"/>
      <c r="J69" s="43"/>
      <c r="L69" s="43"/>
      <c r="M69" s="43"/>
      <c r="N69" s="43"/>
      <c r="Q69" s="43"/>
      <c r="R69" s="43"/>
    </row>
    <row r="70" spans="2:18" x14ac:dyDescent="0.2">
      <c r="C70" s="24"/>
      <c r="H70" s="43"/>
      <c r="I70" s="44"/>
      <c r="J70" s="43"/>
      <c r="L70" s="43"/>
      <c r="M70" s="43"/>
      <c r="N70" s="43"/>
      <c r="Q70" s="43"/>
      <c r="R70" s="43"/>
    </row>
    <row r="71" spans="2:18" x14ac:dyDescent="0.2">
      <c r="C71" s="24"/>
      <c r="H71" s="43"/>
      <c r="I71" s="44"/>
      <c r="J71" s="43"/>
      <c r="L71" s="43"/>
      <c r="M71" s="43"/>
      <c r="N71" s="43"/>
      <c r="Q71" s="43"/>
      <c r="R71" s="43"/>
    </row>
    <row r="72" spans="2:18" x14ac:dyDescent="0.2">
      <c r="C72" s="24"/>
      <c r="H72" s="43"/>
      <c r="I72" s="44"/>
      <c r="J72" s="43"/>
      <c r="L72" s="43"/>
      <c r="M72" s="43"/>
      <c r="N72" s="43"/>
      <c r="Q72" s="43"/>
      <c r="R72" s="43"/>
    </row>
    <row r="73" spans="2:18" x14ac:dyDescent="0.2">
      <c r="C73" s="24"/>
      <c r="H73" s="43"/>
      <c r="I73" s="44"/>
      <c r="J73" s="43"/>
      <c r="L73" s="43"/>
      <c r="M73" s="43"/>
      <c r="N73" s="43"/>
      <c r="Q73" s="43"/>
      <c r="R73" s="43"/>
    </row>
    <row r="74" spans="2:18" x14ac:dyDescent="0.2">
      <c r="C74" s="24"/>
      <c r="H74" s="43"/>
      <c r="I74" s="44"/>
      <c r="J74" s="43"/>
      <c r="L74" s="43"/>
      <c r="M74" s="43"/>
      <c r="N74" s="43"/>
      <c r="Q74" s="43"/>
      <c r="R74" s="43"/>
    </row>
    <row r="75" spans="2:18" x14ac:dyDescent="0.2">
      <c r="C75" s="24"/>
      <c r="H75" s="43"/>
      <c r="I75" s="44"/>
      <c r="J75" s="43"/>
      <c r="L75" s="43"/>
      <c r="M75" s="43"/>
      <c r="N75" s="43"/>
      <c r="Q75" s="43"/>
      <c r="R75" s="43"/>
    </row>
    <row r="76" spans="2:18" x14ac:dyDescent="0.2">
      <c r="C76" s="24"/>
      <c r="H76" s="43"/>
      <c r="I76" s="44"/>
      <c r="J76" s="43"/>
      <c r="L76" s="43"/>
      <c r="M76" s="43"/>
      <c r="N76" s="43"/>
      <c r="Q76" s="43"/>
      <c r="R76" s="43"/>
    </row>
    <row r="77" spans="2:18" x14ac:dyDescent="0.2">
      <c r="C77" s="24"/>
      <c r="H77" s="43"/>
      <c r="I77" s="44"/>
      <c r="J77" s="43"/>
      <c r="L77" s="43"/>
      <c r="M77" s="43"/>
      <c r="N77" s="43"/>
      <c r="Q77" s="43"/>
      <c r="R77" s="43"/>
    </row>
    <row r="78" spans="2:18" x14ac:dyDescent="0.2">
      <c r="C78" s="24"/>
      <c r="H78" s="43"/>
      <c r="I78" s="44"/>
      <c r="J78" s="43"/>
      <c r="L78" s="43"/>
      <c r="M78" s="43"/>
      <c r="N78" s="43"/>
      <c r="Q78" s="43"/>
      <c r="R78" s="43"/>
    </row>
    <row r="79" spans="2:18" x14ac:dyDescent="0.2">
      <c r="C79" s="24"/>
      <c r="H79" s="43"/>
      <c r="I79" s="44"/>
      <c r="J79" s="43"/>
      <c r="L79" s="43"/>
      <c r="M79" s="43"/>
      <c r="N79" s="43"/>
      <c r="Q79" s="43"/>
      <c r="R79" s="43"/>
    </row>
    <row r="80" spans="2:18" x14ac:dyDescent="0.2">
      <c r="C80" s="24"/>
      <c r="H80" s="43"/>
      <c r="I80" s="44"/>
      <c r="J80" s="43"/>
      <c r="L80" s="43"/>
      <c r="M80" s="43"/>
      <c r="N80" s="43"/>
      <c r="Q80" s="43"/>
      <c r="R80" s="43"/>
    </row>
    <row r="81" spans="2:18" x14ac:dyDescent="0.2">
      <c r="C81" s="24"/>
      <c r="H81" s="43"/>
      <c r="I81" s="44"/>
      <c r="J81" s="43"/>
      <c r="L81" s="43"/>
      <c r="M81" s="43"/>
      <c r="N81" s="43"/>
      <c r="Q81" s="43"/>
      <c r="R81" s="43"/>
    </row>
    <row r="82" spans="2:18" x14ac:dyDescent="0.2">
      <c r="C82" s="24"/>
      <c r="H82" s="43"/>
      <c r="I82" s="44"/>
      <c r="J82" s="43"/>
      <c r="L82" s="43"/>
      <c r="M82" s="43"/>
      <c r="N82" s="43"/>
      <c r="Q82" s="43"/>
      <c r="R82" s="43"/>
    </row>
    <row r="83" spans="2:18" x14ac:dyDescent="0.2">
      <c r="C83" s="24"/>
      <c r="H83" s="43"/>
      <c r="I83" s="44"/>
      <c r="J83" s="43"/>
      <c r="L83" s="43"/>
      <c r="M83" s="43"/>
      <c r="N83" s="43"/>
      <c r="Q83" s="43"/>
      <c r="R83" s="43"/>
    </row>
    <row r="84" spans="2:18" x14ac:dyDescent="0.2">
      <c r="C84" s="24"/>
      <c r="H84" s="43"/>
      <c r="I84" s="44"/>
      <c r="J84" s="43"/>
      <c r="L84" s="43"/>
      <c r="M84" s="43"/>
      <c r="N84" s="43"/>
      <c r="Q84" s="43"/>
      <c r="R84" s="43"/>
    </row>
    <row r="85" spans="2:18" x14ac:dyDescent="0.2">
      <c r="C85" s="24"/>
      <c r="H85" s="43"/>
      <c r="I85" s="44"/>
      <c r="J85" s="43"/>
      <c r="L85" s="43"/>
      <c r="M85" s="43"/>
      <c r="N85" s="43"/>
      <c r="Q85" s="43"/>
      <c r="R85" s="43"/>
    </row>
    <row r="86" spans="2:18" x14ac:dyDescent="0.2">
      <c r="C86" s="24"/>
      <c r="H86" s="43"/>
      <c r="I86" s="44"/>
      <c r="J86" s="43"/>
      <c r="L86" s="43"/>
      <c r="M86" s="43"/>
      <c r="N86" s="43"/>
      <c r="Q86" s="43"/>
      <c r="R86" s="43"/>
    </row>
    <row r="87" spans="2:18" x14ac:dyDescent="0.2">
      <c r="C87" s="24"/>
      <c r="H87" s="43"/>
      <c r="I87" s="44"/>
      <c r="J87" s="43"/>
      <c r="L87" s="43"/>
      <c r="M87" s="43"/>
      <c r="N87" s="43"/>
      <c r="Q87" s="43"/>
      <c r="R87" s="43"/>
    </row>
    <row r="88" spans="2:18" x14ac:dyDescent="0.2">
      <c r="C88" s="24"/>
      <c r="H88" s="43"/>
      <c r="I88" s="44"/>
      <c r="J88" s="43"/>
      <c r="L88" s="43"/>
      <c r="M88" s="43"/>
      <c r="N88" s="43"/>
      <c r="Q88" s="43"/>
      <c r="R88" s="43"/>
    </row>
    <row r="89" spans="2:18" x14ac:dyDescent="0.2">
      <c r="C89" s="24"/>
      <c r="H89" s="43"/>
      <c r="I89" s="44"/>
      <c r="J89" s="43"/>
      <c r="L89" s="43"/>
      <c r="M89" s="43"/>
      <c r="N89" s="43"/>
      <c r="Q89" s="43"/>
      <c r="R89" s="43"/>
    </row>
    <row r="90" spans="2:18" x14ac:dyDescent="0.2">
      <c r="C90" s="24"/>
      <c r="H90" s="43"/>
      <c r="I90" s="44"/>
      <c r="J90" s="43"/>
      <c r="L90" s="43"/>
      <c r="M90" s="43"/>
      <c r="N90" s="43"/>
      <c r="Q90" s="43"/>
      <c r="R90" s="43"/>
    </row>
    <row r="91" spans="2:18" x14ac:dyDescent="0.2">
      <c r="C91" s="24"/>
      <c r="H91" s="43"/>
      <c r="I91" s="44"/>
      <c r="J91" s="43"/>
      <c r="L91" s="43"/>
      <c r="M91" s="43"/>
      <c r="N91" s="43"/>
      <c r="Q91" s="43"/>
      <c r="R91" s="43"/>
    </row>
    <row r="92" spans="2:18" x14ac:dyDescent="0.2">
      <c r="B92" s="24" t="str">
        <f>IF(Lang="Français","Textes pour les listes déroulantes et graphiques :",IF(Lang="English","Texts for drop-down lists &amp; graphics :",""))</f>
        <v>Textes pour les listes déroulantes et graphiques :</v>
      </c>
      <c r="H92" s="43"/>
      <c r="I92" s="44"/>
      <c r="J92" s="43"/>
      <c r="L92" s="43"/>
      <c r="M92" s="43"/>
      <c r="N92" s="43"/>
      <c r="Q92" s="43"/>
      <c r="R92" s="43"/>
    </row>
    <row r="93" spans="2:18" x14ac:dyDescent="0.2">
      <c r="H93" s="43"/>
      <c r="I93" s="44"/>
      <c r="J93" s="43"/>
      <c r="L93" s="43"/>
      <c r="M93" s="43"/>
      <c r="N93" s="43"/>
      <c r="Q93" s="43"/>
      <c r="R93" s="43"/>
    </row>
    <row r="94" spans="2:18" x14ac:dyDescent="0.2">
      <c r="B94" s="26" t="s">
        <v>1</v>
      </c>
      <c r="H94" s="43"/>
      <c r="I94" s="44"/>
      <c r="J94" s="43"/>
      <c r="L94" s="43"/>
      <c r="M94" s="43"/>
      <c r="N94" s="43"/>
      <c r="Q94" s="43"/>
      <c r="R94" s="43"/>
    </row>
    <row r="95" spans="2:18" x14ac:dyDescent="0.2">
      <c r="B95" s="26" t="s">
        <v>67</v>
      </c>
      <c r="H95" s="43"/>
      <c r="I95" s="44"/>
      <c r="J95" s="43"/>
      <c r="L95" s="43"/>
      <c r="M95" s="43"/>
      <c r="N95" s="43"/>
      <c r="Q95" s="43"/>
      <c r="R95" s="43"/>
    </row>
    <row r="96" spans="2:18" x14ac:dyDescent="0.2">
      <c r="B96" s="26"/>
      <c r="H96" s="43"/>
      <c r="I96" s="44"/>
      <c r="J96" s="43"/>
      <c r="L96" s="43"/>
      <c r="M96" s="43"/>
      <c r="N96" s="43"/>
      <c r="Q96" s="43"/>
      <c r="R96" s="43"/>
    </row>
    <row r="97" spans="2:18" x14ac:dyDescent="0.2">
      <c r="B97" s="26" t="str">
        <f>IF(Lang="Français","Fusée à eau  ",IF(Lang="English","Water-rocket  ",""))</f>
        <v xml:space="preserve">Fusée à eau  </v>
      </c>
      <c r="H97" s="43"/>
      <c r="I97" s="44"/>
      <c r="J97" s="43"/>
      <c r="L97" s="43"/>
      <c r="M97" s="43"/>
      <c r="N97" s="43"/>
      <c r="Q97" s="43"/>
      <c r="R97" s="43"/>
    </row>
    <row r="98" spans="2:18" x14ac:dyDescent="0.2">
      <c r="B98" s="26" t="str">
        <f>IF(Lang="Français","Microfusée",IF(Lang="English","Micro-rocket",""))</f>
        <v>Microfusée</v>
      </c>
      <c r="H98" s="43"/>
      <c r="I98" s="44"/>
      <c r="J98" s="43"/>
      <c r="L98" s="43"/>
      <c r="M98" s="43"/>
      <c r="N98" s="43"/>
      <c r="Q98" s="43"/>
      <c r="R98" s="43"/>
    </row>
    <row r="99" spans="2:18" x14ac:dyDescent="0.2">
      <c r="B99" s="26" t="str">
        <f>IF(Lang="Français","Minifusée",IF(Lang="English","Mini-rocket",""))</f>
        <v>Minifusée</v>
      </c>
      <c r="H99" s="43"/>
      <c r="I99" s="44"/>
      <c r="J99" s="43"/>
      <c r="L99" s="43"/>
      <c r="M99" s="43"/>
      <c r="N99" s="43"/>
      <c r="Q99" s="43"/>
      <c r="R99" s="43"/>
    </row>
    <row r="100" spans="2:18" x14ac:dyDescent="0.2">
      <c r="B100" s="26" t="str">
        <f>IF(Lang="Français","Fusée expérimentale.",IF(Lang="English","Experimental Rocket.",""))</f>
        <v>Fusée expérimentale.</v>
      </c>
      <c r="H100" s="43"/>
      <c r="I100" s="44"/>
      <c r="J100" s="43"/>
      <c r="L100" s="43"/>
      <c r="M100" s="43"/>
      <c r="N100" s="43"/>
      <c r="Q100" s="43"/>
      <c r="R100" s="43"/>
    </row>
    <row r="101" spans="2:18" x14ac:dyDescent="0.2">
      <c r="B101" s="26" t="s">
        <v>398</v>
      </c>
      <c r="H101" s="43"/>
      <c r="I101" s="44"/>
      <c r="J101" s="43"/>
      <c r="L101" s="43"/>
      <c r="M101" s="43"/>
      <c r="N101" s="43"/>
      <c r="Q101" s="43"/>
      <c r="R101" s="43"/>
    </row>
    <row r="102" spans="2:18" x14ac:dyDescent="0.2">
      <c r="B102" s="26"/>
      <c r="H102" s="43"/>
      <c r="I102" s="44"/>
      <c r="J102" s="43"/>
      <c r="L102" s="43"/>
      <c r="M102" s="43"/>
      <c r="N102" s="43"/>
      <c r="Q102" s="43"/>
      <c r="R102" s="43"/>
    </row>
    <row r="103" spans="2:18" x14ac:dyDescent="0.2">
      <c r="B103" s="26" t="str">
        <f>IF(Lang="Français","sans propu",IF(Lang="English","without motor",""))</f>
        <v>sans propu</v>
      </c>
      <c r="H103" s="43"/>
      <c r="I103" s="44"/>
      <c r="J103" s="43"/>
      <c r="L103" s="43"/>
      <c r="M103" s="43"/>
      <c r="N103" s="43"/>
      <c r="Q103" s="43"/>
      <c r="R103" s="43"/>
    </row>
    <row r="104" spans="2:18" x14ac:dyDescent="0.2">
      <c r="B104" s="26" t="str">
        <f>IF(Lang="Français","avec propu vide",IF(Lang="English","with empty motor",""))</f>
        <v>avec propu vide</v>
      </c>
      <c r="H104" s="43"/>
      <c r="I104" s="44"/>
      <c r="J104" s="43"/>
      <c r="L104" s="43"/>
      <c r="M104" s="43"/>
      <c r="N104" s="43"/>
      <c r="Q104" s="43"/>
      <c r="R104" s="43"/>
    </row>
    <row r="105" spans="2:18" x14ac:dyDescent="0.2">
      <c r="B105" s="26" t="str">
        <f>IF(Lang="Français","avec propu plein",IF(Lang="English","with loaded motor",""))</f>
        <v>avec propu plein</v>
      </c>
      <c r="H105" s="43"/>
      <c r="I105" s="44"/>
      <c r="J105" s="43"/>
      <c r="L105" s="43"/>
      <c r="M105" s="43"/>
      <c r="N105" s="43"/>
      <c r="Q105" s="43"/>
      <c r="R105" s="43"/>
    </row>
    <row r="106" spans="2:18" x14ac:dyDescent="0.2">
      <c r="B106" s="26"/>
      <c r="H106" s="43"/>
      <c r="I106" s="44"/>
      <c r="J106" s="43"/>
      <c r="L106" s="43"/>
      <c r="M106" s="43"/>
      <c r="N106" s="43"/>
      <c r="Q106" s="43"/>
      <c r="R106" s="43"/>
    </row>
    <row r="107" spans="2:18" x14ac:dyDescent="0.2">
      <c r="B107" s="26" t="str">
        <f>IF(Lang="Français","Parabolique (arrondie)",IF(Lang="English","Parabola (rounded)",""))</f>
        <v>Parabolique (arrondie)</v>
      </c>
      <c r="H107" s="43"/>
      <c r="I107" s="44"/>
      <c r="J107" s="43"/>
      <c r="L107" s="43"/>
      <c r="M107" s="43"/>
      <c r="N107" s="43"/>
      <c r="Q107" s="43"/>
      <c r="R107" s="43"/>
    </row>
    <row r="108" spans="2:18" x14ac:dyDescent="0.2">
      <c r="B108" s="26" t="str">
        <f>IF(Lang="Français","Ogivale (pointue)",IF(Lang="English","Ogive (sharp)",""))</f>
        <v>Ogivale (pointue)</v>
      </c>
      <c r="H108" s="43"/>
      <c r="I108" s="44"/>
      <c r="J108" s="43"/>
      <c r="L108" s="43"/>
      <c r="M108" s="43"/>
      <c r="N108" s="43"/>
      <c r="Q108" s="43"/>
      <c r="R108" s="43"/>
    </row>
    <row r="109" spans="2:18" x14ac:dyDescent="0.2">
      <c r="B109" s="26" t="str">
        <f>IF(Lang="Français","Conique (droite)",IF(Lang="English","Cone (straight)",""))</f>
        <v>Conique (droite)</v>
      </c>
      <c r="H109" s="43"/>
      <c r="I109" s="44"/>
      <c r="J109" s="43"/>
      <c r="L109" s="43"/>
      <c r="M109" s="43"/>
      <c r="N109" s="43"/>
      <c r="Q109" s="43"/>
      <c r="R109" s="43"/>
    </row>
    <row r="110" spans="2:18" x14ac:dyDescent="0.2">
      <c r="B110" s="38"/>
      <c r="H110" s="43"/>
      <c r="I110" s="44"/>
      <c r="J110" s="43"/>
      <c r="L110" s="43"/>
      <c r="M110" s="43"/>
      <c r="N110" s="43"/>
      <c r="Q110" s="43"/>
      <c r="R110" s="43"/>
    </row>
    <row r="111" spans="2:18" x14ac:dyDescent="0.2">
      <c r="B111" s="38" t="s">
        <v>423</v>
      </c>
      <c r="H111" s="43"/>
      <c r="I111" s="44"/>
      <c r="J111" s="43"/>
      <c r="L111" s="43"/>
      <c r="M111" s="43"/>
      <c r="N111" s="43"/>
      <c r="Q111" s="43"/>
      <c r="R111" s="43"/>
    </row>
    <row r="112" spans="2:18" x14ac:dyDescent="0.2">
      <c r="B112" s="38" t="s">
        <v>424</v>
      </c>
      <c r="H112" s="43"/>
      <c r="I112" s="44"/>
      <c r="J112" s="43"/>
      <c r="L112" s="43"/>
      <c r="M112" s="43"/>
      <c r="N112" s="43"/>
      <c r="Q112" s="43"/>
      <c r="R112" s="43"/>
    </row>
    <row r="113" spans="2:18" x14ac:dyDescent="0.2">
      <c r="B113" s="38"/>
      <c r="H113" s="43"/>
      <c r="I113" s="44"/>
      <c r="J113" s="43"/>
      <c r="L113" s="43"/>
      <c r="M113" s="43"/>
      <c r="N113" s="43"/>
      <c r="Q113" s="43"/>
      <c r="R113" s="43"/>
    </row>
    <row r="114" spans="2:18" x14ac:dyDescent="0.2">
      <c r="B114" s="38" t="str">
        <f>IF(Lang="Français","Fusée mono-diamètre,",IF(Lang="English","Mono-diameter rocket,",""))</f>
        <v>Fusée mono-diamètre,</v>
      </c>
      <c r="H114" s="43"/>
      <c r="I114" s="44"/>
      <c r="J114" s="43"/>
      <c r="L114" s="43"/>
      <c r="M114" s="43"/>
      <c r="N114" s="43"/>
      <c r="Q114" s="43"/>
      <c r="R114" s="43"/>
    </row>
    <row r="115" spans="2:18" x14ac:dyDescent="0.2">
      <c r="B115" s="38" t="str">
        <f>IF(Lang="Français","Plusieurs diamètres.",IF(Lang="English","Many diameters rocket.",""))</f>
        <v>Plusieurs diamètres.</v>
      </c>
      <c r="H115" s="43"/>
      <c r="I115" s="44"/>
      <c r="J115" s="43"/>
      <c r="L115" s="43"/>
      <c r="M115" s="43"/>
      <c r="N115" s="43"/>
      <c r="Q115" s="43"/>
      <c r="R115" s="43"/>
    </row>
    <row r="116" spans="2:18" x14ac:dyDescent="0.2">
      <c r="B116" s="38"/>
      <c r="H116" s="43"/>
      <c r="I116" s="44"/>
      <c r="J116" s="43"/>
      <c r="L116" s="43"/>
      <c r="M116" s="43"/>
      <c r="N116" s="43"/>
      <c r="Q116" s="43"/>
      <c r="R116" s="43"/>
    </row>
    <row r="117" spans="2:18" x14ac:dyDescent="0.2">
      <c r="B117" s="223" t="str">
        <f>IF(Lang="Français","Diagramme des critères de stabilité","Stability criterions diagram")</f>
        <v>Diagramme des critères de stabilité</v>
      </c>
      <c r="H117" s="43"/>
      <c r="I117" s="44"/>
      <c r="J117" s="43"/>
      <c r="L117" s="43"/>
      <c r="M117" s="43"/>
      <c r="N117" s="43"/>
      <c r="Q117" s="43"/>
      <c r="R117" s="43"/>
    </row>
    <row r="118" spans="2:18" x14ac:dyDescent="0.2">
      <c r="B118" s="223" t="str">
        <f>IF(Lang="Français","Marge Statique (MS)","Static Margin")</f>
        <v>Marge Statique (MS)</v>
      </c>
      <c r="H118" s="43"/>
      <c r="I118" s="44"/>
      <c r="J118" s="43"/>
      <c r="L118" s="43"/>
      <c r="M118" s="43"/>
      <c r="N118" s="43"/>
      <c r="Q118" s="43"/>
      <c r="R118" s="43"/>
    </row>
    <row r="119" spans="2:18" x14ac:dyDescent="0.2">
      <c r="B119" s="223" t="str">
        <f>IF(Lang="Français","Portance Cnα","Lift Cnα")</f>
        <v>Portance Cnα</v>
      </c>
      <c r="H119" s="43"/>
      <c r="I119" s="44"/>
      <c r="J119" s="43"/>
      <c r="L119" s="43"/>
      <c r="M119" s="43"/>
      <c r="N119" s="43"/>
      <c r="Q119" s="43"/>
      <c r="R119" s="43"/>
    </row>
    <row r="120" spans="2:18" x14ac:dyDescent="0.2">
      <c r="B120" s="38"/>
      <c r="H120" s="43"/>
      <c r="I120" s="44"/>
      <c r="J120" s="43"/>
      <c r="L120" s="43"/>
      <c r="M120" s="43"/>
      <c r="N120" s="43"/>
      <c r="Q120" s="43"/>
      <c r="R120" s="43"/>
    </row>
    <row r="121" spans="2:18" x14ac:dyDescent="0.2">
      <c r="B121" s="24" t="str">
        <f>IF(Lang="Français","Données pour les graphiques :",IF(Lang="English","Data for plots:",""))</f>
        <v>Données pour les graphiques :</v>
      </c>
      <c r="H121" s="43"/>
      <c r="I121" s="44"/>
      <c r="J121" s="43"/>
      <c r="L121" s="43"/>
      <c r="M121" s="43"/>
      <c r="N121" s="43"/>
      <c r="Q121" s="43"/>
      <c r="R121" s="43"/>
    </row>
    <row r="122" spans="2:18" x14ac:dyDescent="0.2">
      <c r="H122" s="43"/>
      <c r="I122" s="44"/>
      <c r="J122" s="43"/>
      <c r="L122" s="43"/>
      <c r="M122" s="43"/>
      <c r="N122" s="43"/>
      <c r="Q122" s="43"/>
      <c r="R122" s="43"/>
    </row>
    <row r="123" spans="2:18" x14ac:dyDescent="0.2">
      <c r="B123" s="45"/>
      <c r="C123" s="45" t="s">
        <v>68</v>
      </c>
      <c r="D123" s="45" t="s">
        <v>69</v>
      </c>
      <c r="E123" s="92" t="s">
        <v>70</v>
      </c>
      <c r="K123" s="45"/>
    </row>
    <row r="124" spans="2:18" x14ac:dyDescent="0.2">
      <c r="B124" s="45" t="s">
        <v>72</v>
      </c>
      <c r="C124" s="46">
        <f>-Long_ogive</f>
        <v>-1</v>
      </c>
      <c r="D124" s="46">
        <v>0</v>
      </c>
      <c r="E124" s="93">
        <f t="shared" ref="E124:E136" si="0">-D124</f>
        <v>0</v>
      </c>
      <c r="K124" s="46"/>
    </row>
    <row r="125" spans="2:18" x14ac:dyDescent="0.2">
      <c r="B125" s="45" t="s">
        <v>72</v>
      </c>
      <c r="C125" s="46">
        <f>-Long_ogive</f>
        <v>-1</v>
      </c>
      <c r="D125" s="46">
        <f>D_og/2</f>
        <v>42</v>
      </c>
      <c r="E125" s="93">
        <f t="shared" si="0"/>
        <v>-42</v>
      </c>
      <c r="K125" s="46"/>
    </row>
    <row r="126" spans="2:18" x14ac:dyDescent="0.2">
      <c r="B126" s="45" t="s">
        <v>73</v>
      </c>
      <c r="C126" s="46">
        <f>IF(AND(RIGHT(Nb_diam,1)=".",X_j), -X_j, C125 )</f>
        <v>-1</v>
      </c>
      <c r="D126" s="46">
        <f>IF(AND(RIGHT(Nb_diam,1)=".",X_j), D1j/2, D125 )</f>
        <v>42</v>
      </c>
      <c r="E126" s="93">
        <f t="shared" si="0"/>
        <v>-42</v>
      </c>
      <c r="K126" s="46"/>
    </row>
    <row r="127" spans="2:18" x14ac:dyDescent="0.2">
      <c r="B127" s="45" t="s">
        <v>74</v>
      </c>
      <c r="C127" s="46">
        <f>IF(AND(RIGHT(Nb_diam,1)=".",X_j), -X_j-l_j, C126 )</f>
        <v>-61</v>
      </c>
      <c r="D127" s="46">
        <f>IF(AND(RIGHT(Nb_diam,1)=".",X_j), D2j/2, D126 )</f>
        <v>52</v>
      </c>
      <c r="E127" s="93">
        <f t="shared" si="0"/>
        <v>-52</v>
      </c>
      <c r="K127" s="46"/>
    </row>
    <row r="128" spans="2:18" x14ac:dyDescent="0.2">
      <c r="B128" s="45" t="s">
        <v>75</v>
      </c>
      <c r="C128" s="46">
        <f>IF(AND(RIGHT(Nb_diam,1)=".",X_r), -X_r, C127 )</f>
        <v>-1070</v>
      </c>
      <c r="D128" s="46">
        <f>IF(AND(RIGHT(Nb_diam,1)=".",X_r), D1r/2, D127 )</f>
        <v>52</v>
      </c>
      <c r="E128" s="93">
        <f t="shared" si="0"/>
        <v>-52</v>
      </c>
      <c r="K128" s="46"/>
    </row>
    <row r="129" spans="2:11" x14ac:dyDescent="0.2">
      <c r="B129" s="45" t="s">
        <v>76</v>
      </c>
      <c r="C129" s="46">
        <f>IF(AND(RIGHT(Nb_diam,1)=".",X_r), -X_r-l_r, C128 )</f>
        <v>-1120</v>
      </c>
      <c r="D129" s="46">
        <f>IF(AND(RIGHT(Nb_diam,1)=".",X_r), D2r/2, D128 )</f>
        <v>42</v>
      </c>
      <c r="E129" s="93">
        <f t="shared" si="0"/>
        <v>-42</v>
      </c>
      <c r="K129" s="46"/>
    </row>
    <row r="130" spans="2:11" x14ac:dyDescent="0.2">
      <c r="B130" s="45" t="s">
        <v>77</v>
      </c>
      <c r="C130" s="46">
        <f>-Long_tot</f>
        <v>-1120</v>
      </c>
      <c r="D130" s="46">
        <f>D129</f>
        <v>42</v>
      </c>
      <c r="E130" s="93">
        <f t="shared" si="0"/>
        <v>-42</v>
      </c>
      <c r="K130" s="46"/>
    </row>
    <row r="131" spans="2:11" x14ac:dyDescent="0.2">
      <c r="B131" s="45" t="s">
        <v>77</v>
      </c>
      <c r="C131" s="46">
        <f>-Long_tot</f>
        <v>-1120</v>
      </c>
      <c r="D131" s="46">
        <v>0</v>
      </c>
      <c r="E131" s="93">
        <f t="shared" si="0"/>
        <v>0</v>
      </c>
      <c r="K131" s="46"/>
    </row>
    <row r="132" spans="2:11" x14ac:dyDescent="0.2">
      <c r="B132" s="183" t="s">
        <v>78</v>
      </c>
      <c r="C132" s="197">
        <f>-X_ail+m_ail</f>
        <v>-850</v>
      </c>
      <c r="D132" s="197">
        <f>D_ail/2</f>
        <v>52</v>
      </c>
      <c r="E132" s="198">
        <f t="shared" si="0"/>
        <v>-52</v>
      </c>
      <c r="K132" s="46"/>
    </row>
    <row r="133" spans="2:11" x14ac:dyDescent="0.2">
      <c r="B133" s="185" t="s">
        <v>79</v>
      </c>
      <c r="C133" s="46">
        <f>-X_ail+m_ail-p_ail</f>
        <v>-1030</v>
      </c>
      <c r="D133" s="46">
        <f>D_ail/2+E_ail</f>
        <v>197</v>
      </c>
      <c r="E133" s="199">
        <f t="shared" si="0"/>
        <v>-197</v>
      </c>
      <c r="K133" s="46"/>
    </row>
    <row r="134" spans="2:11" x14ac:dyDescent="0.2">
      <c r="B134" s="185" t="s">
        <v>80</v>
      </c>
      <c r="C134" s="46">
        <f>-X_ail+m_ail-p_ail-n_ail</f>
        <v>-1110</v>
      </c>
      <c r="D134" s="46">
        <f>D_ail/2+E_ail</f>
        <v>197</v>
      </c>
      <c r="E134" s="199">
        <f t="shared" si="0"/>
        <v>-197</v>
      </c>
      <c r="K134" s="46"/>
    </row>
    <row r="135" spans="2:11" x14ac:dyDescent="0.2">
      <c r="B135" s="185" t="s">
        <v>81</v>
      </c>
      <c r="C135" s="46">
        <f>-X_ail</f>
        <v>-1040</v>
      </c>
      <c r="D135" s="46">
        <f>D_ail/2</f>
        <v>52</v>
      </c>
      <c r="E135" s="199">
        <f t="shared" si="0"/>
        <v>-52</v>
      </c>
      <c r="K135" s="46"/>
    </row>
    <row r="136" spans="2:11" x14ac:dyDescent="0.2">
      <c r="B136" s="187" t="s">
        <v>78</v>
      </c>
      <c r="C136" s="200">
        <f>-X_ail+m_ail</f>
        <v>-850</v>
      </c>
      <c r="D136" s="200">
        <f>D_ail/2</f>
        <v>52</v>
      </c>
      <c r="E136" s="201">
        <f t="shared" si="0"/>
        <v>-52</v>
      </c>
      <c r="K136" s="46"/>
    </row>
    <row r="137" spans="2:11" x14ac:dyDescent="0.2">
      <c r="B137" s="192" t="str">
        <f>IF(E_ail&gt;0,IF(Lang="Français","Envergure","Span"),"")</f>
        <v>Envergure</v>
      </c>
      <c r="C137" s="197">
        <f>MIN(-X_ail,-X_ail+m_ail-p_ail-n_ail)-Long_tot/30</f>
        <v>-1147.3333333333333</v>
      </c>
      <c r="D137" s="207">
        <f>-D_ail/2-E_ail</f>
        <v>-197</v>
      </c>
      <c r="E137" s="93"/>
      <c r="K137" s="46"/>
    </row>
    <row r="138" spans="2:11" x14ac:dyDescent="0.2">
      <c r="B138" s="195" t="s">
        <v>166</v>
      </c>
      <c r="C138" s="46">
        <f>MIN(-X_ail,-X_ail+m_ail-p_ail-n_ail)-Long_tot/30</f>
        <v>-1147.3333333333333</v>
      </c>
      <c r="D138" s="208">
        <f>-D_ail/2-E_ail/2</f>
        <v>-124.5</v>
      </c>
      <c r="E138" s="93"/>
      <c r="K138" s="46"/>
    </row>
    <row r="139" spans="2:11" x14ac:dyDescent="0.2">
      <c r="B139" s="212" t="s">
        <v>162</v>
      </c>
      <c r="C139" s="200">
        <f>MIN(-X_ail,-X_ail+m_ail-p_ail-n_ail)-Long_tot/30</f>
        <v>-1147.3333333333333</v>
      </c>
      <c r="D139" s="209">
        <f>-D_ail/2</f>
        <v>-52</v>
      </c>
      <c r="E139" s="93"/>
      <c r="K139" s="46"/>
    </row>
    <row r="140" spans="2:11" x14ac:dyDescent="0.2">
      <c r="B140" s="192" t="str">
        <f>IF(Lang="Français","Emplanture","Root edge")</f>
        <v>Emplanture</v>
      </c>
      <c r="C140" s="197">
        <f>-X_ail+m_ail</f>
        <v>-850</v>
      </c>
      <c r="D140" s="207">
        <f>D_ail/2+E_ail+Long_tot/20</f>
        <v>253</v>
      </c>
      <c r="E140" s="93"/>
      <c r="K140" s="46"/>
    </row>
    <row r="141" spans="2:11" x14ac:dyDescent="0.2">
      <c r="B141" s="195" t="s">
        <v>168</v>
      </c>
      <c r="C141" s="46">
        <f>-X_ail+m_ail/2</f>
        <v>-945</v>
      </c>
      <c r="D141" s="208">
        <f>D_ail/2+E_ail+Long_tot/20</f>
        <v>253</v>
      </c>
      <c r="E141" s="93"/>
      <c r="K141" s="46"/>
    </row>
    <row r="142" spans="2:11" x14ac:dyDescent="0.2">
      <c r="B142" s="212" t="s">
        <v>169</v>
      </c>
      <c r="C142" s="200">
        <f>-X_ail</f>
        <v>-1040</v>
      </c>
      <c r="D142" s="209">
        <f>D_ail/2+E_ail+Long_tot/20</f>
        <v>253</v>
      </c>
      <c r="E142" s="93"/>
      <c r="K142" s="46"/>
    </row>
    <row r="143" spans="2:11" x14ac:dyDescent="0.2">
      <c r="B143" s="192" t="str">
        <f>IF(p_ail&lt;&gt;0,IF(Lang="Français","Flèche","Offset"),"")</f>
        <v>Flèche</v>
      </c>
      <c r="C143" s="197">
        <f>-X_ail+m_ail</f>
        <v>-850</v>
      </c>
      <c r="D143" s="207">
        <f>-D_ail/2-E_ail-Long_tot/30</f>
        <v>-234.33333333333334</v>
      </c>
      <c r="E143" s="93"/>
      <c r="K143" s="46"/>
    </row>
    <row r="144" spans="2:11" x14ac:dyDescent="0.2">
      <c r="B144" s="195" t="s">
        <v>165</v>
      </c>
      <c r="C144" s="46">
        <f>-X_ail+m_ail-p_ail/2</f>
        <v>-940</v>
      </c>
      <c r="D144" s="208">
        <f>-D_ail/2-E_ail-Long_tot/30</f>
        <v>-234.33333333333334</v>
      </c>
      <c r="E144" s="93"/>
      <c r="K144" s="46"/>
    </row>
    <row r="145" spans="2:11" x14ac:dyDescent="0.2">
      <c r="B145" s="212" t="s">
        <v>163</v>
      </c>
      <c r="C145" s="200">
        <f>-X_ail+m_ail-p_ail</f>
        <v>-1030</v>
      </c>
      <c r="D145" s="209">
        <f>-D_ail/2-E_ail-Long_tot/30</f>
        <v>-234.33333333333334</v>
      </c>
      <c r="E145" s="93"/>
      <c r="K145" s="46"/>
    </row>
    <row r="146" spans="2:11" x14ac:dyDescent="0.2">
      <c r="B146" s="192" t="str">
        <f>IF(n_ail&gt;0,IF(Lang="Français","Saumon","Tip edge"),"")</f>
        <v>Saumon</v>
      </c>
      <c r="C146" s="197">
        <f>-X_ail+m_ail-p_ail</f>
        <v>-1030</v>
      </c>
      <c r="D146" s="207">
        <f>-D_ail/2-E_ail-Long_tot/20</f>
        <v>-253</v>
      </c>
      <c r="E146" s="93"/>
      <c r="K146" s="46"/>
    </row>
    <row r="147" spans="2:11" x14ac:dyDescent="0.2">
      <c r="B147" s="195" t="s">
        <v>167</v>
      </c>
      <c r="C147" s="46">
        <f>-X_ail+m_ail-p_ail-n_ail/2</f>
        <v>-1070</v>
      </c>
      <c r="D147" s="208">
        <f>-D_ail/2-E_ail-Long_tot/20</f>
        <v>-253</v>
      </c>
      <c r="E147" s="93"/>
      <c r="K147" s="46"/>
    </row>
    <row r="148" spans="2:11" x14ac:dyDescent="0.2">
      <c r="B148" s="212" t="s">
        <v>164</v>
      </c>
      <c r="C148" s="200">
        <f>-X_ail+m_ail-p_ail-n_ail</f>
        <v>-1110</v>
      </c>
      <c r="D148" s="209">
        <f>-D_ail/2-E_ail-Long_tot/20</f>
        <v>-253</v>
      </c>
      <c r="E148" s="93"/>
      <c r="K148" s="46"/>
    </row>
    <row r="149" spans="2:11" x14ac:dyDescent="0.2">
      <c r="B149" s="183" t="s">
        <v>82</v>
      </c>
      <c r="C149" s="197">
        <f ca="1">-XcgPlein</f>
        <v>-495.01209891601582</v>
      </c>
      <c r="D149" s="207">
        <v>0</v>
      </c>
      <c r="E149" s="93"/>
      <c r="K149" s="46"/>
    </row>
    <row r="150" spans="2:11" x14ac:dyDescent="0.2">
      <c r="B150" s="187" t="s">
        <v>83</v>
      </c>
      <c r="C150" s="200">
        <f ca="1">-XcgVide</f>
        <v>-495</v>
      </c>
      <c r="D150" s="209">
        <v>0</v>
      </c>
      <c r="E150" s="93"/>
      <c r="K150" s="46"/>
    </row>
    <row r="151" spans="2:11" x14ac:dyDescent="0.2">
      <c r="B151" s="183" t="s">
        <v>84</v>
      </c>
      <c r="C151" s="197">
        <f>-XCp</f>
        <v>-836.17122860587619</v>
      </c>
      <c r="D151" s="207">
        <v>0</v>
      </c>
      <c r="E151" s="93"/>
      <c r="K151" s="46"/>
    </row>
    <row r="152" spans="2:11" x14ac:dyDescent="0.2">
      <c r="B152" s="187" t="s">
        <v>84</v>
      </c>
      <c r="C152" s="200">
        <f>-XCp</f>
        <v>-836.17122860587619</v>
      </c>
      <c r="D152" s="209">
        <f>Cn*D_ref/CritCnmin</f>
        <v>108.6951459173211</v>
      </c>
      <c r="E152" s="93"/>
      <c r="K152" s="46"/>
    </row>
    <row r="153" spans="2:11" x14ac:dyDescent="0.2">
      <c r="B153" s="185" t="s">
        <v>422</v>
      </c>
      <c r="C153" s="46">
        <f>-XCp0</f>
        <v>-836.17122860587619</v>
      </c>
      <c r="D153" s="208">
        <f>Cn0*D_ref/CritCnmin</f>
        <v>108.6951459173211</v>
      </c>
      <c r="E153" s="93"/>
      <c r="K153" s="46"/>
    </row>
    <row r="154" spans="2:11" x14ac:dyDescent="0.2">
      <c r="B154" s="185" t="s">
        <v>422</v>
      </c>
      <c r="C154" s="46">
        <f>-XCp0</f>
        <v>-836.17122860587619</v>
      </c>
      <c r="D154" s="208">
        <v>0</v>
      </c>
      <c r="E154" s="93"/>
      <c r="K154" s="46"/>
    </row>
    <row r="155" spans="2:11" x14ac:dyDescent="0.2">
      <c r="B155" s="192" t="str">
        <f>IF(n_ail&gt;0,IF(Lang="Français","Marge Statique","Static Margin"),"")</f>
        <v>Marge Statique</v>
      </c>
      <c r="C155" s="197">
        <f ca="1">(-XcgPlein-XcgVide)/2</f>
        <v>-495.00604945800791</v>
      </c>
      <c r="D155" s="207">
        <f>-D_ail/2-E_ail-Long_tot/20</f>
        <v>-253</v>
      </c>
      <c r="E155" s="93"/>
      <c r="K155" s="46"/>
    </row>
    <row r="156" spans="2:11" x14ac:dyDescent="0.2">
      <c r="B156" s="195" t="s">
        <v>170</v>
      </c>
      <c r="C156" s="46">
        <f ca="1">(C155+C157)/2</f>
        <v>-665.58863903194208</v>
      </c>
      <c r="D156" s="208">
        <f>-D_ail/2-E_ail-Long_tot/20</f>
        <v>-253</v>
      </c>
      <c r="E156" s="93"/>
      <c r="K156" s="46"/>
    </row>
    <row r="157" spans="2:11" x14ac:dyDescent="0.2">
      <c r="B157" s="212" t="s">
        <v>171</v>
      </c>
      <c r="C157" s="200">
        <f>-XCp</f>
        <v>-836.17122860587619</v>
      </c>
      <c r="D157" s="209">
        <f>-D_ail/2-E_ail-Long_tot/20</f>
        <v>-253</v>
      </c>
      <c r="E157" s="93"/>
      <c r="K157" s="46"/>
    </row>
    <row r="158" spans="2:11" x14ac:dyDescent="0.2">
      <c r="B158" s="183" t="s">
        <v>85</v>
      </c>
      <c r="C158" s="197">
        <f>IF(LEFT(Type_masquage,1)="M",0,-X_can+m_can)</f>
        <v>0</v>
      </c>
      <c r="D158" s="197">
        <f>IF(LEFT(Type_masquage,1)="M",0,D_ail/2)</f>
        <v>0</v>
      </c>
      <c r="E158" s="198">
        <f t="shared" ref="E158:E167" si="1">-D158</f>
        <v>0</v>
      </c>
      <c r="K158" s="46"/>
    </row>
    <row r="159" spans="2:11" x14ac:dyDescent="0.2">
      <c r="B159" s="185" t="s">
        <v>86</v>
      </c>
      <c r="C159" s="46">
        <f>IF(LEFT(Type_masquage,1)="M",0,-X_can+m_can-p_can)</f>
        <v>0</v>
      </c>
      <c r="D159" s="46">
        <f>IF(LEFT(Type_masquage,1)="M",0,D_ail/2+E_can)</f>
        <v>0</v>
      </c>
      <c r="E159" s="199">
        <f t="shared" si="1"/>
        <v>0</v>
      </c>
      <c r="K159" s="46"/>
    </row>
    <row r="160" spans="2:11" x14ac:dyDescent="0.2">
      <c r="B160" s="185" t="s">
        <v>87</v>
      </c>
      <c r="C160" s="46">
        <f>IF(LEFT(Type_masquage,1)="M",0,-X_can+m_can-p_can-n_can)</f>
        <v>0</v>
      </c>
      <c r="D160" s="46">
        <f>IF(LEFT(Type_masquage,1)="M",0,D_ail/2+E_can)</f>
        <v>0</v>
      </c>
      <c r="E160" s="199">
        <f t="shared" si="1"/>
        <v>0</v>
      </c>
      <c r="K160" s="46"/>
    </row>
    <row r="161" spans="2:11" x14ac:dyDescent="0.2">
      <c r="B161" s="185" t="s">
        <v>88</v>
      </c>
      <c r="C161" s="46">
        <f>IF(LEFT(Type_masquage,1)="M",0,-X_can)</f>
        <v>0</v>
      </c>
      <c r="D161" s="46">
        <f>IF(LEFT(Type_masquage,1)="M",0,D_ail/2)</f>
        <v>0</v>
      </c>
      <c r="E161" s="199">
        <f t="shared" si="1"/>
        <v>0</v>
      </c>
      <c r="K161" s="46"/>
    </row>
    <row r="162" spans="2:11" x14ac:dyDescent="0.2">
      <c r="B162" s="187" t="s">
        <v>85</v>
      </c>
      <c r="C162" s="200">
        <f>IF(LEFT(Type_masquage,1)="M",0,-X_can+m_can)</f>
        <v>0</v>
      </c>
      <c r="D162" s="200">
        <f>IF(LEFT(Type_masquage,1)="M",0,D_ail/2)</f>
        <v>0</v>
      </c>
      <c r="E162" s="201">
        <f t="shared" si="1"/>
        <v>0</v>
      </c>
      <c r="K162" s="46"/>
    </row>
    <row r="163" spans="2:11" x14ac:dyDescent="0.2">
      <c r="B163" s="183" t="s">
        <v>89</v>
      </c>
      <c r="C163" s="197">
        <f>IF(LEFT(Type_masquage,1)="B",-X_int+m_int,0)</f>
        <v>0</v>
      </c>
      <c r="D163" s="197">
        <f>IF(LEFT(Type_masquage,1)="B",D_int/2,0)</f>
        <v>0</v>
      </c>
      <c r="E163" s="198">
        <f t="shared" si="1"/>
        <v>0</v>
      </c>
      <c r="K163" s="46"/>
    </row>
    <row r="164" spans="2:11" x14ac:dyDescent="0.2">
      <c r="B164" s="185" t="s">
        <v>90</v>
      </c>
      <c r="C164" s="46">
        <f>IF(LEFT(Type_masquage,1)="B",-X_int+m_int-p_int,0)</f>
        <v>0</v>
      </c>
      <c r="D164" s="46">
        <f>IF(LEFT(Type_masquage,1)="B",D_int/2+E_int,0)</f>
        <v>0</v>
      </c>
      <c r="E164" s="199">
        <f t="shared" si="1"/>
        <v>0</v>
      </c>
      <c r="K164" s="46"/>
    </row>
    <row r="165" spans="2:11" x14ac:dyDescent="0.2">
      <c r="B165" s="185" t="s">
        <v>91</v>
      </c>
      <c r="C165" s="46">
        <f>IF(LEFT(Type_masquage,1)="B",-X_int+m_int-p_int-n_int,0)</f>
        <v>0</v>
      </c>
      <c r="D165" s="46">
        <f>IF(LEFT(Type_masquage,1)="B",D_int/2+E_int,0)</f>
        <v>0</v>
      </c>
      <c r="E165" s="199">
        <f t="shared" si="1"/>
        <v>0</v>
      </c>
      <c r="K165" s="46"/>
    </row>
    <row r="166" spans="2:11" x14ac:dyDescent="0.2">
      <c r="B166" s="185" t="s">
        <v>92</v>
      </c>
      <c r="C166" s="46">
        <f>IF(LEFT(Type_masquage,1)="B",-X_int,0)</f>
        <v>0</v>
      </c>
      <c r="D166" s="46">
        <f>IF(LEFT(Type_masquage,1)="B",D_int/2,0)</f>
        <v>0</v>
      </c>
      <c r="E166" s="199">
        <f t="shared" si="1"/>
        <v>0</v>
      </c>
      <c r="K166" s="46"/>
    </row>
    <row r="167" spans="2:11" x14ac:dyDescent="0.2">
      <c r="B167" s="187" t="s">
        <v>89</v>
      </c>
      <c r="C167" s="200">
        <f>IF(LEFT(Type_masquage,1)="B",-X_int+m_int,0)</f>
        <v>0</v>
      </c>
      <c r="D167" s="200">
        <f>IF(LEFT(Type_masquage,1)="B",D_int/2,0)</f>
        <v>0</v>
      </c>
      <c r="E167" s="201">
        <f t="shared" si="1"/>
        <v>0</v>
      </c>
      <c r="K167" s="46"/>
    </row>
    <row r="168" spans="2:11" x14ac:dyDescent="0.2">
      <c r="B168" s="45" t="s">
        <v>93</v>
      </c>
      <c r="C168" s="46">
        <f>-MAX(Long_tot, X_ail-m_ail+p_ail+n_ail, (E_ail+D_ail/2)*3.2)*1.01</f>
        <v>-1131.2</v>
      </c>
      <c r="D168" s="46">
        <f>MAX(E_ail+D_ail/2, Long_tot/3)</f>
        <v>373.33333333333331</v>
      </c>
      <c r="E168" s="93"/>
      <c r="K168" s="46"/>
    </row>
    <row r="169" spans="2:11" x14ac:dyDescent="0.2">
      <c r="B169" s="45" t="s">
        <v>93</v>
      </c>
      <c r="C169" s="46">
        <f>C168</f>
        <v>-1131.2</v>
      </c>
      <c r="D169" s="46">
        <f>-D168</f>
        <v>-373.33333333333331</v>
      </c>
      <c r="E169" s="93"/>
      <c r="K169" s="46"/>
    </row>
    <row r="170" spans="2:11" x14ac:dyDescent="0.2">
      <c r="B170" s="183" t="s">
        <v>94</v>
      </c>
      <c r="C170" s="197">
        <f ca="1">-XpropuRef+Long_propu</f>
        <v>-1110</v>
      </c>
      <c r="D170" s="207">
        <f ca="1">-Diam_propu/2</f>
        <v>0</v>
      </c>
      <c r="E170" s="93"/>
      <c r="K170" s="46"/>
    </row>
    <row r="171" spans="2:11" x14ac:dyDescent="0.2">
      <c r="B171" s="185" t="s">
        <v>95</v>
      </c>
      <c r="C171" s="46">
        <f ca="1">-XpropuRef+Long_propu</f>
        <v>-1110</v>
      </c>
      <c r="D171" s="208">
        <f ca="1">Diam_propu/2</f>
        <v>0</v>
      </c>
      <c r="E171" s="93"/>
      <c r="K171" s="46"/>
    </row>
    <row r="172" spans="2:11" x14ac:dyDescent="0.2">
      <c r="B172" s="185" t="s">
        <v>96</v>
      </c>
      <c r="C172" s="46">
        <f>-XpropuRef</f>
        <v>-1110</v>
      </c>
      <c r="D172" s="208">
        <f ca="1">Diam_propu/2</f>
        <v>0</v>
      </c>
      <c r="E172" s="93"/>
      <c r="K172" s="46"/>
    </row>
    <row r="173" spans="2:11" x14ac:dyDescent="0.2">
      <c r="B173" s="185" t="s">
        <v>97</v>
      </c>
      <c r="C173" s="46">
        <f>-XpropuRef</f>
        <v>-1110</v>
      </c>
      <c r="D173" s="208">
        <f ca="1">-Diam_propu/2</f>
        <v>0</v>
      </c>
      <c r="E173" s="93"/>
      <c r="K173" s="46"/>
    </row>
    <row r="174" spans="2:11" x14ac:dyDescent="0.2">
      <c r="B174" s="187" t="s">
        <v>98</v>
      </c>
      <c r="C174" s="200">
        <f ca="1">-XpropuRef+Long_propu</f>
        <v>-1110</v>
      </c>
      <c r="D174" s="209">
        <f ca="1">-Diam_propu/2</f>
        <v>0</v>
      </c>
      <c r="E174" s="93"/>
      <c r="F174" s="192" t="s">
        <v>159</v>
      </c>
      <c r="G174" s="193" t="s">
        <v>160</v>
      </c>
      <c r="H174" s="194" t="s">
        <v>161</v>
      </c>
      <c r="K174" s="46"/>
    </row>
    <row r="175" spans="2:11" x14ac:dyDescent="0.2">
      <c r="B175" s="183" t="s">
        <v>71</v>
      </c>
      <c r="C175" s="197">
        <v>0</v>
      </c>
      <c r="D175" s="197">
        <v>0</v>
      </c>
      <c r="E175" s="198">
        <f t="shared" ref="E175:E180" si="2">-D175</f>
        <v>0</v>
      </c>
      <c r="F175" s="195">
        <v>0</v>
      </c>
      <c r="G175" s="45">
        <v>0</v>
      </c>
      <c r="H175" s="189">
        <v>0</v>
      </c>
      <c r="K175" s="46"/>
    </row>
    <row r="176" spans="2:11" x14ac:dyDescent="0.2">
      <c r="B176" s="185" t="s">
        <v>72</v>
      </c>
      <c r="C176" s="46">
        <f>-Long_ogive*0.1</f>
        <v>-0.1</v>
      </c>
      <c r="D176" s="46">
        <f>IF(LEFT(Forme_ogive,5)="Parab",H176,IF(LEFT(Forme_ogive,4)="Ogiv",G176,IF(LEFT(Forme_ogive,3)="Con",F176)))</f>
        <v>4.2</v>
      </c>
      <c r="E176" s="199">
        <f t="shared" si="2"/>
        <v>-4.2</v>
      </c>
      <c r="F176" s="185">
        <f>D_og/2*0.1</f>
        <v>4.2</v>
      </c>
      <c r="G176" s="45">
        <f>D_og/2*0.2</f>
        <v>8.4</v>
      </c>
      <c r="H176" s="189">
        <f>D_og/2*0.5</f>
        <v>21</v>
      </c>
      <c r="K176" s="46"/>
    </row>
    <row r="177" spans="2:11" x14ac:dyDescent="0.2">
      <c r="B177" s="185" t="s">
        <v>72</v>
      </c>
      <c r="C177" s="46">
        <f>-Long_ogive/4</f>
        <v>-0.25</v>
      </c>
      <c r="D177" s="46">
        <f>IF(LEFT(Forme_ogive,5)="Parab",H177,IF(LEFT(Forme_ogive,4)="Ogiv",G177,IF(LEFT(Forme_ogive,3)="Con",F177)))</f>
        <v>10.5</v>
      </c>
      <c r="E177" s="199">
        <f t="shared" si="2"/>
        <v>-10.5</v>
      </c>
      <c r="F177" s="185">
        <f>D_og/2*1/4</f>
        <v>10.5</v>
      </c>
      <c r="G177" s="45">
        <f>D_og/2/2</f>
        <v>21</v>
      </c>
      <c r="H177" s="189">
        <f>D_og/2*0.7</f>
        <v>29.4</v>
      </c>
      <c r="K177" s="46"/>
    </row>
    <row r="178" spans="2:11" x14ac:dyDescent="0.2">
      <c r="B178" s="185" t="s">
        <v>72</v>
      </c>
      <c r="C178" s="46">
        <f>-Long_ogive/2</f>
        <v>-0.5</v>
      </c>
      <c r="D178" s="46">
        <f>IF(LEFT(Forme_ogive,5)="Parab",H178,IF(LEFT(Forme_ogive,4)="Ogiv",G178,IF(LEFT(Forme_ogive,3)="Con",F178)))</f>
        <v>21</v>
      </c>
      <c r="E178" s="199">
        <f t="shared" si="2"/>
        <v>-21</v>
      </c>
      <c r="F178" s="185">
        <f>D_og/2/2</f>
        <v>21</v>
      </c>
      <c r="G178" s="45">
        <f>D_og/2*3/4</f>
        <v>31.5</v>
      </c>
      <c r="H178" s="189">
        <f>D_og/2*0.88</f>
        <v>36.96</v>
      </c>
      <c r="K178" s="46"/>
    </row>
    <row r="179" spans="2:11" x14ac:dyDescent="0.2">
      <c r="B179" s="185" t="s">
        <v>72</v>
      </c>
      <c r="C179" s="46">
        <f>-Long_ogive*3/4</f>
        <v>-0.75</v>
      </c>
      <c r="D179" s="46">
        <f>IF(LEFT(Forme_ogive,5)="Parab",H179,IF(LEFT(Forme_ogive,4)="Ogiv",G179,IF(LEFT(Forme_ogive,3)="Con",F179)))</f>
        <v>31.5</v>
      </c>
      <c r="E179" s="199">
        <f t="shared" si="2"/>
        <v>-31.5</v>
      </c>
      <c r="F179" s="185">
        <f>D_og/2*3/4</f>
        <v>31.5</v>
      </c>
      <c r="G179" s="45">
        <f>D_og/2*0.9</f>
        <v>37.800000000000004</v>
      </c>
      <c r="H179" s="189">
        <f>D_og/2*0.95</f>
        <v>39.9</v>
      </c>
      <c r="K179" s="46"/>
    </row>
    <row r="180" spans="2:11" x14ac:dyDescent="0.2">
      <c r="B180" s="187" t="s">
        <v>72</v>
      </c>
      <c r="C180" s="200">
        <f>-Long_ogive</f>
        <v>-1</v>
      </c>
      <c r="D180" s="200">
        <f>D_og/2</f>
        <v>42</v>
      </c>
      <c r="E180" s="201">
        <f t="shared" si="2"/>
        <v>-42</v>
      </c>
      <c r="F180" s="187">
        <f>D_og/2</f>
        <v>42</v>
      </c>
      <c r="G180" s="196">
        <f>D_og/2</f>
        <v>42</v>
      </c>
      <c r="H180" s="190">
        <f>D_og/2</f>
        <v>42</v>
      </c>
      <c r="K180" s="26"/>
    </row>
    <row r="181" spans="2:11" x14ac:dyDescent="0.2">
      <c r="B181" s="45" t="s">
        <v>99</v>
      </c>
      <c r="C181" s="45" t="s">
        <v>100</v>
      </c>
      <c r="D181" s="183" t="s">
        <v>99</v>
      </c>
      <c r="E181" s="204" t="s">
        <v>100</v>
      </c>
      <c r="K181" s="45"/>
    </row>
    <row r="182" spans="2:11" x14ac:dyDescent="0.2">
      <c r="B182" s="183">
        <v>0</v>
      </c>
      <c r="C182" s="202">
        <f>CritCnmin</f>
        <v>15</v>
      </c>
      <c r="D182" s="185">
        <v>0.5</v>
      </c>
      <c r="E182" s="205">
        <f t="shared" ref="E182:E187" si="3">CritMsCnmin/D182</f>
        <v>80</v>
      </c>
      <c r="K182" s="45"/>
    </row>
    <row r="183" spans="2:11" x14ac:dyDescent="0.2">
      <c r="B183" s="187">
        <v>7</v>
      </c>
      <c r="C183" s="196">
        <f>CritCnmin</f>
        <v>15</v>
      </c>
      <c r="D183" s="185">
        <v>1</v>
      </c>
      <c r="E183" s="205">
        <f t="shared" si="3"/>
        <v>40</v>
      </c>
      <c r="K183" s="45"/>
    </row>
    <row r="184" spans="2:11" x14ac:dyDescent="0.2">
      <c r="B184" s="183">
        <v>0</v>
      </c>
      <c r="C184" s="202">
        <f>CritCnmax</f>
        <v>40</v>
      </c>
      <c r="D184" s="185">
        <v>2</v>
      </c>
      <c r="E184" s="205">
        <f t="shared" si="3"/>
        <v>20</v>
      </c>
      <c r="K184" s="45"/>
    </row>
    <row r="185" spans="2:11" x14ac:dyDescent="0.2">
      <c r="B185" s="187">
        <v>7</v>
      </c>
      <c r="C185" s="196">
        <f>CritCnmax</f>
        <v>40</v>
      </c>
      <c r="D185" s="185">
        <v>3</v>
      </c>
      <c r="E185" s="205">
        <f t="shared" si="3"/>
        <v>13.333333333333334</v>
      </c>
      <c r="K185" s="45"/>
    </row>
    <row r="186" spans="2:11" x14ac:dyDescent="0.2">
      <c r="B186" s="183">
        <f>CritMsmin</f>
        <v>2</v>
      </c>
      <c r="C186" s="202">
        <v>0</v>
      </c>
      <c r="D186" s="185">
        <v>5</v>
      </c>
      <c r="E186" s="205">
        <f t="shared" si="3"/>
        <v>8</v>
      </c>
      <c r="K186" s="45"/>
    </row>
    <row r="187" spans="2:11" x14ac:dyDescent="0.2">
      <c r="B187" s="187">
        <f>CritMsmin</f>
        <v>2</v>
      </c>
      <c r="C187" s="196">
        <v>55</v>
      </c>
      <c r="D187" s="185">
        <v>7</v>
      </c>
      <c r="E187" s="205">
        <f t="shared" si="3"/>
        <v>5.7142857142857144</v>
      </c>
      <c r="K187" s="45"/>
    </row>
    <row r="188" spans="2:11" x14ac:dyDescent="0.2">
      <c r="B188" s="183">
        <f>CritMsmax</f>
        <v>6</v>
      </c>
      <c r="C188" s="202">
        <v>0</v>
      </c>
      <c r="D188" s="185">
        <v>1</v>
      </c>
      <c r="E188" s="205">
        <f t="shared" ref="E188:E193" si="4">CritMsCnmax/D188</f>
        <v>100</v>
      </c>
      <c r="K188" s="45"/>
    </row>
    <row r="189" spans="2:11" x14ac:dyDescent="0.2">
      <c r="B189" s="187">
        <f>CritMsmax</f>
        <v>6</v>
      </c>
      <c r="C189" s="196">
        <v>55</v>
      </c>
      <c r="D189" s="185">
        <v>2</v>
      </c>
      <c r="E189" s="205">
        <f t="shared" si="4"/>
        <v>50</v>
      </c>
      <c r="K189" s="45"/>
    </row>
    <row r="190" spans="2:11" x14ac:dyDescent="0.2">
      <c r="B190" s="191">
        <f ca="1">MS_min</f>
        <v>3.2803762470178883</v>
      </c>
      <c r="C190" s="203">
        <f>Cn</f>
        <v>15.677184507305929</v>
      </c>
      <c r="D190" s="185">
        <v>3</v>
      </c>
      <c r="E190" s="205">
        <f t="shared" si="4"/>
        <v>33.333333333333336</v>
      </c>
      <c r="K190" s="45"/>
    </row>
    <row r="191" spans="2:11" x14ac:dyDescent="0.2">
      <c r="B191" s="512">
        <f ca="1">(XCp0-XcgPlein)/D_ref</f>
        <v>3.2803762470178883</v>
      </c>
      <c r="C191" s="513">
        <f>Cn0</f>
        <v>15.677184507305929</v>
      </c>
      <c r="D191" s="185">
        <v>4</v>
      </c>
      <c r="E191" s="205">
        <f t="shared" si="4"/>
        <v>25</v>
      </c>
      <c r="K191" s="45"/>
    </row>
    <row r="192" spans="2:11" x14ac:dyDescent="0.2">
      <c r="B192" s="512">
        <f ca="1">(XCp0-XcgVide)/D_ref</f>
        <v>3.2804925827488094</v>
      </c>
      <c r="C192" s="513">
        <f>Cn0</f>
        <v>15.677184507305929</v>
      </c>
      <c r="D192" s="185">
        <v>6</v>
      </c>
      <c r="E192" s="205">
        <f t="shared" si="4"/>
        <v>16.666666666666668</v>
      </c>
      <c r="K192" s="45"/>
    </row>
    <row r="193" spans="2:11" x14ac:dyDescent="0.2">
      <c r="B193" s="512">
        <f ca="1">(XCp-XcgVide)/D_ref</f>
        <v>3.2804925827488094</v>
      </c>
      <c r="C193" s="513">
        <f>Cn</f>
        <v>15.677184507305929</v>
      </c>
      <c r="D193" s="187">
        <v>7</v>
      </c>
      <c r="E193" s="206">
        <f t="shared" si="4"/>
        <v>14.285714285714286</v>
      </c>
      <c r="K193" s="45"/>
    </row>
    <row r="194" spans="2:11" x14ac:dyDescent="0.2">
      <c r="B194" s="512">
        <f ca="1">MS_min</f>
        <v>3.2803762470178883</v>
      </c>
      <c r="C194" s="514">
        <f>Cn</f>
        <v>15.677184507305929</v>
      </c>
      <c r="D194" s="45"/>
      <c r="E194" s="92"/>
      <c r="K194" s="45"/>
    </row>
    <row r="195" spans="2:11" x14ac:dyDescent="0.2">
      <c r="B195" s="183">
        <v>0</v>
      </c>
      <c r="C195" s="202">
        <f>(CritCnmin+CritCnmax)/2</f>
        <v>27.5</v>
      </c>
      <c r="D195" s="26"/>
      <c r="E195" s="90"/>
      <c r="K195" s="26"/>
    </row>
    <row r="196" spans="2:11" x14ac:dyDescent="0.2">
      <c r="B196" s="185">
        <f>MAX(CritMsmin,CritMsCnmin/C196)</f>
        <v>2</v>
      </c>
      <c r="C196" s="45">
        <f>(CritCnmin+CritCnmax)/2</f>
        <v>27.5</v>
      </c>
      <c r="D196" s="26"/>
      <c r="E196" s="90"/>
      <c r="K196" s="26"/>
    </row>
    <row r="197" spans="2:11" x14ac:dyDescent="0.2">
      <c r="B197" s="185">
        <f>MIN(CritMsmax,CritMsCnmax/C197)</f>
        <v>3.6363636363636362</v>
      </c>
      <c r="C197" s="189">
        <f>(CritCnmin+CritCnmax)/2</f>
        <v>27.5</v>
      </c>
    </row>
    <row r="198" spans="2:11" x14ac:dyDescent="0.2">
      <c r="B198" s="187">
        <v>7</v>
      </c>
      <c r="C198" s="190">
        <f>(CritCnmin+CritCnmax)/2</f>
        <v>27.5</v>
      </c>
    </row>
    <row r="199" spans="2:11" x14ac:dyDescent="0.2">
      <c r="B199" s="183">
        <f>(CritMsmin+CritMsmax)/2</f>
        <v>4</v>
      </c>
      <c r="C199" s="184">
        <v>0</v>
      </c>
    </row>
    <row r="200" spans="2:11" x14ac:dyDescent="0.2">
      <c r="B200" s="185">
        <f>(CritMsmin+CritMsmax)/2</f>
        <v>4</v>
      </c>
      <c r="C200" s="186">
        <f>MAX(CritCnmin,CritMsCnmin/B200)</f>
        <v>15</v>
      </c>
    </row>
    <row r="201" spans="2:11" x14ac:dyDescent="0.2">
      <c r="B201" s="185">
        <f>(CritMsmin+CritMsmax)/2</f>
        <v>4</v>
      </c>
      <c r="C201" s="186">
        <f>MIN(CritCnmax,CritMsCnmax/B201)</f>
        <v>25</v>
      </c>
    </row>
    <row r="202" spans="2:11" x14ac:dyDescent="0.2">
      <c r="B202" s="187">
        <f>(CritMsmin+CritMsmax)/2</f>
        <v>4</v>
      </c>
      <c r="C202" s="188">
        <v>55</v>
      </c>
    </row>
    <row r="203" spans="2:11" x14ac:dyDescent="0.2">
      <c r="D203" s="474"/>
    </row>
    <row r="204" spans="2:11" x14ac:dyDescent="0.2">
      <c r="B204" s="476" t="s">
        <v>405</v>
      </c>
      <c r="C204" s="31" t="b">
        <f ca="1">(OR(C205:C210))</f>
        <v>1</v>
      </c>
      <c r="D204" s="474"/>
    </row>
    <row r="205" spans="2:11" x14ac:dyDescent="0.2">
      <c r="B205" s="475" t="s">
        <v>402</v>
      </c>
      <c r="C205" s="474" t="b">
        <f ca="1">AND(Type_propu="H2O",RIGHT(Type_fusee,1)=" ")</f>
        <v>0</v>
      </c>
      <c r="D205" s="474"/>
    </row>
    <row r="206" spans="2:11" x14ac:dyDescent="0.2">
      <c r="B206" s="475" t="s">
        <v>118</v>
      </c>
      <c r="C206" s="474" t="b">
        <f ca="1">AND(Type_propu="Fusex",RIGHT(Type_fusee,1)=".")</f>
        <v>1</v>
      </c>
      <c r="D206" s="474"/>
    </row>
    <row r="207" spans="2:11" x14ac:dyDescent="0.2">
      <c r="B207" s="475" t="s">
        <v>403</v>
      </c>
      <c r="C207" s="474" t="b">
        <f ca="1">LEFT(Type_propu,5)=LEFT(Type_fusee,5)</f>
        <v>0</v>
      </c>
      <c r="D207" s="474"/>
    </row>
    <row r="208" spans="2:11" x14ac:dyDescent="0.2">
      <c r="B208" s="475" t="s">
        <v>404</v>
      </c>
      <c r="C208" s="474" t="b">
        <f ca="1">AND(RIGHT(Type_propu,1)="N",LEFT(Type_fusee,4)="Mini")</f>
        <v>0</v>
      </c>
      <c r="D208" s="474"/>
    </row>
    <row r="209" spans="1:3" x14ac:dyDescent="0.2">
      <c r="B209" s="475" t="s">
        <v>406</v>
      </c>
      <c r="C209" s="474" t="b">
        <f ca="1">AND(LEFT(Type_propu,5)="MiniR",LEFT(Type_fusee,1)="R")</f>
        <v>0</v>
      </c>
    </row>
    <row r="210" spans="1:3" x14ac:dyDescent="0.2">
      <c r="B210" s="475" t="s">
        <v>396</v>
      </c>
      <c r="C210" s="474" t="b">
        <f ca="1">AND(LEFT(Type_propu,4)="Mini",LEFT(Type_fusee,1)=",")</f>
        <v>0</v>
      </c>
    </row>
    <row r="223" spans="1:3" x14ac:dyDescent="0.2">
      <c r="A223" s="24" t="s">
        <v>462</v>
      </c>
    </row>
    <row r="226" spans="1:1" x14ac:dyDescent="0.2">
      <c r="A226" s="24" t="s">
        <v>475</v>
      </c>
    </row>
    <row r="228" spans="1:1" x14ac:dyDescent="0.2">
      <c r="A228" s="24" t="s">
        <v>476</v>
      </c>
    </row>
    <row r="230" spans="1:1" x14ac:dyDescent="0.2">
      <c r="A230" s="24" t="s">
        <v>477</v>
      </c>
    </row>
    <row r="232" spans="1:1" x14ac:dyDescent="0.2">
      <c r="A232" s="24" t="s">
        <v>478</v>
      </c>
    </row>
    <row r="233" spans="1:1" x14ac:dyDescent="0.2">
      <c r="A233" s="24" t="s">
        <v>479</v>
      </c>
    </row>
    <row r="234" spans="1:1" x14ac:dyDescent="0.2">
      <c r="A234" s="24" t="s">
        <v>480</v>
      </c>
    </row>
    <row r="235" spans="1:1" x14ac:dyDescent="0.2">
      <c r="A235" s="24" t="s">
        <v>481</v>
      </c>
    </row>
    <row r="236" spans="1:1" x14ac:dyDescent="0.2">
      <c r="A236" s="24" t="s">
        <v>482</v>
      </c>
    </row>
    <row r="237" spans="1:1" x14ac:dyDescent="0.2">
      <c r="A237" s="24" t="s">
        <v>483</v>
      </c>
    </row>
    <row r="238" spans="1:1" x14ac:dyDescent="0.2">
      <c r="A238" s="24" t="s">
        <v>183</v>
      </c>
    </row>
    <row r="239" spans="1:1" x14ac:dyDescent="0.2">
      <c r="A239" s="24" t="s">
        <v>484</v>
      </c>
    </row>
    <row r="240" spans="1:1" x14ac:dyDescent="0.2">
      <c r="A240" s="24" t="s">
        <v>485</v>
      </c>
    </row>
    <row r="241" spans="1:1" x14ac:dyDescent="0.2">
      <c r="A241" s="24" t="s">
        <v>183</v>
      </c>
    </row>
    <row r="242" spans="1:1" x14ac:dyDescent="0.2">
      <c r="A242" s="24" t="s">
        <v>486</v>
      </c>
    </row>
    <row r="244" spans="1:1" x14ac:dyDescent="0.2">
      <c r="A244" s="24" t="s">
        <v>487</v>
      </c>
    </row>
    <row r="246" spans="1:1" x14ac:dyDescent="0.2">
      <c r="A246" s="24" t="s">
        <v>488</v>
      </c>
    </row>
    <row r="248" spans="1:1" x14ac:dyDescent="0.2">
      <c r="A248" s="24" t="s">
        <v>489</v>
      </c>
    </row>
    <row r="249" spans="1:1" x14ac:dyDescent="0.2">
      <c r="A249" s="24" t="s">
        <v>490</v>
      </c>
    </row>
    <row r="250" spans="1:1" x14ac:dyDescent="0.2">
      <c r="A250" s="24" t="s">
        <v>491</v>
      </c>
    </row>
    <row r="251" spans="1:1" x14ac:dyDescent="0.2">
      <c r="A251" s="24" t="s">
        <v>492</v>
      </c>
    </row>
    <row r="252" spans="1:1" x14ac:dyDescent="0.2">
      <c r="A252" s="24" t="s">
        <v>493</v>
      </c>
    </row>
    <row r="254" spans="1:1" x14ac:dyDescent="0.2">
      <c r="A254" s="24" t="s">
        <v>494</v>
      </c>
    </row>
    <row r="255" spans="1:1" x14ac:dyDescent="0.2">
      <c r="A255" s="24" t="s">
        <v>495</v>
      </c>
    </row>
    <row r="256" spans="1:1" x14ac:dyDescent="0.2">
      <c r="A256" s="24" t="s">
        <v>496</v>
      </c>
    </row>
    <row r="257" spans="1:1" x14ac:dyDescent="0.2">
      <c r="A257" s="24" t="s">
        <v>497</v>
      </c>
    </row>
    <row r="258" spans="1:1" x14ac:dyDescent="0.2">
      <c r="A258" s="24" t="s">
        <v>498</v>
      </c>
    </row>
    <row r="261" spans="1:1" x14ac:dyDescent="0.2">
      <c r="A261" s="24" t="s">
        <v>499</v>
      </c>
    </row>
    <row r="262" spans="1:1" x14ac:dyDescent="0.2">
      <c r="A262" s="24" t="s">
        <v>500</v>
      </c>
    </row>
    <row r="263" spans="1:1" x14ac:dyDescent="0.2">
      <c r="A263" s="24" t="s">
        <v>501</v>
      </c>
    </row>
    <row r="264" spans="1:1" x14ac:dyDescent="0.2">
      <c r="A264" s="24" t="s">
        <v>502</v>
      </c>
    </row>
    <row r="265" spans="1:1" x14ac:dyDescent="0.2">
      <c r="A265" s="24" t="s">
        <v>503</v>
      </c>
    </row>
    <row r="267" spans="1:1" x14ac:dyDescent="0.2">
      <c r="A267" s="24" t="s">
        <v>496</v>
      </c>
    </row>
    <row r="268" spans="1:1" x14ac:dyDescent="0.2">
      <c r="A268" s="24" t="s">
        <v>497</v>
      </c>
    </row>
    <row r="269" spans="1:1" x14ac:dyDescent="0.2">
      <c r="A269" s="24" t="s">
        <v>504</v>
      </c>
    </row>
    <row r="272" spans="1:1" x14ac:dyDescent="0.2">
      <c r="A272" s="24" t="s">
        <v>464</v>
      </c>
    </row>
    <row r="273" spans="1:1" x14ac:dyDescent="0.2">
      <c r="A273" s="24" t="s">
        <v>465</v>
      </c>
    </row>
    <row r="275" spans="1:1" x14ac:dyDescent="0.2">
      <c r="A275" s="24" t="s">
        <v>505</v>
      </c>
    </row>
    <row r="277" spans="1:1" x14ac:dyDescent="0.2">
      <c r="A277" s="24" t="s">
        <v>504</v>
      </c>
    </row>
    <row r="280" spans="1:1" x14ac:dyDescent="0.2">
      <c r="A280" s="24" t="s">
        <v>466</v>
      </c>
    </row>
    <row r="281" spans="1:1" x14ac:dyDescent="0.2">
      <c r="A281" s="24" t="s">
        <v>467</v>
      </c>
    </row>
    <row r="282" spans="1:1" x14ac:dyDescent="0.2">
      <c r="A282" s="24" t="s">
        <v>506</v>
      </c>
    </row>
    <row r="283" spans="1:1" x14ac:dyDescent="0.2">
      <c r="A283" s="24" t="s">
        <v>507</v>
      </c>
    </row>
    <row r="284" spans="1:1" x14ac:dyDescent="0.2">
      <c r="A284" s="24" t="s">
        <v>504</v>
      </c>
    </row>
    <row r="285" spans="1:1" x14ac:dyDescent="0.2">
      <c r="A285" s="24" t="s">
        <v>468</v>
      </c>
    </row>
    <row r="287" spans="1:1" x14ac:dyDescent="0.2">
      <c r="A287" s="24" t="s">
        <v>508</v>
      </c>
    </row>
    <row r="288" spans="1:1" x14ac:dyDescent="0.2">
      <c r="A288" s="24" t="s">
        <v>506</v>
      </c>
    </row>
    <row r="289" spans="1:1" x14ac:dyDescent="0.2">
      <c r="A289" s="24" t="s">
        <v>509</v>
      </c>
    </row>
    <row r="291" spans="1:1" x14ac:dyDescent="0.2">
      <c r="A291" s="24" t="s">
        <v>504</v>
      </c>
    </row>
    <row r="294" spans="1:1" x14ac:dyDescent="0.2">
      <c r="A294" s="24" t="s">
        <v>510</v>
      </c>
    </row>
    <row r="295" spans="1:1" x14ac:dyDescent="0.2">
      <c r="A295" s="24" t="s">
        <v>511</v>
      </c>
    </row>
    <row r="296" spans="1:1" x14ac:dyDescent="0.2">
      <c r="A296" s="24" t="s">
        <v>512</v>
      </c>
    </row>
    <row r="298" spans="1:1" x14ac:dyDescent="0.2">
      <c r="A298" s="24" t="s">
        <v>504</v>
      </c>
    </row>
    <row r="301" spans="1:1" x14ac:dyDescent="0.2">
      <c r="A301" s="24" t="s">
        <v>513</v>
      </c>
    </row>
    <row r="302" spans="1:1" x14ac:dyDescent="0.2">
      <c r="A302" s="24" t="s">
        <v>514</v>
      </c>
    </row>
    <row r="304" spans="1:1" x14ac:dyDescent="0.2">
      <c r="A304" s="24" t="s">
        <v>515</v>
      </c>
    </row>
    <row r="305" spans="1:1" x14ac:dyDescent="0.2">
      <c r="A305" s="24" t="s">
        <v>516</v>
      </c>
    </row>
    <row r="306" spans="1:1" x14ac:dyDescent="0.2">
      <c r="A306" s="24" t="s">
        <v>504</v>
      </c>
    </row>
    <row r="309" spans="1:1" x14ac:dyDescent="0.2">
      <c r="A309" s="24" t="s">
        <v>513</v>
      </c>
    </row>
    <row r="310" spans="1:1" x14ac:dyDescent="0.2">
      <c r="A310" s="24" t="s">
        <v>517</v>
      </c>
    </row>
    <row r="311" spans="1:1" x14ac:dyDescent="0.2">
      <c r="A311" s="24" t="s">
        <v>513</v>
      </c>
    </row>
    <row r="312" spans="1:1" x14ac:dyDescent="0.2">
      <c r="A312" s="24" t="s">
        <v>518</v>
      </c>
    </row>
    <row r="314" spans="1:1" x14ac:dyDescent="0.2">
      <c r="A314" s="24" t="s">
        <v>519</v>
      </c>
    </row>
    <row r="316" spans="1:1" x14ac:dyDescent="0.2">
      <c r="A316" s="24" t="s">
        <v>504</v>
      </c>
    </row>
    <row r="319" spans="1:1" x14ac:dyDescent="0.2">
      <c r="A319" s="24" t="s">
        <v>513</v>
      </c>
    </row>
    <row r="320" spans="1:1" x14ac:dyDescent="0.2">
      <c r="A320" s="24" t="s">
        <v>520</v>
      </c>
    </row>
    <row r="321" spans="1:1" x14ac:dyDescent="0.2">
      <c r="A321" s="24" t="s">
        <v>521</v>
      </c>
    </row>
    <row r="322" spans="1:1" x14ac:dyDescent="0.2">
      <c r="A322" s="24" t="s">
        <v>522</v>
      </c>
    </row>
    <row r="324" spans="1:1" x14ac:dyDescent="0.2">
      <c r="A324" s="24" t="s">
        <v>504</v>
      </c>
    </row>
    <row r="326" spans="1:1" x14ac:dyDescent="0.2">
      <c r="A326" s="24" t="s">
        <v>463</v>
      </c>
    </row>
    <row r="329" spans="1:1" x14ac:dyDescent="0.2">
      <c r="A329" s="24" t="s">
        <v>469</v>
      </c>
    </row>
    <row r="330" spans="1:1" x14ac:dyDescent="0.2">
      <c r="A330" s="24" t="s">
        <v>470</v>
      </c>
    </row>
    <row r="331" spans="1:1" x14ac:dyDescent="0.2">
      <c r="A331" s="24" t="s">
        <v>523</v>
      </c>
    </row>
    <row r="332" spans="1:1" x14ac:dyDescent="0.2">
      <c r="A332" s="24" t="s">
        <v>524</v>
      </c>
    </row>
    <row r="333" spans="1:1" x14ac:dyDescent="0.2">
      <c r="A333" s="24" t="s">
        <v>525</v>
      </c>
    </row>
    <row r="334" spans="1:1" x14ac:dyDescent="0.2">
      <c r="A334" s="24" t="s">
        <v>526</v>
      </c>
    </row>
    <row r="335" spans="1:1" x14ac:dyDescent="0.2">
      <c r="A335" s="24" t="s">
        <v>527</v>
      </c>
    </row>
    <row r="336" spans="1:1" x14ac:dyDescent="0.2">
      <c r="A336" s="24" t="s">
        <v>480</v>
      </c>
    </row>
    <row r="337" spans="1:1" x14ac:dyDescent="0.2">
      <c r="A337" s="24" t="s">
        <v>471</v>
      </c>
    </row>
    <row r="340" spans="1:1" x14ac:dyDescent="0.2">
      <c r="A340" s="24" t="s">
        <v>472</v>
      </c>
    </row>
    <row r="342" spans="1:1" x14ac:dyDescent="0.2">
      <c r="A342" s="24" t="s">
        <v>528</v>
      </c>
    </row>
    <row r="343" spans="1:1" x14ac:dyDescent="0.2">
      <c r="A343" s="24" t="s">
        <v>529</v>
      </c>
    </row>
    <row r="344" spans="1:1" x14ac:dyDescent="0.2">
      <c r="A344" s="24" t="s">
        <v>530</v>
      </c>
    </row>
    <row r="345" spans="1:1" x14ac:dyDescent="0.2">
      <c r="A345" s="24" t="s">
        <v>531</v>
      </c>
    </row>
    <row r="346" spans="1:1" x14ac:dyDescent="0.2">
      <c r="A346" s="24" t="s">
        <v>532</v>
      </c>
    </row>
    <row r="347" spans="1:1" x14ac:dyDescent="0.2">
      <c r="A347" s="24" t="s">
        <v>480</v>
      </c>
    </row>
    <row r="348" spans="1:1" x14ac:dyDescent="0.2">
      <c r="A348" s="24" t="s">
        <v>473</v>
      </c>
    </row>
    <row r="349" spans="1:1" x14ac:dyDescent="0.2">
      <c r="A349" s="24" t="s">
        <v>533</v>
      </c>
    </row>
    <row r="350" spans="1:1" x14ac:dyDescent="0.2">
      <c r="A350" s="24" t="s">
        <v>534</v>
      </c>
    </row>
    <row r="352" spans="1:1" x14ac:dyDescent="0.2">
      <c r="A352" s="24" t="s">
        <v>504</v>
      </c>
    </row>
    <row r="355" spans="1:1" x14ac:dyDescent="0.2">
      <c r="A355" s="24" t="s">
        <v>463</v>
      </c>
    </row>
    <row r="361" spans="1:1" x14ac:dyDescent="0.2">
      <c r="A361" s="24" t="s">
        <v>474</v>
      </c>
    </row>
  </sheetData>
  <dataConsolidate/>
  <mergeCells count="56">
    <mergeCell ref="H33:I34"/>
    <mergeCell ref="M4:P4"/>
    <mergeCell ref="M2:P2"/>
    <mergeCell ref="N13:O13"/>
    <mergeCell ref="N12:O12"/>
    <mergeCell ref="O9:P9"/>
    <mergeCell ref="O8:P8"/>
    <mergeCell ref="O7:P7"/>
    <mergeCell ref="H27:I27"/>
    <mergeCell ref="M18:N18"/>
    <mergeCell ref="L3:M3"/>
    <mergeCell ref="N11:O11"/>
    <mergeCell ref="O6:P6"/>
    <mergeCell ref="O5:P5"/>
    <mergeCell ref="O17:P17"/>
    <mergeCell ref="O18:P18"/>
    <mergeCell ref="C27:D27"/>
    <mergeCell ref="C19:D19"/>
    <mergeCell ref="C20:D20"/>
    <mergeCell ref="O23:P23"/>
    <mergeCell ref="O24:P24"/>
    <mergeCell ref="C23:D23"/>
    <mergeCell ref="C22:D22"/>
    <mergeCell ref="C24:D24"/>
    <mergeCell ref="C2:D3"/>
    <mergeCell ref="C4:D4"/>
    <mergeCell ref="M22:N22"/>
    <mergeCell ref="M19:N19"/>
    <mergeCell ref="M9:N9"/>
    <mergeCell ref="M7:N7"/>
    <mergeCell ref="M8:N8"/>
    <mergeCell ref="C7:D7"/>
    <mergeCell ref="C11:D11"/>
    <mergeCell ref="M5:N5"/>
    <mergeCell ref="M6:N6"/>
    <mergeCell ref="M20:N20"/>
    <mergeCell ref="N14:O14"/>
    <mergeCell ref="N15:O15"/>
    <mergeCell ref="M17:N17"/>
    <mergeCell ref="C15:D15"/>
    <mergeCell ref="C5:D5"/>
    <mergeCell ref="H26:I26"/>
    <mergeCell ref="C17:D17"/>
    <mergeCell ref="C18:D18"/>
    <mergeCell ref="O21:P21"/>
    <mergeCell ref="M21:N21"/>
    <mergeCell ref="O19:P19"/>
    <mergeCell ref="O22:P22"/>
    <mergeCell ref="C21:D21"/>
    <mergeCell ref="C6:D6"/>
    <mergeCell ref="C14:D14"/>
    <mergeCell ref="C8:D8"/>
    <mergeCell ref="C9:D9"/>
    <mergeCell ref="O20:P20"/>
    <mergeCell ref="M23:N23"/>
    <mergeCell ref="M24:N24"/>
  </mergeCells>
  <phoneticPr fontId="8" type="noConversion"/>
  <conditionalFormatting sqref="B15:D15 B35:C35">
    <cfRule type="expression" dxfId="53" priority="21" stopIfTrue="1">
      <formula>AND(IF(RIGHT(Nb_diam,1)=",",1),IF(LEFT(Type_masquage,1)="M",1))</formula>
    </cfRule>
  </conditionalFormatting>
  <conditionalFormatting sqref="C12">
    <cfRule type="cellIs" dxfId="52" priority="25" stopIfTrue="1" operator="equal">
      <formula>359</formula>
    </cfRule>
    <cfRule type="expression" dxfId="51" priority="28" stopIfTrue="1">
      <formula>OR(MasseSans&lt;MpropuVide, MasseSans&gt;20*MpropuPlein)</formula>
    </cfRule>
  </conditionalFormatting>
  <conditionalFormatting sqref="C13">
    <cfRule type="cellIs" dxfId="50" priority="24" stopIfTrue="1" operator="equal">
      <formula>639</formula>
    </cfRule>
  </conditionalFormatting>
  <conditionalFormatting sqref="C15 C35 C24:D24">
    <cfRule type="cellIs" dxfId="49" priority="37" stopIfTrue="1" operator="equal">
      <formula>59</formula>
    </cfRule>
  </conditionalFormatting>
  <conditionalFormatting sqref="C18">
    <cfRule type="expression" dxfId="48" priority="151" stopIfTrue="1">
      <formula>C204</formula>
    </cfRule>
  </conditionalFormatting>
  <conditionalFormatting sqref="C28 C30">
    <cfRule type="cellIs" dxfId="47" priority="18" stopIfTrue="1" operator="equal">
      <formula>109</formula>
    </cfRule>
  </conditionalFormatting>
  <conditionalFormatting sqref="C29">
    <cfRule type="cellIs" dxfId="46" priority="19" stopIfTrue="1" operator="equal">
      <formula>59</formula>
    </cfRule>
  </conditionalFormatting>
  <conditionalFormatting sqref="C31">
    <cfRule type="cellIs" dxfId="45" priority="20" stopIfTrue="1" operator="equal">
      <formula>99</formula>
    </cfRule>
  </conditionalFormatting>
  <conditionalFormatting sqref="C14:D14 C19 C34">
    <cfRule type="cellIs" dxfId="44" priority="23" stopIfTrue="1" operator="equal">
      <formula>1001</formula>
    </cfRule>
  </conditionalFormatting>
  <conditionalFormatting sqref="C23:D23">
    <cfRule type="cellIs" dxfId="43" priority="22" stopIfTrue="1" operator="equal">
      <formula>199</formula>
    </cfRule>
  </conditionalFormatting>
  <conditionalFormatting sqref="D10">
    <cfRule type="expression" dxfId="42" priority="1">
      <formula>NOT(OR((LEFT(Type_fusee,4)="Mini"),(RIGHT(Type_fusee,1)=".")))</formula>
    </cfRule>
  </conditionalFormatting>
  <conditionalFormatting sqref="D18">
    <cfRule type="expression" dxfId="41" priority="11" stopIfTrue="1">
      <formula>D202</formula>
    </cfRule>
  </conditionalFormatting>
  <conditionalFormatting sqref="H28">
    <cfRule type="expression" dxfId="40" priority="47" stopIfTrue="1">
      <formula>OR(Cn&lt;CritCnmin,Cn&gt;CritCnmax)</formula>
    </cfRule>
  </conditionalFormatting>
  <conditionalFormatting sqref="H29">
    <cfRule type="expression" dxfId="39" priority="46" stopIfTrue="1">
      <formula>OR(MS_min&lt;CritMsmin,MS_min&gt;CritMsmax)</formula>
    </cfRule>
  </conditionalFormatting>
  <conditionalFormatting sqref="H30">
    <cfRule type="expression" dxfId="38" priority="44" stopIfTrue="1">
      <formula>OR(MS_Cn_min&lt;CritMsCnmin,MS_Cn_min&gt;CritMsCnmax)</formula>
    </cfRule>
  </conditionalFormatting>
  <conditionalFormatting sqref="H27:I27">
    <cfRule type="expression" dxfId="37" priority="48" stopIfTrue="1">
      <formula>OR(Finesse&lt;CritFinessemin,Finesse&gt;CritFinessemax)</formula>
    </cfRule>
  </conditionalFormatting>
  <conditionalFormatting sqref="H33:I34">
    <cfRule type="expression" dxfId="36" priority="51" stopIfTrue="1">
      <formula>$H$33="STABLE"</formula>
    </cfRule>
  </conditionalFormatting>
  <conditionalFormatting sqref="I28">
    <cfRule type="expression" dxfId="35" priority="6" stopIfTrue="1">
      <formula>OR(Cn0&lt;CritCnmin,Cn0&gt;CritCnmax)</formula>
    </cfRule>
  </conditionalFormatting>
  <conditionalFormatting sqref="I29">
    <cfRule type="expression" dxfId="34" priority="45" stopIfTrue="1">
      <formula>OR(MS_max&lt;CritMsmin,MS_max&gt;CritMsmax)</formula>
    </cfRule>
  </conditionalFormatting>
  <conditionalFormatting sqref="I30">
    <cfRule type="expression" dxfId="33" priority="43" stopIfTrue="1">
      <formula>OR(MS_Cn_max&lt;CritMsCnmin,MS_Cn_max&gt;CritMsCnmax)</formula>
    </cfRule>
  </conditionalFormatting>
  <conditionalFormatting sqref="L39:M39">
    <cfRule type="expression" dxfId="32" priority="239" stopIfTrue="1">
      <formula>OR(SUM($C$28:$C$33)=273, $H$33&lt;&gt;"STABLE")</formula>
    </cfRule>
  </conditionalFormatting>
  <conditionalFormatting sqref="L6:P9">
    <cfRule type="expression" dxfId="31" priority="49" stopIfTrue="1">
      <formula>IF(RIGHT(Nb_diam,1)=",",1)</formula>
    </cfRule>
  </conditionalFormatting>
  <conditionalFormatting sqref="L20:P22 E25 D26 E27:E35 D28:D35 B36:E36">
    <cfRule type="expression" dxfId="30" priority="84" stopIfTrue="1">
      <formula>IF(LEFT(Type_masquage,1)="M",1)</formula>
    </cfRule>
  </conditionalFormatting>
  <conditionalFormatting sqref="L23:P24">
    <cfRule type="expression" dxfId="29" priority="65" stopIfTrue="1">
      <formula>IF(RIGHT(Nb_diam,1)=",",1)</formula>
    </cfRule>
  </conditionalFormatting>
  <conditionalFormatting sqref="M37 O37">
    <cfRule type="expression" dxfId="28" priority="142" stopIfTrue="1">
      <formula>$M$37="propu NOK"</formula>
    </cfRule>
  </conditionalFormatting>
  <conditionalFormatting sqref="M5:P5">
    <cfRule type="expression" dxfId="27" priority="39" stopIfTrue="1">
      <formula>IF(RIGHT(Nb_diam,1)=",",1)</formula>
    </cfRule>
  </conditionalFormatting>
  <conditionalFormatting sqref="N37">
    <cfRule type="expression" dxfId="26" priority="27" stopIfTrue="1">
      <formula>(ROUND(SUM(C2:D35),0)=5694)</formula>
    </cfRule>
  </conditionalFormatting>
  <dataValidations count="13">
    <dataValidation type="whole" allowBlank="1" showInputMessage="1" showErrorMessage="1" error="Tapez un entier entre 3 et 6." sqref="C33:D33" xr:uid="{00000000-0002-0000-0000-000000000000}">
      <formula1>3</formula1>
      <formula2>6</formula2>
    </dataValidation>
    <dataValidation type="decimal" operator="notEqual" allowBlank="1" showInputMessage="1" showErrorMessage="1" error="Tapez uniquement la longueur, sans l'unité." sqref="C30:D30" xr:uid="{00000000-0002-0000-0000-000001000000}">
      <formula1>1E+100</formula1>
    </dataValidation>
    <dataValidation type="decimal" operator="greaterThanOrEqual" allowBlank="1" showInputMessage="1" showErrorMessage="1" error="Tapez uniquement la longueur, sans l'unité." sqref="C28:D29 C34:D35 C31:D32 M6:O9" xr:uid="{00000000-0002-0000-0000-000002000000}">
      <formula1>0</formula1>
    </dataValidation>
    <dataValidation type="list" showInputMessage="1" showErrorMessage="1" sqref="C27:D27" xr:uid="{00000000-0002-0000-0000-000003000000}">
      <formula1>Menu_Empennage</formula1>
    </dataValidation>
    <dataValidation type="list" showInputMessage="1" showErrorMessage="1" sqref="C18:D18" xr:uid="{00000000-0002-0000-0000-000004000000}">
      <formula1>Liste_propu</formula1>
    </dataValidation>
    <dataValidation type="list" showInputMessage="1" showErrorMessage="1" sqref="M2" xr:uid="{00000000-0002-0000-0000-000005000000}">
      <formula1>Menu_Lang</formula1>
    </dataValidation>
    <dataValidation type="decimal" showInputMessage="1" showErrorMessage="1" errorTitle="Masse de la Fusée" error="Tapez uniquement la masse, sans l'unité." sqref="C12" xr:uid="{591482E7-AFD6-4D58-BCBA-4575CE89FB4B}">
      <formula1>0</formula1>
      <formula2>50000</formula2>
    </dataValidation>
    <dataValidation type="decimal" operator="greaterThan" showInputMessage="1" showErrorMessage="1" error="Tapez uniquement la longueur, sans l'unité." sqref="C13 C14:D14 C23:D24" xr:uid="{00000000-0002-0000-0000-000007000000}">
      <formula1>0</formula1>
    </dataValidation>
    <dataValidation type="list" showInputMessage="1" showErrorMessage="1" sqref="D12:D13" xr:uid="{00000000-0002-0000-0000-000008000000}">
      <formula1>Menu_with_motor</formula1>
    </dataValidation>
    <dataValidation type="list" showInputMessage="1" showErrorMessage="1" sqref="C11:D11" xr:uid="{00000000-0002-0000-0000-000009000000}">
      <formula1>Menu_Type</formula1>
    </dataValidation>
    <dataValidation type="decimal" operator="greaterThan" allowBlank="1" showInputMessage="1" showErrorMessage="1" error="Tapez uniquement la longueur, sans l'unité." sqref="C19" xr:uid="{00000000-0002-0000-0000-00000A000000}">
      <formula1>0</formula1>
    </dataValidation>
    <dataValidation type="list" showInputMessage="1" showErrorMessage="1" sqref="C22:D22" xr:uid="{00000000-0002-0000-0000-00000B000000}">
      <formula1>Menu_Ogive</formula1>
    </dataValidation>
    <dataValidation type="list" showInputMessage="1" showErrorMessage="1" sqref="M4" xr:uid="{00000000-0002-0000-0000-00000C000000}">
      <formula1>Menu_Transitions</formula1>
    </dataValidation>
  </dataValidations>
  <hyperlinks>
    <hyperlink ref="M39" location="Trajecto!C25" display="Trajecto" xr:uid="{00000000-0004-0000-0000-000000000000}"/>
  </hyperlinks>
  <printOptions horizontalCentered="1" verticalCentered="1"/>
  <pageMargins left="7.874015748031496E-2" right="7.874015748031496E-2" top="7.874015748031496E-2" bottom="7.874015748031496E-2" header="0" footer="0"/>
  <pageSetup paperSize="9" orientation="landscape" horizontalDpi="200" verticalDpi="200" r:id="rId1"/>
  <headerFooter alignWithMargins="0"/>
  <ignoredErrors>
    <ignoredError sqref="D35" unlockedFormula="1"/>
    <ignoredError sqref="E180" 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36775" r:id="rId4" name="Spinner 935">
              <controlPr defaultSize="0" print="0" autoPict="0">
                <anchor moveWithCells="1" sizeWithCells="1">
                  <from>
                    <xdr:col>3</xdr:col>
                    <xdr:colOff>752475</xdr:colOff>
                    <xdr:row>22</xdr:row>
                    <xdr:rowOff>0</xdr:rowOff>
                  </from>
                  <to>
                    <xdr:col>3</xdr:col>
                    <xdr:colOff>895350</xdr:colOff>
                    <xdr:row>23</xdr:row>
                    <xdr:rowOff>0</xdr:rowOff>
                  </to>
                </anchor>
              </controlPr>
            </control>
          </mc:Choice>
        </mc:AlternateContent>
        <mc:AlternateContent xmlns:mc="http://schemas.openxmlformats.org/markup-compatibility/2006">
          <mc:Choice Requires="x14">
            <control shapeId="36781" r:id="rId5" name="Spinner 941">
              <controlPr defaultSize="0" print="0" autoPict="0">
                <anchor moveWithCells="1" sizeWithCells="1">
                  <from>
                    <xdr:col>2</xdr:col>
                    <xdr:colOff>752475</xdr:colOff>
                    <xdr:row>11</xdr:row>
                    <xdr:rowOff>0</xdr:rowOff>
                  </from>
                  <to>
                    <xdr:col>2</xdr:col>
                    <xdr:colOff>895350</xdr:colOff>
                    <xdr:row>12</xdr:row>
                    <xdr:rowOff>0</xdr:rowOff>
                  </to>
                </anchor>
              </controlPr>
            </control>
          </mc:Choice>
        </mc:AlternateContent>
        <mc:AlternateContent xmlns:mc="http://schemas.openxmlformats.org/markup-compatibility/2006">
          <mc:Choice Requires="x14">
            <control shapeId="36782" r:id="rId6" name="Spinner 942">
              <controlPr defaultSize="0" print="0" autoPict="0">
                <anchor moveWithCells="1" sizeWithCells="1">
                  <from>
                    <xdr:col>2</xdr:col>
                    <xdr:colOff>752475</xdr:colOff>
                    <xdr:row>12</xdr:row>
                    <xdr:rowOff>0</xdr:rowOff>
                  </from>
                  <to>
                    <xdr:col>2</xdr:col>
                    <xdr:colOff>895350</xdr:colOff>
                    <xdr:row>13</xdr:row>
                    <xdr:rowOff>0</xdr:rowOff>
                  </to>
                </anchor>
              </controlPr>
            </control>
          </mc:Choice>
        </mc:AlternateContent>
        <mc:AlternateContent xmlns:mc="http://schemas.openxmlformats.org/markup-compatibility/2006">
          <mc:Choice Requires="x14">
            <control shapeId="36783" r:id="rId7" name="Spinner 943">
              <controlPr defaultSize="0" print="0" autoPict="0">
                <anchor moveWithCells="1" sizeWithCells="1">
                  <from>
                    <xdr:col>3</xdr:col>
                    <xdr:colOff>752475</xdr:colOff>
                    <xdr:row>22</xdr:row>
                    <xdr:rowOff>161925</xdr:rowOff>
                  </from>
                  <to>
                    <xdr:col>3</xdr:col>
                    <xdr:colOff>895350</xdr:colOff>
                    <xdr:row>24</xdr:row>
                    <xdr:rowOff>0</xdr:rowOff>
                  </to>
                </anchor>
              </controlPr>
            </control>
          </mc:Choice>
        </mc:AlternateContent>
        <mc:AlternateContent xmlns:mc="http://schemas.openxmlformats.org/markup-compatibility/2006">
          <mc:Choice Requires="x14">
            <control shapeId="36789" r:id="rId8" name="Spinner 949">
              <controlPr defaultSize="0" print="0" autoPict="0">
                <anchor moveWithCells="1" sizeWithCells="1">
                  <from>
                    <xdr:col>2</xdr:col>
                    <xdr:colOff>752475</xdr:colOff>
                    <xdr:row>27</xdr:row>
                    <xdr:rowOff>0</xdr:rowOff>
                  </from>
                  <to>
                    <xdr:col>3</xdr:col>
                    <xdr:colOff>0</xdr:colOff>
                    <xdr:row>28</xdr:row>
                    <xdr:rowOff>9525</xdr:rowOff>
                  </to>
                </anchor>
              </controlPr>
            </control>
          </mc:Choice>
        </mc:AlternateContent>
        <mc:AlternateContent xmlns:mc="http://schemas.openxmlformats.org/markup-compatibility/2006">
          <mc:Choice Requires="x14">
            <control shapeId="36795" r:id="rId9" name="Spinner 955">
              <controlPr defaultSize="0" print="0" autoPict="0">
                <anchor moveWithCells="1" sizeWithCells="1">
                  <from>
                    <xdr:col>2</xdr:col>
                    <xdr:colOff>752475</xdr:colOff>
                    <xdr:row>28</xdr:row>
                    <xdr:rowOff>0</xdr:rowOff>
                  </from>
                  <to>
                    <xdr:col>3</xdr:col>
                    <xdr:colOff>0</xdr:colOff>
                    <xdr:row>29</xdr:row>
                    <xdr:rowOff>9525</xdr:rowOff>
                  </to>
                </anchor>
              </controlPr>
            </control>
          </mc:Choice>
        </mc:AlternateContent>
        <mc:AlternateContent xmlns:mc="http://schemas.openxmlformats.org/markup-compatibility/2006">
          <mc:Choice Requires="x14">
            <control shapeId="36796" r:id="rId10" name="Spinner 956">
              <controlPr defaultSize="0" print="0" autoPict="0">
                <anchor moveWithCells="1" sizeWithCells="1">
                  <from>
                    <xdr:col>2</xdr:col>
                    <xdr:colOff>752475</xdr:colOff>
                    <xdr:row>28</xdr:row>
                    <xdr:rowOff>161925</xdr:rowOff>
                  </from>
                  <to>
                    <xdr:col>3</xdr:col>
                    <xdr:colOff>0</xdr:colOff>
                    <xdr:row>30</xdr:row>
                    <xdr:rowOff>0</xdr:rowOff>
                  </to>
                </anchor>
              </controlPr>
            </control>
          </mc:Choice>
        </mc:AlternateContent>
        <mc:AlternateContent xmlns:mc="http://schemas.openxmlformats.org/markup-compatibility/2006">
          <mc:Choice Requires="x14">
            <control shapeId="36797" r:id="rId11" name="Spinner 957">
              <controlPr defaultSize="0" print="0" autoPict="0">
                <anchor moveWithCells="1" sizeWithCells="1">
                  <from>
                    <xdr:col>2</xdr:col>
                    <xdr:colOff>752475</xdr:colOff>
                    <xdr:row>30</xdr:row>
                    <xdr:rowOff>0</xdr:rowOff>
                  </from>
                  <to>
                    <xdr:col>3</xdr:col>
                    <xdr:colOff>0</xdr:colOff>
                    <xdr:row>30</xdr:row>
                    <xdr:rowOff>161925</xdr:rowOff>
                  </to>
                </anchor>
              </controlPr>
            </control>
          </mc:Choice>
        </mc:AlternateContent>
        <mc:AlternateContent xmlns:mc="http://schemas.openxmlformats.org/markup-compatibility/2006">
          <mc:Choice Requires="x14">
            <control shapeId="36798" r:id="rId12" name="Spinner 958">
              <controlPr defaultSize="0" print="0" autoPict="0">
                <anchor moveWithCells="1" sizeWithCells="1">
                  <from>
                    <xdr:col>2</xdr:col>
                    <xdr:colOff>752475</xdr:colOff>
                    <xdr:row>31</xdr:row>
                    <xdr:rowOff>0</xdr:rowOff>
                  </from>
                  <to>
                    <xdr:col>2</xdr:col>
                    <xdr:colOff>895350</xdr:colOff>
                    <xdr:row>32</xdr:row>
                    <xdr:rowOff>0</xdr:rowOff>
                  </to>
                </anchor>
              </controlPr>
            </control>
          </mc:Choice>
        </mc:AlternateContent>
        <mc:AlternateContent xmlns:mc="http://schemas.openxmlformats.org/markup-compatibility/2006">
          <mc:Choice Requires="x14">
            <control shapeId="36799" r:id="rId13" name="Spinner 959">
              <controlPr defaultSize="0" print="0" autoPict="0">
                <anchor moveWithCells="1" sizeWithCells="1">
                  <from>
                    <xdr:col>2</xdr:col>
                    <xdr:colOff>752475</xdr:colOff>
                    <xdr:row>32</xdr:row>
                    <xdr:rowOff>0</xdr:rowOff>
                  </from>
                  <to>
                    <xdr:col>3</xdr:col>
                    <xdr:colOff>0</xdr:colOff>
                    <xdr:row>33</xdr:row>
                    <xdr:rowOff>0</xdr:rowOff>
                  </to>
                </anchor>
              </controlPr>
            </control>
          </mc:Choice>
        </mc:AlternateContent>
        <mc:AlternateContent xmlns:mc="http://schemas.openxmlformats.org/markup-compatibility/2006">
          <mc:Choice Requires="x14">
            <control shapeId="36801" r:id="rId14" name="Spinner 961">
              <controlPr defaultSize="0" print="0" autoPict="0">
                <anchor moveWithCells="1" sizeWithCells="1">
                  <from>
                    <xdr:col>3</xdr:col>
                    <xdr:colOff>752475</xdr:colOff>
                    <xdr:row>12</xdr:row>
                    <xdr:rowOff>161925</xdr:rowOff>
                  </from>
                  <to>
                    <xdr:col>4</xdr:col>
                    <xdr:colOff>0</xdr:colOff>
                    <xdr:row>13</xdr:row>
                    <xdr:rowOff>161925</xdr:rowOff>
                  </to>
                </anchor>
              </controlPr>
            </control>
          </mc:Choice>
        </mc:AlternateContent>
        <mc:AlternateContent xmlns:mc="http://schemas.openxmlformats.org/markup-compatibility/2006">
          <mc:Choice Requires="x14">
            <control shapeId="5096691" r:id="rId15" name="Spinner 3315">
              <controlPr defaultSize="0" print="0" autoPict="0">
                <anchor moveWithCells="1" sizeWithCells="1">
                  <from>
                    <xdr:col>19</xdr:col>
                    <xdr:colOff>0</xdr:colOff>
                    <xdr:row>35</xdr:row>
                    <xdr:rowOff>9525</xdr:rowOff>
                  </from>
                  <to>
                    <xdr:col>19</xdr:col>
                    <xdr:colOff>0</xdr:colOff>
                    <xdr:row>36</xdr:row>
                    <xdr:rowOff>0</xdr:rowOff>
                  </to>
                </anchor>
              </controlPr>
            </control>
          </mc:Choice>
        </mc:AlternateContent>
        <mc:AlternateContent xmlns:mc="http://schemas.openxmlformats.org/markup-compatibility/2006">
          <mc:Choice Requires="x14">
            <control shapeId="5096692" r:id="rId16" name="Spinner 3316">
              <controlPr defaultSize="0" print="0" autoPict="0">
                <anchor moveWithCells="1" sizeWithCells="1">
                  <from>
                    <xdr:col>19</xdr:col>
                    <xdr:colOff>0</xdr:colOff>
                    <xdr:row>35</xdr:row>
                    <xdr:rowOff>9525</xdr:rowOff>
                  </from>
                  <to>
                    <xdr:col>19</xdr:col>
                    <xdr:colOff>0</xdr:colOff>
                    <xdr:row>36</xdr:row>
                    <xdr:rowOff>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1">
    <pageSetUpPr fitToPage="1"/>
  </sheetPr>
  <dimension ref="A1:R201"/>
  <sheetViews>
    <sheetView showGridLines="0" zoomScaleNormal="100" workbookViewId="0">
      <selection activeCell="J33" sqref="J33"/>
    </sheetView>
  </sheetViews>
  <sheetFormatPr baseColWidth="10" defaultColWidth="11.42578125" defaultRowHeight="12.75" x14ac:dyDescent="0.2"/>
  <cols>
    <col min="1" max="1" width="2.140625" style="1" customWidth="1"/>
    <col min="2" max="2" width="16.140625" style="1" customWidth="1"/>
    <col min="3" max="4" width="12.85546875" style="1" customWidth="1"/>
    <col min="5" max="5" width="2.85546875" style="1" customWidth="1"/>
    <col min="6" max="7" width="12.85546875" style="1" customWidth="1"/>
    <col min="8" max="13" width="10.85546875" style="1" customWidth="1"/>
    <col min="14" max="15" width="2.140625" style="1" customWidth="1"/>
    <col min="16" max="17" width="14.140625" style="1" customWidth="1"/>
    <col min="18" max="16384" width="11.42578125" style="1"/>
  </cols>
  <sheetData>
    <row r="1" spans="1:14" x14ac:dyDescent="0.2">
      <c r="A1" s="51"/>
      <c r="B1" s="52"/>
      <c r="C1" s="53"/>
      <c r="D1" s="52"/>
      <c r="E1" s="54"/>
      <c r="F1" s="54"/>
      <c r="G1" s="54"/>
      <c r="H1" s="54"/>
      <c r="I1" s="54"/>
      <c r="J1" s="54"/>
      <c r="K1" s="54"/>
      <c r="L1" s="54"/>
      <c r="M1" s="54"/>
      <c r="N1" s="55"/>
    </row>
    <row r="2" spans="1:14" ht="12.75" customHeight="1" x14ac:dyDescent="0.2">
      <c r="A2" s="56"/>
      <c r="B2" s="2"/>
      <c r="C2" s="632" t="s">
        <v>0</v>
      </c>
      <c r="D2" s="632"/>
      <c r="F2" s="3"/>
      <c r="J2" s="4"/>
      <c r="N2" s="57"/>
    </row>
    <row r="3" spans="1:14" ht="12.75" customHeight="1" x14ac:dyDescent="0.2">
      <c r="A3" s="56"/>
      <c r="B3" s="2"/>
      <c r="C3" s="632"/>
      <c r="D3" s="632"/>
      <c r="H3" s="5"/>
      <c r="J3" s="4"/>
      <c r="N3" s="57"/>
    </row>
    <row r="4" spans="1:14" ht="12.75" customHeight="1" x14ac:dyDescent="0.2">
      <c r="A4" s="56"/>
      <c r="B4" s="2"/>
      <c r="C4" s="636" t="str">
        <f>IF(Lang="Français","Trajectographie de fusée",IF(Lang="English","Rocket Trajectography",""))</f>
        <v>Trajectographie de fusée</v>
      </c>
      <c r="D4" s="636"/>
      <c r="H4" s="5"/>
      <c r="J4" s="4"/>
      <c r="N4" s="57"/>
    </row>
    <row r="5" spans="1:14" ht="12.75" customHeight="1" x14ac:dyDescent="0.2">
      <c r="A5" s="56"/>
      <c r="B5" s="2"/>
      <c r="C5" s="631"/>
      <c r="D5" s="631"/>
      <c r="J5" s="4"/>
      <c r="N5" s="57"/>
    </row>
    <row r="6" spans="1:14" ht="12.95" customHeight="1" x14ac:dyDescent="0.2">
      <c r="A6" s="56"/>
      <c r="B6" s="87"/>
      <c r="C6" s="635" t="str">
        <f>IF(Lang="Français","Remplir les cases jaunes",IF(Lang="English","Fill-in yellow cells only",""))</f>
        <v>Remplir les cases jaunes</v>
      </c>
      <c r="D6" s="635"/>
      <c r="J6" s="4"/>
      <c r="N6" s="57"/>
    </row>
    <row r="7" spans="1:14" x14ac:dyDescent="0.2">
      <c r="A7" s="56"/>
      <c r="B7" s="6"/>
      <c r="C7" s="612" t="str">
        <f>IF(Lang="Français","Fusée",IF(Lang="English","Rocket",""))</f>
        <v>Fusée</v>
      </c>
      <c r="D7" s="612"/>
      <c r="N7" s="58"/>
    </row>
    <row r="8" spans="1:14" ht="12.75" customHeight="1" x14ac:dyDescent="0.25">
      <c r="A8" s="56"/>
      <c r="B8" s="140" t="str">
        <f>IF(Lang="Français","Nom",IF(Lang="English","Name",""))</f>
        <v>Nom</v>
      </c>
      <c r="C8" s="633" t="str">
        <f>Nom</f>
        <v>SP02</v>
      </c>
      <c r="D8" s="633"/>
      <c r="E8" s="5"/>
      <c r="F8" s="5"/>
      <c r="J8" s="4"/>
      <c r="N8" s="57"/>
    </row>
    <row r="9" spans="1:14" ht="12.75" customHeight="1" x14ac:dyDescent="0.25">
      <c r="A9" s="59"/>
      <c r="B9" s="140" t="s">
        <v>4</v>
      </c>
      <c r="C9" s="634" t="str">
        <f>Club</f>
        <v>L'AéroIPSA</v>
      </c>
      <c r="D9" s="634"/>
      <c r="F9" s="5"/>
      <c r="N9" s="58"/>
    </row>
    <row r="10" spans="1:14" ht="12.75" customHeight="1" x14ac:dyDescent="0.25">
      <c r="A10" s="59"/>
      <c r="B10" s="141" t="s">
        <v>562</v>
      </c>
      <c r="C10" s="630" t="str">
        <f>Matricule</f>
        <v>FX0</v>
      </c>
      <c r="D10" s="630"/>
      <c r="F10" s="5"/>
      <c r="N10" s="58"/>
    </row>
    <row r="11" spans="1:14" ht="12.75" customHeight="1" x14ac:dyDescent="0.2">
      <c r="A11" s="59"/>
      <c r="B11" s="140" t="str">
        <f>IF(Lang="Français","Masse totale",IF(Lang="English","Total Mass",""))</f>
        <v>Masse totale</v>
      </c>
      <c r="C11" s="607">
        <f ca="1">MassePlein</f>
        <v>5.0831</v>
      </c>
      <c r="D11" s="607"/>
      <c r="F11" s="5"/>
      <c r="N11" s="58"/>
    </row>
    <row r="12" spans="1:14" ht="12.75" customHeight="1" x14ac:dyDescent="0.2">
      <c r="A12" s="59"/>
      <c r="B12" s="227" t="str">
        <f>IF(Lang="Français","Propulseur",IF(Lang="English","Motor",""))</f>
        <v>Propulseur</v>
      </c>
      <c r="C12" s="610" t="str">
        <f>Propu</f>
        <v>Aucun (2e ét. inerte)</v>
      </c>
      <c r="D12" s="611"/>
      <c r="F12" s="5"/>
      <c r="N12" s="58"/>
    </row>
    <row r="13" spans="1:14" ht="12.75" customHeight="1" x14ac:dyDescent="0.2">
      <c r="A13" s="59"/>
      <c r="N13" s="58"/>
    </row>
    <row r="14" spans="1:14" ht="12.75" customHeight="1" x14ac:dyDescent="0.2">
      <c r="A14" s="59"/>
      <c r="B14"/>
      <c r="C14" s="612" t="str">
        <f>IF(Lang="Français","Traînée Aérdynamique",IF(Lang="English","Drag",""))</f>
        <v>Traînée Aérdynamique</v>
      </c>
      <c r="D14" s="612"/>
      <c r="N14" s="58"/>
    </row>
    <row r="15" spans="1:14" ht="12.75" customHeight="1" x14ac:dyDescent="0.2">
      <c r="A15" s="59"/>
      <c r="B15" s="140" t="s">
        <v>40</v>
      </c>
      <c r="C15" s="613">
        <f>(PI()*D_ref^2/4+E_ail*ep_ail*Q_ail)/10^6</f>
        <v>1.0234866535306801E-2</v>
      </c>
      <c r="D15" s="613"/>
      <c r="N15" s="58"/>
    </row>
    <row r="16" spans="1:14" ht="12.75" customHeight="1" x14ac:dyDescent="0.2">
      <c r="A16" s="59"/>
      <c r="B16" s="141" t="s">
        <v>5</v>
      </c>
      <c r="C16" s="605">
        <v>0.6</v>
      </c>
      <c r="D16" s="606"/>
      <c r="N16" s="58"/>
    </row>
    <row r="17" spans="1:18" ht="12.75" customHeight="1" x14ac:dyDescent="0.2">
      <c r="A17" s="59"/>
      <c r="N17" s="58"/>
    </row>
    <row r="18" spans="1:18" ht="12.75" customHeight="1" x14ac:dyDescent="0.2">
      <c r="A18" s="59"/>
      <c r="B18"/>
      <c r="C18" s="612" t="str">
        <f>IF(Lang="Français","Rampe de Lancement",IF(Lang="English","Launch Pad",""))</f>
        <v>Rampe de Lancement</v>
      </c>
      <c r="D18" s="612"/>
      <c r="N18" s="58"/>
    </row>
    <row r="19" spans="1:18" ht="12.75" customHeight="1" x14ac:dyDescent="0.2">
      <c r="A19" s="59"/>
      <c r="B19" s="140" t="str">
        <f>IF(Lang="Français","Longueur",IF(Lang="English","Length",""))</f>
        <v>Longueur</v>
      </c>
      <c r="C19" s="609">
        <f>IF(RIGHT(Type_fusee,1)=".",4, IF(LEFT(Type_fusee,4)="Mini",2.5, IF(LEFT(Type_fusee,5)="Micro",1, IF(RIGHT(Type_fusee,1)=" ",0.1,IF(LEFT(Type_fusee,1)="R",3, 2.5)))))</f>
        <v>4</v>
      </c>
      <c r="D19" s="609"/>
      <c r="N19" s="58"/>
    </row>
    <row r="20" spans="1:18" ht="12.75" customHeight="1" x14ac:dyDescent="0.2">
      <c r="A20" s="59"/>
      <c r="B20" s="140" t="str">
        <f>IF(Lang="Français","Élévation",IF(Lang="English","Angle /horizon",""))</f>
        <v>Élévation</v>
      </c>
      <c r="C20" s="608">
        <v>75.474708385400717</v>
      </c>
      <c r="D20" s="608"/>
      <c r="N20" s="58"/>
    </row>
    <row r="21" spans="1:18" ht="12.75" customHeight="1" x14ac:dyDescent="0.2">
      <c r="A21" s="59"/>
      <c r="B21" s="140" t="s">
        <v>6</v>
      </c>
      <c r="C21" s="609">
        <v>0</v>
      </c>
      <c r="D21" s="609"/>
      <c r="N21" s="58"/>
    </row>
    <row r="22" spans="1:18" x14ac:dyDescent="0.2">
      <c r="A22" s="59"/>
      <c r="F22" s="384" t="e">
        <f ca="1">IF( OR( AND(Vsortie_de_rampe&lt;18, RIGHT(Type_fusee,1)=";"), AND(Vsortie_de_rampe&lt;20, RIGHT(Type_fusee,1)=".")), IF(Lang="Français","Vitesse en Sortie de Rampe trop faible, alléger la fusée ou choisir un propu plus puissant.","Speed at Launch Pad Exit too low, lighten the rocket or choose a bigger motor."), "")</f>
        <v>#N/A</v>
      </c>
      <c r="N22" s="58"/>
    </row>
    <row r="23" spans="1:18" x14ac:dyDescent="0.2">
      <c r="A23" s="59"/>
      <c r="C23" s="614" t="str">
        <f>IF(Lang="Français","DescenteSousParachute",IF(Lang="English","Over Parachute",""))</f>
        <v>DescenteSousParachute</v>
      </c>
      <c r="D23" s="615"/>
      <c r="F23" s="4"/>
      <c r="G23" s="50">
        <f ca="1">TODAY()</f>
        <v>45968</v>
      </c>
      <c r="H23" s="489" t="str">
        <f>IF(Lang="Français","Temps",IF(Lang="English","Time",""))</f>
        <v>Temps</v>
      </c>
      <c r="I23" s="489" t="s">
        <v>12</v>
      </c>
      <c r="J23" s="489" t="str">
        <f>IF(Lang="Français","Portée x",IF(Lang="English","Range x",""))</f>
        <v>Portée x</v>
      </c>
      <c r="K23" s="489" t="str">
        <f>IF(Lang="Français","Vitesse",IF(Lang="English","Velocity",""))</f>
        <v>Vitesse</v>
      </c>
      <c r="L23" s="490" t="s">
        <v>13</v>
      </c>
      <c r="M23" s="499" t="s">
        <v>421</v>
      </c>
      <c r="N23" s="58"/>
    </row>
    <row r="24" spans="1:18" x14ac:dyDescent="0.2">
      <c r="A24" s="59"/>
      <c r="B24"/>
      <c r="C24" s="142" t="str">
        <f>C7</f>
        <v>Fusée</v>
      </c>
      <c r="D24" s="220" t="s">
        <v>120</v>
      </c>
      <c r="E24" s="18" t="str">
        <f>IF(ABS(T_satellite-0.11-T_para)&lt;0.1,"Pb!","")</f>
        <v/>
      </c>
      <c r="F24" s="616" t="str">
        <f>IF(Lang="Français","Sortie de Rampe",IF(Lang="English","Launch-Pad Exit",""))</f>
        <v>Sortie de Rampe</v>
      </c>
      <c r="G24" s="617"/>
      <c r="H24" s="491"/>
      <c r="I24" s="491"/>
      <c r="J24" s="491"/>
      <c r="K24" s="492" t="e">
        <f ca="1">INDEX(vit_xz,MATCH("Sortie de rampe",Event,0))</f>
        <v>#N/A</v>
      </c>
      <c r="L24" s="493"/>
      <c r="M24" s="500"/>
      <c r="N24" s="58"/>
    </row>
    <row r="25" spans="1:18" x14ac:dyDescent="0.2">
      <c r="A25" s="59"/>
      <c r="B25" s="466" t="str">
        <f>IF(Lang="Français","Masse",IF(Lang="English","Mass",""))</f>
        <v>Masse</v>
      </c>
      <c r="C25" s="467">
        <f ca="1">IF(Nb_sat="0 satellite",MasseVide,MasseVide-m_satellite)</f>
        <v>5.0830000000000002</v>
      </c>
      <c r="D25" s="480">
        <f>IF(RIGHT(Type_fusee,1)=".",1,0.15)</f>
        <v>1</v>
      </c>
      <c r="F25" s="619" t="str">
        <f>IF(Lang="Français","Vit max &amp; Acc max",IF(Lang="English","Max Velocity &amp; Acc",""))</f>
        <v>Vit max &amp; Acc max</v>
      </c>
      <c r="G25" s="599"/>
      <c r="H25" s="115"/>
      <c r="I25" s="115"/>
      <c r="J25" s="115"/>
      <c r="K25" s="158">
        <f ca="1">MAX(vit_xz)</f>
        <v>155.35373067854024</v>
      </c>
      <c r="L25" s="494">
        <f ca="1">MAX(acc_xz)</f>
        <v>26.471700682377062</v>
      </c>
      <c r="M25" s="500"/>
      <c r="N25" s="58"/>
    </row>
    <row r="26" spans="1:18" x14ac:dyDescent="0.2">
      <c r="A26" s="59"/>
      <c r="B26" s="469" t="str">
        <f>IF(Lang="Français","Dépotage",IF(Lang="English","Delay",""))</f>
        <v>Dépotage</v>
      </c>
      <c r="C26" s="505" t="s">
        <v>407</v>
      </c>
      <c r="D26" s="535"/>
      <c r="F26" s="620" t="str">
        <f>IF(Lang="Français","Largage du satellite",IF(Lang="English","Satellite separation",""))</f>
        <v>Largage du satellite</v>
      </c>
      <c r="G26" s="601"/>
      <c r="H26" s="152">
        <f>IF(T_satellite&lt;&gt;0,T_satellite,"")</f>
        <v>4.7</v>
      </c>
      <c r="I26" s="156">
        <f ca="1">IF(T_satellite&lt;&gt;0,INDEX(pos_z,MATCH("Satellite",Event_sat,0)),"")</f>
        <v>1060.5012014920705</v>
      </c>
      <c r="J26" s="154">
        <f ca="1">IF(T_satellite&lt;&gt;0,INDEX(pos_x,MATCH("Satellite",Event_sat,0)),"")</f>
        <v>284.2021836511127</v>
      </c>
      <c r="K26" s="159">
        <f ca="1">IF(T_satellite&lt;&gt;0,INDEX(vit_xz,MATCH("Satellite",Event_sat,0)),"")</f>
        <v>71.520944821453142</v>
      </c>
      <c r="L26" s="495"/>
      <c r="M26" s="485">
        <f ca="1">1/2*Rho_moyen*1*V_ouv_sat^2*S_satellite</f>
        <v>313.30878982439242</v>
      </c>
      <c r="N26" s="58"/>
    </row>
    <row r="27" spans="1:18" x14ac:dyDescent="0.2">
      <c r="A27" s="59"/>
      <c r="B27" s="468" t="str">
        <f>IF(Lang="Français","Ouverture para",IF(Lang="English","Opening time",""))</f>
        <v>Ouverture para</v>
      </c>
      <c r="C27" s="507">
        <v>11.1</v>
      </c>
      <c r="D27" s="507">
        <v>4.7</v>
      </c>
      <c r="F27" s="619" t="s">
        <v>15</v>
      </c>
      <c r="G27" s="599"/>
      <c r="H27" s="153">
        <f ca="1">INDEX(t,MATCH("Apogée",Event,0))</f>
        <v>10.69999999999998</v>
      </c>
      <c r="I27" s="157">
        <f ca="1">INDEX(pos_z,MATCH("Apogée",Event,0))</f>
        <v>1251.5050472142614</v>
      </c>
      <c r="J27" s="155">
        <f ca="1">INDEX(pos_x,MATCH("Apogée",Event,0))</f>
        <v>433.28445605010262</v>
      </c>
      <c r="K27" s="160">
        <f ca="1">INDEX(vit_xz,MATCH("Apogée",Event,0))</f>
        <v>23.218460360659179</v>
      </c>
      <c r="L27" s="496"/>
      <c r="M27" s="500"/>
      <c r="N27" s="58"/>
    </row>
    <row r="28" spans="1:18" x14ac:dyDescent="0.2">
      <c r="A28" s="59"/>
      <c r="B28" s="534" t="s">
        <v>557</v>
      </c>
      <c r="C28" s="507" t="s">
        <v>559</v>
      </c>
      <c r="D28" s="507"/>
      <c r="F28" s="618" t="str">
        <f>IF(Lang="Français","Ouverture parachute fusée",IF(Lang="English","Rocket parachute opening",""))</f>
        <v>Ouverture parachute fusée</v>
      </c>
      <c r="G28" s="604"/>
      <c r="H28" s="152">
        <f>T_para</f>
        <v>11.1</v>
      </c>
      <c r="I28" s="156">
        <f ca="1">INDEX(pos_z,MATCH("Para",Event_para,0))</f>
        <v>1250.9790848284513</v>
      </c>
      <c r="J28" s="486">
        <f ca="1">INDEX(pos_x,MATCH("Para",Event_para,0))</f>
        <v>442.54015837711489</v>
      </c>
      <c r="K28" s="159">
        <f ca="1">INDEX(vit_xz,MATCH("Para",Event_para,0))</f>
        <v>23.300147791401784</v>
      </c>
      <c r="L28" s="495"/>
      <c r="M28" s="485">
        <f ca="1">1/2*Rho_moyen*1*V_ouverture^2*S_para</f>
        <v>159.77794697941741</v>
      </c>
      <c r="N28" s="58"/>
      <c r="P28" s="384" t="str">
        <f ca="1">IF(V_para&lt;5, IF(Lang="Français","Parachute fusée trop grand !","Parachute too big!"), IF( V_para&gt;15, IF(Lang="Français","Parachute fusée trop petit !","Parachute too small!"), ""))</f>
        <v/>
      </c>
      <c r="R28" s="384" t="str">
        <f>IF(AND(Nb_sat="1 satellite", OR(V_satellite&lt;5)), IF(Lang="Français","Parachute satéllite trop grand !","Parachute too big"), IF(AND(Nb_sat="1 satellite",OR(V_satellite&gt;15)), IF(Lang="Français","Parachute satéllite trop petit !","Parachute too small!"), ""))</f>
        <v/>
      </c>
    </row>
    <row r="29" spans="1:18" x14ac:dyDescent="0.2">
      <c r="A29" s="59"/>
      <c r="B29" s="141" t="s">
        <v>9</v>
      </c>
      <c r="C29" s="225">
        <f>IF(C28="rond",S_para_rond,IF(C28="Croix",S_para_croix,0.5))</f>
        <v>0.48049999999999998</v>
      </c>
      <c r="D29" s="17">
        <f>IF(RIGHT(Type_fusee,1)=".",0.1,0.02)</f>
        <v>0.1</v>
      </c>
      <c r="F29" s="623" t="str">
        <f>IF(Lang="Français","Impact balistique",IF(Lang="English","Balistic Impact",""))</f>
        <v>Impact balistique</v>
      </c>
      <c r="G29" s="624"/>
      <c r="H29" s="497">
        <f ca="1">INDEX(t,MATCH("Impact balistique",Event,0))</f>
        <v>29.200000000000149</v>
      </c>
      <c r="I29" s="517" t="s">
        <v>427</v>
      </c>
      <c r="J29" s="487">
        <f ca="1">INDEX(pos_x,MATCH("Impact balistique",Event,0))</f>
        <v>746.86410190403069</v>
      </c>
      <c r="K29" s="501">
        <f ca="1">K47</f>
        <v>107.12305531620984</v>
      </c>
      <c r="L29" s="498"/>
      <c r="M29" s="502">
        <f ca="1">0.5*m_vide*K29^2</f>
        <v>29164.599433380994</v>
      </c>
      <c r="N29" s="58"/>
      <c r="P29" s="384" t="str">
        <f ca="1">IF( OR( V_para&lt;5, V_para&gt;15, AND(Nb_sat="1 satellite", OR(V_satellite&lt;5, V_satellite&gt;15))), IF(Lang="Français","La Vitesse de descente sous parachute doit être comprise entre 5 &amp; 15 m/s.","Fall Velocity with parachute must be between 5 &amp; 15 m/s."), "")</f>
        <v/>
      </c>
    </row>
    <row r="30" spans="1:18" x14ac:dyDescent="0.2">
      <c r="A30" s="59"/>
      <c r="B30" s="141" t="s">
        <v>10</v>
      </c>
      <c r="C30" s="143">
        <v>1</v>
      </c>
      <c r="D30" s="143">
        <v>1</v>
      </c>
      <c r="E30" s="18" t="str">
        <f>IF(AND(T_satellite=0,m_satellite&lt;&gt;0),"Erreur !","")</f>
        <v/>
      </c>
      <c r="G30" s="483"/>
      <c r="H30" s="484"/>
      <c r="I30" s="488"/>
      <c r="N30" s="58"/>
      <c r="P30" s="384" t="str">
        <f ca="1">IF(AND(Portee_balistique&gt;200,LEFT(Type_propu,4)="Mini"),IF(Lang="Français","Fusée trop lègère !","Rocket too light"),"")</f>
        <v/>
      </c>
    </row>
    <row r="31" spans="1:18" x14ac:dyDescent="0.2">
      <c r="A31" s="59"/>
      <c r="B31" s="141" t="str">
        <f>IF(Lang="Français","Vitesse du vent",IF(Lang="English","Wind speed",""))</f>
        <v>Vitesse du vent</v>
      </c>
      <c r="C31" s="144">
        <v>5</v>
      </c>
      <c r="D31" s="144">
        <f>V_vent</f>
        <v>5</v>
      </c>
      <c r="G31" s="483"/>
      <c r="H31" s="484"/>
      <c r="I31" s="488"/>
      <c r="N31" s="58"/>
      <c r="P31" s="384" t="e">
        <f ca="1">IF(OR(AND(Vsortie_de_rampe&lt;20,LEFT(Type_fusee,1)="F"),AND(Vsortie_de_rampe&lt;18, OR(LEFT(Type_fusee,1)=",",LEFT(Type_fusee,4)="Mini",LEFT(Type_fusee,1)="R"))),IF(Lang="Français","Fusée trop lourde ou rampe trop courte !","Rocket too heavy or launch pad too small!"),"")</f>
        <v>#N/A</v>
      </c>
    </row>
    <row r="32" spans="1:18" x14ac:dyDescent="0.2">
      <c r="A32" s="59"/>
      <c r="B32" s="133" t="str">
        <f>IF(Lang="Français","Vitesse descente",IF(Lang="English","Fall velocity",""))</f>
        <v>Vitesse descente</v>
      </c>
      <c r="C32" s="424">
        <f ca="1">SQRT(2*m_vide*g/Rho_moyen/S_para/Cx_para)</f>
        <v>13.016517782506746</v>
      </c>
      <c r="D32" s="424">
        <f>SQRT(2*m_satellite*g/Rho_moyen/S_satellite/Cx_satellite)</f>
        <v>12.655562623057198</v>
      </c>
      <c r="F32" s="384"/>
      <c r="K32" s="388"/>
      <c r="N32" s="395"/>
      <c r="P32" s="384" t="str">
        <f ca="1">IF(Temps_culmi-T_para&gt;2,IF(Lang="Français","Ouverture parachute fusée précoce.","Early rocket parachute opening."),IF(Temps_culmi-T_para&lt;-2,IF(Lang="Français","Ouverture parachute fusée tardive.","Late rocket parachute opening."),""))</f>
        <v/>
      </c>
    </row>
    <row r="33" spans="1:16" x14ac:dyDescent="0.2">
      <c r="A33" s="59"/>
      <c r="B33" s="133" t="str">
        <f>IF(Lang="Français","Durée descente",IF(Lang="English","Fall duration",""))</f>
        <v>Durée descente</v>
      </c>
      <c r="C33" s="132">
        <f ca="1">Alt_para/V_para</f>
        <v>96.107046886969741</v>
      </c>
      <c r="D33" s="132">
        <f ca="1">IF(V_satellite&lt;&gt;0,Alt_sat/V_satellite,0)</f>
        <v>83.797238659302351</v>
      </c>
      <c r="H33" s="625" t="str">
        <f>IF(Lang="Français","Pour localiser la fusée","To locate the rocket")</f>
        <v>Pour localiser la fusée</v>
      </c>
      <c r="I33" s="625"/>
      <c r="J33" s="482"/>
      <c r="N33" s="395"/>
      <c r="P33" s="384" t="str">
        <f ca="1">IF(ABS(Temps_culmi-T_para)&gt;2,IF(Lang="Français","Attention, aux efforts sur le parachute lors de l'ouverture !","Becarefull to the opening chute efforts!"),"")</f>
        <v/>
      </c>
    </row>
    <row r="34" spans="1:16" customFormat="1" x14ac:dyDescent="0.2">
      <c r="A34" s="59"/>
      <c r="B34" s="133" t="str">
        <f>IF(Lang="Français","Durée du vol",IF(Lang="English","Fligth duration",""))</f>
        <v>Durée du vol</v>
      </c>
      <c r="C34" s="132">
        <f ca="1">T_para+Dt_para</f>
        <v>107.20704688696974</v>
      </c>
      <c r="D34" s="132">
        <f ca="1">T_satellite+Dt_satellite</f>
        <v>88.497238659302354</v>
      </c>
      <c r="F34" s="625" t="str">
        <f>IF(Lang="Français","Couleur fuselage/coiffe","Body/Nose color")</f>
        <v>Couleur fuselage/coiffe</v>
      </c>
      <c r="G34" s="625"/>
      <c r="H34" s="621" t="s">
        <v>266</v>
      </c>
      <c r="I34" s="622"/>
      <c r="J34" s="1"/>
      <c r="K34" s="1"/>
      <c r="L34" s="1"/>
      <c r="M34" s="1"/>
      <c r="N34" s="394"/>
    </row>
    <row r="35" spans="1:16" x14ac:dyDescent="0.2">
      <c r="A35" s="74"/>
      <c r="B35" s="133" t="str">
        <f>IF(Lang="Français","Déport latéral",IF(Lang="English","Lateral shift",""))</f>
        <v>Déport latéral</v>
      </c>
      <c r="C35" s="151">
        <f ca="1">Alt_para*V_vent/V_para</f>
        <v>480.53523443484869</v>
      </c>
      <c r="D35" s="151">
        <f ca="1">IF(V_satellite&lt;&gt;0,Alt_sat*V_vent_sat/V_satellite,0)</f>
        <v>418.98619329651171</v>
      </c>
      <c r="F35" s="625" t="str">
        <f>IF(Lang="Français","Couleur parachute fusée","Rocket parachute color")</f>
        <v>Couleur parachute fusée</v>
      </c>
      <c r="G35" s="625"/>
      <c r="H35" s="621" t="s">
        <v>267</v>
      </c>
      <c r="I35" s="622"/>
      <c r="J35"/>
      <c r="K35"/>
      <c r="L35"/>
      <c r="M35"/>
      <c r="N35" s="394" t="str">
        <f>IF(Lang="Français","fichier initial","Initial file")</f>
        <v>fichier initial</v>
      </c>
      <c r="P35"/>
    </row>
    <row r="36" spans="1:16" x14ac:dyDescent="0.2">
      <c r="A36" s="59"/>
      <c r="F36" s="625" t="str">
        <f>IF(Lang="Français","Couleur parachute satellite","Satellite parachute color")</f>
        <v>Couleur parachute satellite</v>
      </c>
      <c r="G36" s="625"/>
      <c r="H36" s="629" t="s">
        <v>158</v>
      </c>
      <c r="I36" s="629"/>
      <c r="N36" s="393" t="str">
        <f>IF(ROUND(SUM(Propu!5:1228),0)=437735,"propu OK","propu NOK")</f>
        <v>propu OK</v>
      </c>
      <c r="P36"/>
    </row>
    <row r="37" spans="1:16" ht="13.5" thickBot="1" x14ac:dyDescent="0.25">
      <c r="A37" s="60"/>
      <c r="B37" s="181" t="str">
        <f>IF(Lang="Français","Commentaire libre :",IF(Lang="English","Free comment:",""))</f>
        <v>Commentaire libre :</v>
      </c>
      <c r="C37" s="61"/>
      <c r="D37" s="61"/>
      <c r="E37" s="61"/>
      <c r="F37" s="61"/>
      <c r="G37" s="61"/>
      <c r="H37" s="61"/>
      <c r="I37" s="61"/>
      <c r="J37" s="61"/>
      <c r="K37" s="61"/>
      <c r="L37" s="61"/>
      <c r="M37" s="61"/>
      <c r="N37" s="290" t="s">
        <v>566</v>
      </c>
    </row>
    <row r="40" spans="1:16" x14ac:dyDescent="0.2">
      <c r="A40" s="626" t="str">
        <f>IF(Lang="Français","Calcul de la surface d'un parachute","Parachute surface calculation")</f>
        <v>Calcul de la surface d'un parachute</v>
      </c>
      <c r="B40" s="627"/>
      <c r="C40" s="627"/>
      <c r="D40" s="628"/>
      <c r="F40" s="626" t="str">
        <f>IF(Lang="Français","Résultats détaillés","Detailled results")</f>
        <v>Résultats détaillés</v>
      </c>
      <c r="G40" s="628"/>
      <c r="H40" s="170" t="str">
        <f>IF(Lang="Français","Temps",IF(Lang="English","Time",""))</f>
        <v>Temps</v>
      </c>
      <c r="I40" s="134" t="s">
        <v>12</v>
      </c>
      <c r="J40" s="134" t="str">
        <f>IF(Lang="Français","Portée x",IF(Lang="English","Range x",""))</f>
        <v>Portée x</v>
      </c>
      <c r="K40" s="134" t="str">
        <f>IF(Lang="Français","Vitesse",IF(Lang="English","Velocity",""))</f>
        <v>Vitesse</v>
      </c>
      <c r="L40" s="135" t="s">
        <v>13</v>
      </c>
      <c r="M40" s="134" t="s">
        <v>41</v>
      </c>
    </row>
    <row r="41" spans="1:16" x14ac:dyDescent="0.2">
      <c r="A41" s="161"/>
      <c r="D41" s="162"/>
      <c r="F41" s="172"/>
      <c r="G41" s="173"/>
      <c r="H41" s="171" t="s">
        <v>153</v>
      </c>
      <c r="I41" s="136" t="s">
        <v>38</v>
      </c>
      <c r="J41" s="136" t="s">
        <v>38</v>
      </c>
      <c r="K41" s="136" t="s">
        <v>154</v>
      </c>
      <c r="L41" s="136" t="s">
        <v>7</v>
      </c>
      <c r="M41" s="136" t="s">
        <v>155</v>
      </c>
    </row>
    <row r="42" spans="1:16" x14ac:dyDescent="0.2">
      <c r="A42" s="161"/>
      <c r="D42" s="162"/>
      <c r="F42" s="598" t="str">
        <f>IF(Lang="Français","Décollage",IF(Lang="English","Lift-Off",""))</f>
        <v>Décollage</v>
      </c>
      <c r="G42" s="598"/>
      <c r="H42" s="150">
        <v>0</v>
      </c>
      <c r="I42" s="150">
        <v>574.95818926659933</v>
      </c>
      <c r="J42" s="150">
        <v>133.2454606677656</v>
      </c>
      <c r="K42" s="150">
        <v>155.35373067854024</v>
      </c>
      <c r="L42" s="148" t="s">
        <v>14</v>
      </c>
      <c r="M42" s="149">
        <f>Beta_rampe</f>
        <v>75.474708385400717</v>
      </c>
    </row>
    <row r="43" spans="1:16" x14ac:dyDescent="0.2">
      <c r="A43" s="161"/>
      <c r="B43" s="166" t="str">
        <f>IF(Lang="Français","Bord   'a'","Side length 'a'")</f>
        <v>Bord   'a'</v>
      </c>
      <c r="D43" s="162"/>
      <c r="F43" s="599" t="str">
        <f>IF(Lang="Français","Sortie de Rampe",IF(Lang="English","Launch-Pad Exit",""))</f>
        <v>Sortie de Rampe</v>
      </c>
      <c r="G43" s="599"/>
      <c r="H43" s="115" t="e">
        <f ca="1">INDEX(t,MATCH("Sortie de rampe",Event,0))</f>
        <v>#N/A</v>
      </c>
      <c r="I43" s="115" t="e">
        <f ca="1">INDEX(pos_z,MATCH("Sortie de rampe",Event,0))</f>
        <v>#N/A</v>
      </c>
      <c r="J43" s="115" t="e">
        <f ca="1">INDEX(pos_x,MATCH("Sortie de rampe",Event,0))</f>
        <v>#N/A</v>
      </c>
      <c r="K43" s="116" t="e">
        <f ca="1">INDEX(vit_xz,MATCH("Sortie de rampe",Event,0))</f>
        <v>#N/A</v>
      </c>
      <c r="L43" s="116" t="e">
        <f ca="1">INDEX(acc_xz,MATCH("Sortie de rampe",Event,0))</f>
        <v>#N/A</v>
      </c>
      <c r="M43" s="116" t="e">
        <f ca="1">INDEX(BetaD,MATCH("Sortie de rampe",Event,0))</f>
        <v>#N/A</v>
      </c>
    </row>
    <row r="44" spans="1:16" x14ac:dyDescent="0.2">
      <c r="A44" s="161"/>
      <c r="B44" s="167">
        <v>310</v>
      </c>
      <c r="D44" s="162"/>
      <c r="F44" s="599" t="str">
        <f>IF(Lang="Français","Vit max &amp; Acc max",IF(Lang="English","Max Velocity &amp; Acc",""))</f>
        <v>Vit max &amp; Acc max</v>
      </c>
      <c r="G44" s="599"/>
      <c r="H44" s="115" t="s">
        <v>14</v>
      </c>
      <c r="I44" s="115" t="s">
        <v>14</v>
      </c>
      <c r="J44" s="115" t="s">
        <v>14</v>
      </c>
      <c r="K44" s="117">
        <f ca="1">MAX(vit_xz)</f>
        <v>155.35373067854024</v>
      </c>
      <c r="L44" s="118">
        <f ca="1">MAX(acc_xz)</f>
        <v>26.471700682377062</v>
      </c>
      <c r="M44" s="116" t="s">
        <v>14</v>
      </c>
    </row>
    <row r="45" spans="1:16" x14ac:dyDescent="0.2">
      <c r="A45" s="161"/>
      <c r="B45" s="166" t="str">
        <f>IF(Lang="Français","Coté   'b'","Side width 'b'")</f>
        <v>Coté   'b'</v>
      </c>
      <c r="D45" s="162"/>
      <c r="F45" s="599" t="str">
        <f>IF(Lang="Français","Fin de Propulsion",IF(Lang="English","Motor Burn-Out",""))</f>
        <v>Fin de Propulsion</v>
      </c>
      <c r="G45" s="599"/>
      <c r="H45" s="116">
        <f ca="1">INDEX(t,MATCH("Fin de propulsion",Event,0))</f>
        <v>0.21000000000000005</v>
      </c>
      <c r="I45" s="119">
        <f ca="1">INDEX(pos_z,MATCH("Fin de propulsion",Event,0))</f>
        <v>605.97174333735904</v>
      </c>
      <c r="J45" s="119">
        <f ca="1">INDEX(pos_x,MATCH("Fin de propulsion",Event,0))</f>
        <v>141.33637554025162</v>
      </c>
      <c r="K45" s="119">
        <f ca="1">INDEX(vit_xz,MATCH("Fin de propulsion",Event,0))</f>
        <v>149.94186846413572</v>
      </c>
      <c r="L45" s="116">
        <f ca="1">INDEX(acc_xz,MATCH("Fin de propulsion",Event,0))</f>
        <v>25.324344933494192</v>
      </c>
      <c r="M45" s="116">
        <f ca="1">INDEX(BetaD,MATCH("Fin de propulsion",Event,0))</f>
        <v>75.279346756909376</v>
      </c>
    </row>
    <row r="46" spans="1:16" x14ac:dyDescent="0.2">
      <c r="A46" s="161"/>
      <c r="B46" s="168">
        <v>310</v>
      </c>
      <c r="D46" s="162"/>
      <c r="F46" s="599" t="s">
        <v>15</v>
      </c>
      <c r="G46" s="599"/>
      <c r="H46" s="118">
        <f ca="1">INDEX(t,MATCH("Apogée",Event,0))</f>
        <v>10.69999999999998</v>
      </c>
      <c r="I46" s="117">
        <f ca="1">INDEX(pos_z,MATCH("Apogée",Event,0))</f>
        <v>1251.5050472142614</v>
      </c>
      <c r="J46" s="120">
        <f ca="1">INDEX(pos_x,MATCH("Apogée",Event,0))</f>
        <v>433.28445605010262</v>
      </c>
      <c r="K46" s="120">
        <f ca="1">INDEX(vit_xz,MATCH("Apogée",Event,0))</f>
        <v>23.218460360659179</v>
      </c>
      <c r="L46" s="116">
        <f ca="1">INDEX(acc_xz,MATCH("Apogée",Event,0))</f>
        <v>9.8411496648679293</v>
      </c>
      <c r="M46" s="121">
        <f ca="1">INDEX(BetaD,MATCH("Apogée",Event,0))</f>
        <v>1.5954456861238706</v>
      </c>
    </row>
    <row r="47" spans="1:16" x14ac:dyDescent="0.2">
      <c r="A47" s="161"/>
      <c r="B47" s="169" t="s">
        <v>9</v>
      </c>
      <c r="D47" s="162"/>
      <c r="F47" s="602" t="str">
        <f>IF(Lang="Français","Impact balistique",IF(Lang="English","Balistic Impact",""))</f>
        <v>Impact balistique</v>
      </c>
      <c r="G47" s="602"/>
      <c r="H47" s="116">
        <f ca="1">INDEX(t,MATCH("Impact balistique",Event,0))</f>
        <v>29.200000000000149</v>
      </c>
      <c r="I47" s="148" t="s">
        <v>16</v>
      </c>
      <c r="J47" s="117">
        <f ca="1">INDEX(pos_x,MATCH("Impact balistique",Event,0))</f>
        <v>746.86410190403069</v>
      </c>
      <c r="K47" s="119">
        <f ca="1">INDEX(vit_xz,MATCH("Impact balistique",Event,0))</f>
        <v>107.12305531620984</v>
      </c>
      <c r="L47" s="116">
        <f ca="1">INDEX(acc_xz,MATCH("Impact balistique",Event,0))</f>
        <v>1.5630374039344381</v>
      </c>
      <c r="M47" s="116">
        <f ca="1">INDEX(BetaD,MATCH("Impact balistique",Event,0))</f>
        <v>-85.051569733286485</v>
      </c>
    </row>
    <row r="48" spans="1:16" x14ac:dyDescent="0.2">
      <c r="A48" s="161"/>
      <c r="B48" s="174">
        <f>(4*B44*B46+B44^2)/10^6</f>
        <v>0.48049999999999998</v>
      </c>
      <c r="D48" s="162"/>
      <c r="F48" s="604" t="str">
        <f>IF(Lang="Français","Ouverture parachute fusée",IF(Lang="English","Rocket parachute opening",""))</f>
        <v>Ouverture parachute fusée</v>
      </c>
      <c r="G48" s="604"/>
      <c r="H48" s="122">
        <f>T_para</f>
        <v>11.1</v>
      </c>
      <c r="I48" s="123">
        <f ca="1">INDEX(pos_z,MATCH("Para",Event_para,0))</f>
        <v>1250.9790848284513</v>
      </c>
      <c r="J48" s="123">
        <f ca="1">INDEX(pos_x,MATCH("Para",Event_para,0))</f>
        <v>442.54015837711489</v>
      </c>
      <c r="K48" s="123">
        <f ca="1">INDEX(vit_xz,MATCH("Para",Event_para,0))</f>
        <v>23.300147791401784</v>
      </c>
      <c r="L48" s="122">
        <f ca="1">INDEX(acc_xz,MATCH("Para",Event_para,0))</f>
        <v>9.7814840483790615</v>
      </c>
      <c r="M48" s="124">
        <f ca="1">INDEX(BetaD,MATCH("Para",Event_para,0))</f>
        <v>-8.0739958080645042</v>
      </c>
    </row>
    <row r="49" spans="1:13" x14ac:dyDescent="0.2">
      <c r="A49" s="161"/>
      <c r="D49" s="162"/>
      <c r="F49" s="603" t="str">
        <f>IF(Lang="Français","Impact fusée sous para.",IF(Lang="English","Impact of rocket with para. ",""))</f>
        <v>Impact fusée sous para.</v>
      </c>
      <c r="G49" s="603"/>
      <c r="H49" s="125">
        <f ca="1">T_para+Dt_para</f>
        <v>107.20704688696974</v>
      </c>
      <c r="I49" s="127" t="s">
        <v>16</v>
      </c>
      <c r="J49" s="126" t="str">
        <f ca="1">CONCATENATE(TEXT(X_para-Dx_para,"0")," | ",TEXT(X_para+Dx_para,"0"))</f>
        <v>-38 | 923</v>
      </c>
      <c r="K49" s="126">
        <f ca="1">V_para</f>
        <v>13.016517782506746</v>
      </c>
      <c r="L49" s="128">
        <f>g</f>
        <v>9.81</v>
      </c>
      <c r="M49" s="128" t="s">
        <v>14</v>
      </c>
    </row>
    <row r="50" spans="1:13" x14ac:dyDescent="0.2">
      <c r="A50" s="161"/>
      <c r="D50" s="162"/>
      <c r="F50" s="600" t="str">
        <f>IF(Lang="Français","Largage du satellite",IF(Lang="English","Satellite separation",""))</f>
        <v>Largage du satellite</v>
      </c>
      <c r="G50" s="601"/>
      <c r="H50" s="122">
        <f>IF(T_satellite&lt;&gt;0,T_satellite,"")</f>
        <v>4.7</v>
      </c>
      <c r="I50" s="123">
        <f ca="1">IF(T_satellite&lt;&gt;0,INDEX(pos_z,MATCH("Satellite",Event_sat,0)),"")</f>
        <v>1060.5012014920705</v>
      </c>
      <c r="J50" s="129">
        <f ca="1">IF(T_satellite&lt;&gt;0,INDEX(pos_x,MATCH("Satellite",Event_sat,0)),"")</f>
        <v>284.2021836511127</v>
      </c>
      <c r="K50" s="123">
        <f ca="1">IF(T_satellite&lt;&gt;0,INDEX(vit_xz,MATCH("Satellite",Event_sat,0)),"")</f>
        <v>71.520944821453142</v>
      </c>
      <c r="L50" s="122">
        <f ca="1">IF(T_satellite&lt;&gt;0,INDEX(acc_xz,MATCH("Satellite",Event_sat,0)),"")</f>
        <v>13.142229947357466</v>
      </c>
      <c r="M50" s="124">
        <f ca="1">IF(T_satellite&lt;&gt;0,INDEX(BetaD,MATCH("Satellite",Event_sat,0)),"")</f>
        <v>67.426340672407292</v>
      </c>
    </row>
    <row r="51" spans="1:13" x14ac:dyDescent="0.2">
      <c r="A51" s="161"/>
      <c r="B51" s="166" t="str">
        <f>IF(Lang="Français","Rayon exterieur","Half-diameter ext")</f>
        <v>Rayon exterieur</v>
      </c>
      <c r="D51" s="162"/>
      <c r="F51" s="596" t="str">
        <f>IF(Lang="Français","Impact du satellite",IF(Lang="English","Satellite impact",""))</f>
        <v>Impact du satellite</v>
      </c>
      <c r="G51" s="597"/>
      <c r="H51" s="125">
        <f ca="1">IF(T_satellite&lt;&gt;0,T_satellite+Dt_satellite,"")</f>
        <v>88.497238659302354</v>
      </c>
      <c r="I51" s="130" t="str">
        <f>IF(T_satellite&lt;&gt;0,"~0","")</f>
        <v>~0</v>
      </c>
      <c r="J51" s="130" t="str">
        <f ca="1">IF(T_satellite&lt;&gt;0,CONCATENATE(TEXT(X_satellite-Dx_sat,"0")," | ",TEXT(X_satellite+Dx_sat,"0")),"")</f>
        <v>-135 | 703</v>
      </c>
      <c r="K51" s="130">
        <f>IF(T_satellite&lt;&gt;0,V_satellite,"")</f>
        <v>12.655562623057198</v>
      </c>
      <c r="L51" s="128">
        <f>IF(T_satellite&lt;&gt;0,g,"")</f>
        <v>9.81</v>
      </c>
      <c r="M51" s="131" t="str">
        <f>IF(T_satellite&lt;&gt;0,"-","")</f>
        <v>-</v>
      </c>
    </row>
    <row r="52" spans="1:13" x14ac:dyDescent="0.2">
      <c r="A52" s="161"/>
      <c r="B52" s="168">
        <v>299</v>
      </c>
      <c r="D52" s="162"/>
    </row>
    <row r="53" spans="1:13" x14ac:dyDescent="0.2">
      <c r="A53" s="161"/>
      <c r="B53" s="166" t="str">
        <f>IF(Lang="Français","Rayon intérieur","Half-diameter int")</f>
        <v>Rayon intérieur</v>
      </c>
      <c r="D53" s="162"/>
    </row>
    <row r="54" spans="1:13" x14ac:dyDescent="0.2">
      <c r="A54" s="161"/>
      <c r="B54" s="168">
        <v>29</v>
      </c>
      <c r="D54" s="162"/>
    </row>
    <row r="55" spans="1:13" x14ac:dyDescent="0.2">
      <c r="A55" s="161"/>
      <c r="B55" s="169" t="s">
        <v>9</v>
      </c>
      <c r="D55" s="162"/>
    </row>
    <row r="56" spans="1:13" x14ac:dyDescent="0.2">
      <c r="A56" s="161"/>
      <c r="B56" s="174">
        <f>PI()*(B52^2-B54^2)/10^6</f>
        <v>0.27821944540191207</v>
      </c>
      <c r="D56" s="162"/>
    </row>
    <row r="57" spans="1:13" x14ac:dyDescent="0.2">
      <c r="A57" s="163"/>
      <c r="B57" s="164"/>
      <c r="C57" s="164"/>
      <c r="D57" s="165"/>
    </row>
    <row r="94" spans="2:2" x14ac:dyDescent="0.2">
      <c r="B94" s="24" t="str">
        <f>IF(Lang="Français","Vitesse de descente sous parachute :",IF(Lang="English","Fall velocity over parachute:",""))</f>
        <v>Vitesse de descente sous parachute :</v>
      </c>
    </row>
    <row r="103" spans="2:9" x14ac:dyDescent="0.2">
      <c r="B103" s="24" t="str">
        <f>IF(Lang="Français","Textes pour les listes déroulantes et graphiques :","Texts for drop-down lists &amp; graphics :")</f>
        <v>Textes pour les listes déroulantes et graphiques :</v>
      </c>
    </row>
    <row r="104" spans="2:9" x14ac:dyDescent="0.2">
      <c r="F104" s="221" t="s">
        <v>407</v>
      </c>
      <c r="G104" s="1" t="s">
        <v>414</v>
      </c>
      <c r="I104" s="1" t="s">
        <v>558</v>
      </c>
    </row>
    <row r="105" spans="2:9" x14ac:dyDescent="0.2">
      <c r="B105" s="1" t="s">
        <v>120</v>
      </c>
      <c r="F105" s="477">
        <f ca="1">Combustion+Depotage-9</f>
        <v>-9</v>
      </c>
      <c r="G105" s="478" t="s">
        <v>409</v>
      </c>
      <c r="I105" s="1" t="s">
        <v>559</v>
      </c>
    </row>
    <row r="106" spans="2:9" x14ac:dyDescent="0.2">
      <c r="B106" s="1" t="s">
        <v>121</v>
      </c>
      <c r="F106" s="477">
        <f ca="1">Combustion+Depotage-7</f>
        <v>-7</v>
      </c>
      <c r="G106" s="478" t="s">
        <v>410</v>
      </c>
      <c r="I106" s="1" t="s">
        <v>560</v>
      </c>
    </row>
    <row r="107" spans="2:9" x14ac:dyDescent="0.2">
      <c r="B107" s="1" t="str">
        <f>IF(T_para&gt;0,IF(Lang="Français","Phase ascendante","Climbing phase"),"")</f>
        <v>Phase ascendante</v>
      </c>
      <c r="F107" s="477">
        <f ca="1">Combustion+Depotage-5</f>
        <v>-5</v>
      </c>
      <c r="G107" s="478" t="s">
        <v>411</v>
      </c>
    </row>
    <row r="108" spans="2:9" x14ac:dyDescent="0.2">
      <c r="B108" s="1" t="str">
        <f>IF(Lang="Français","Descente balistique","Balistic fall")</f>
        <v>Descente balistique</v>
      </c>
      <c r="F108" s="477">
        <f ca="1">Combustion+Depotage-3</f>
        <v>-3</v>
      </c>
      <c r="G108" s="478" t="s">
        <v>412</v>
      </c>
    </row>
    <row r="109" spans="2:9" x14ac:dyDescent="0.2">
      <c r="B109" s="1" t="str">
        <f>IF(T_para&gt;0,IF(Lang="Français","Fusée sous parachute","Rocket under parachute"),"")</f>
        <v>Fusée sous parachute</v>
      </c>
      <c r="F109" s="477">
        <f ca="1">Combustion+Depotage</f>
        <v>0</v>
      </c>
      <c r="G109" s="478" t="s">
        <v>413</v>
      </c>
    </row>
    <row r="110" spans="2:9" x14ac:dyDescent="0.2">
      <c r="B110" s="1" t="str">
        <f>IF(AND(Nb_sat="1 satellite",T_satellite&gt;0),IF(Lang="Français","Satellite sous parachute","Satellite over parachute"),"")</f>
        <v/>
      </c>
      <c r="F110" s="479" t="str">
        <f>IF(Lang="Français","autre",IF(Lang="English","other",""))</f>
        <v>autre</v>
      </c>
    </row>
    <row r="111" spans="2:9" x14ac:dyDescent="0.2">
      <c r="B111" s="1" t="str">
        <f>IF(Lang="Français","Trajectoire (x z)","Trajectory (x z)")</f>
        <v>Trajectoire (x z)</v>
      </c>
    </row>
    <row r="112" spans="2:9" x14ac:dyDescent="0.2">
      <c r="B112" s="1" t="str">
        <f>IF(Lang="Français","Portée x [m]","Range x [m]")</f>
        <v>Portée x [m]</v>
      </c>
    </row>
    <row r="113" spans="2:3" x14ac:dyDescent="0.2">
      <c r="B113" s="1" t="str">
        <f>IF(Lang="Français","Temps [s]","Time [s]")</f>
        <v>Temps [s]</v>
      </c>
    </row>
    <row r="114" spans="2:3" x14ac:dyDescent="0.2">
      <c r="B114" s="1" t="str">
        <f>IF(Lang="Français","Altitude z  /  Temps","Altitude z  /  Time")</f>
        <v>Altitude z  /  Temps</v>
      </c>
      <c r="C114" s="1">
        <f>IF(OR(C26=F104,C26=F110),C27,C26)</f>
        <v>11.1</v>
      </c>
    </row>
    <row r="116" spans="2:3" x14ac:dyDescent="0.2">
      <c r="B116" s="1" t="s">
        <v>408</v>
      </c>
    </row>
    <row r="118" spans="2:3" x14ac:dyDescent="0.2">
      <c r="B118" s="24" t="str">
        <f>IF(Lang="Français","Données pour les graphiques :","Data for plots:")</f>
        <v>Données pour les graphiques :</v>
      </c>
    </row>
    <row r="120" spans="2:3" x14ac:dyDescent="0.2">
      <c r="B120" s="210" t="s">
        <v>47</v>
      </c>
      <c r="C120" s="211" t="s">
        <v>47</v>
      </c>
    </row>
    <row r="121" spans="2:3" x14ac:dyDescent="0.2">
      <c r="B121" s="218">
        <f ca="1">MAX(Altitude_culmi,Portee_balistique)</f>
        <v>1251.5050472142614</v>
      </c>
      <c r="C121" s="216">
        <f ca="1">MAX(Altitude_culmi,Portee_balistique)</f>
        <v>1251.5050472142614</v>
      </c>
    </row>
    <row r="123" spans="2:3" x14ac:dyDescent="0.2">
      <c r="B123" s="210" t="s">
        <v>49</v>
      </c>
      <c r="C123" s="211" t="s">
        <v>45</v>
      </c>
    </row>
    <row r="124" spans="2:3" x14ac:dyDescent="0.2">
      <c r="B124" s="217">
        <f ca="1">X_para</f>
        <v>442.54015837711489</v>
      </c>
      <c r="C124" s="214">
        <f ca="1">Alt_para</f>
        <v>1250.9790848284513</v>
      </c>
    </row>
    <row r="125" spans="2:3" x14ac:dyDescent="0.2">
      <c r="B125" s="217">
        <f ca="1">X_para</f>
        <v>442.54015837711489</v>
      </c>
      <c r="C125" s="214">
        <f ca="1">Alt_para/2</f>
        <v>625.48954241422564</v>
      </c>
    </row>
    <row r="126" spans="2:3" x14ac:dyDescent="0.2">
      <c r="B126" s="217">
        <f ca="1">X_para</f>
        <v>442.54015837711489</v>
      </c>
      <c r="C126" s="214">
        <v>0</v>
      </c>
    </row>
    <row r="127" spans="2:3" x14ac:dyDescent="0.2">
      <c r="B127" s="217">
        <f ca="1">X_para+Alt_para/40</f>
        <v>473.8146354978262</v>
      </c>
      <c r="C127" s="214">
        <f ca="1">Alt_para/20</f>
        <v>62.548954241422564</v>
      </c>
    </row>
    <row r="128" spans="2:3" x14ac:dyDescent="0.2">
      <c r="B128" s="217">
        <f ca="1">X_para</f>
        <v>442.54015837711489</v>
      </c>
      <c r="C128" s="214">
        <v>0</v>
      </c>
    </row>
    <row r="129" spans="2:6" x14ac:dyDescent="0.2">
      <c r="B129" s="217">
        <f ca="1">X_para-Alt_para/40</f>
        <v>411.26568125640358</v>
      </c>
      <c r="C129" s="214">
        <f ca="1">Alt_para/20</f>
        <v>62.548954241422564</v>
      </c>
    </row>
    <row r="130" spans="2:6" x14ac:dyDescent="0.2">
      <c r="B130" s="218">
        <f ca="1">X_para</f>
        <v>442.54015837711489</v>
      </c>
      <c r="C130" s="219">
        <v>0</v>
      </c>
    </row>
    <row r="131" spans="2:6" x14ac:dyDescent="0.2">
      <c r="B131" s="210" t="s">
        <v>48</v>
      </c>
      <c r="C131" s="211" t="s">
        <v>45</v>
      </c>
    </row>
    <row r="132" spans="2:6" x14ac:dyDescent="0.2">
      <c r="B132" s="213">
        <f>T_para</f>
        <v>11.1</v>
      </c>
      <c r="C132" s="214">
        <f ca="1">Alt_para</f>
        <v>1250.9790848284513</v>
      </c>
    </row>
    <row r="133" spans="2:6" x14ac:dyDescent="0.2">
      <c r="B133" s="213">
        <f ca="1">(B132+B134)/2</f>
        <v>59.153523443484865</v>
      </c>
      <c r="C133" s="214">
        <f ca="1">(C132+C134)/2</f>
        <v>625.48954241422564</v>
      </c>
      <c r="E133" s="232">
        <v>1</v>
      </c>
      <c r="F133" s="233" t="s">
        <v>175</v>
      </c>
    </row>
    <row r="134" spans="2:6" x14ac:dyDescent="0.2">
      <c r="B134" s="213">
        <f ca="1">H49</f>
        <v>107.20704688696974</v>
      </c>
      <c r="C134" s="214">
        <f>0</f>
        <v>0</v>
      </c>
      <c r="E134" s="161">
        <v>1</v>
      </c>
      <c r="F134" s="234" t="s">
        <v>176</v>
      </c>
    </row>
    <row r="135" spans="2:6" x14ac:dyDescent="0.2">
      <c r="B135" s="213">
        <f ca="1">H49+E133*sS/2*zZ_fus-E134*sS*tT_fus</f>
        <v>106.04937775925066</v>
      </c>
      <c r="C135" s="214">
        <f ca="1">Alt_para-V_para*(H49-T_para)+E133*sS*Altitude_culmi/H49*zZ_fus+E134*sS/2*Altitude_culmi/H49*tT_fus</f>
        <v>49.366230618069672</v>
      </c>
      <c r="E135" s="161"/>
      <c r="F135" s="241" t="s">
        <v>177</v>
      </c>
    </row>
    <row r="136" spans="2:6" x14ac:dyDescent="0.2">
      <c r="B136" s="213">
        <f ca="1">H49</f>
        <v>107.20704688696974</v>
      </c>
      <c r="C136" s="214">
        <f ca="1">Alt_para-V_para*(H49-T_para)</f>
        <v>0</v>
      </c>
      <c r="E136" s="235" t="s">
        <v>172</v>
      </c>
      <c r="F136" s="236">
        <f ca="1">T_balistique/10</f>
        <v>2.920000000000015</v>
      </c>
    </row>
    <row r="137" spans="2:6" x14ac:dyDescent="0.2">
      <c r="B137" s="213">
        <f ca="1">H49-E133*sS/2*zZ_fus-E134*sS*tT_fus</f>
        <v>103.12937775925064</v>
      </c>
      <c r="C137" s="214">
        <f ca="1">Alt_para-V_para*(H49-T_para)+E133*sS*Altitude_culmi/H49*zZ_fus-E134*sS/2*Altitude_culmi/H49*tT_fus</f>
        <v>18.808294172610452</v>
      </c>
      <c r="E137" s="235" t="s">
        <v>173</v>
      </c>
      <c r="F137" s="236">
        <f ca="1">(H49-T_para)/H49</f>
        <v>0.89646203004077785</v>
      </c>
    </row>
    <row r="138" spans="2:6" x14ac:dyDescent="0.2">
      <c r="B138" s="215">
        <f ca="1">H49</f>
        <v>107.20704688696974</v>
      </c>
      <c r="C138" s="216">
        <f ca="1">Alt_para-V_para*(H49-T_para)</f>
        <v>0</v>
      </c>
      <c r="E138" s="237" t="s">
        <v>174</v>
      </c>
      <c r="F138" s="238">
        <f ca="1">V_para*(H49-T_para)/Alt_para</f>
        <v>1</v>
      </c>
    </row>
    <row r="140" spans="2:6" x14ac:dyDescent="0.2">
      <c r="B140" s="210" t="s">
        <v>51</v>
      </c>
      <c r="C140" s="211" t="s">
        <v>46</v>
      </c>
    </row>
    <row r="141" spans="2:6" x14ac:dyDescent="0.2">
      <c r="B141" s="217" t="b">
        <f>IF(Nb_sat="1 satellite",X_satellite)</f>
        <v>0</v>
      </c>
      <c r="C141" s="214" t="b">
        <f>IF(Nb_sat="1 satellite",Alt_sat)</f>
        <v>0</v>
      </c>
    </row>
    <row r="142" spans="2:6" x14ac:dyDescent="0.2">
      <c r="B142" s="217" t="b">
        <f>IF(Nb_sat="1 satellite",X_satellite)</f>
        <v>0</v>
      </c>
      <c r="C142" s="214" t="b">
        <f>IF(Nb_sat="1 satellite",Alt_sat*1/4)</f>
        <v>0</v>
      </c>
    </row>
    <row r="143" spans="2:6" x14ac:dyDescent="0.2">
      <c r="B143" s="217" t="b">
        <f>IF(Nb_sat="1 satellite",X_satellite)</f>
        <v>0</v>
      </c>
      <c r="C143" s="214" t="b">
        <f>IF(Nb_sat="1 satellite",0)</f>
        <v>0</v>
      </c>
    </row>
    <row r="144" spans="2:6" x14ac:dyDescent="0.2">
      <c r="B144" s="217" t="b">
        <f>IF(Nb_sat="1 satellite",X_satellite+Alt_sat/40)</f>
        <v>0</v>
      </c>
      <c r="C144" s="214" t="b">
        <f>IF(Nb_sat="1 satellite",Alt_sat/20)</f>
        <v>0</v>
      </c>
    </row>
    <row r="145" spans="2:6" x14ac:dyDescent="0.2">
      <c r="B145" s="217" t="b">
        <f>IF(Nb_sat="1 satellite",X_satellite)</f>
        <v>0</v>
      </c>
      <c r="C145" s="214" t="b">
        <f>IF(Nb_sat="1 satellite",0)</f>
        <v>0</v>
      </c>
    </row>
    <row r="146" spans="2:6" x14ac:dyDescent="0.2">
      <c r="B146" s="217" t="b">
        <f>IF(Nb_sat="1 satellite",X_satellite-Alt_sat/40)</f>
        <v>0</v>
      </c>
      <c r="C146" s="214" t="b">
        <f>IF(Nb_sat="1 satellite",Alt_sat/20)</f>
        <v>0</v>
      </c>
    </row>
    <row r="147" spans="2:6" x14ac:dyDescent="0.2">
      <c r="B147" s="218" t="b">
        <f>IF(Nb_sat="1 satellite",X_satellite)</f>
        <v>0</v>
      </c>
      <c r="C147" s="214" t="b">
        <f>IF(Nb_sat="1 satellite",0)</f>
        <v>0</v>
      </c>
    </row>
    <row r="148" spans="2:6" x14ac:dyDescent="0.2">
      <c r="B148" s="210" t="s">
        <v>50</v>
      </c>
      <c r="C148" s="211" t="s">
        <v>46</v>
      </c>
    </row>
    <row r="149" spans="2:6" x14ac:dyDescent="0.2">
      <c r="B149" s="213" t="b">
        <f>IF(Nb_sat="1 satellite",T_satellite)</f>
        <v>0</v>
      </c>
      <c r="C149" s="214" t="b">
        <f>IF(Nb_sat="1 satellite",Alt_sat)</f>
        <v>0</v>
      </c>
      <c r="D149" s="221"/>
    </row>
    <row r="150" spans="2:6" x14ac:dyDescent="0.2">
      <c r="B150" s="213">
        <f>(B149+B151)/2</f>
        <v>0</v>
      </c>
      <c r="C150" s="214">
        <f>(C149+C151)/2</f>
        <v>0</v>
      </c>
      <c r="D150" s="221"/>
    </row>
    <row r="151" spans="2:6" x14ac:dyDescent="0.2">
      <c r="B151" s="213" t="b">
        <f>IF(Nb_sat="1 satellite",H51)</f>
        <v>0</v>
      </c>
      <c r="C151" s="214" t="b">
        <f>IF(Nb_sat="1 satellite",0)</f>
        <v>0</v>
      </c>
    </row>
    <row r="152" spans="2:6" x14ac:dyDescent="0.2">
      <c r="B152" s="213" t="b">
        <f>IF(Nb_sat="1 satellite",H51+E133*sS/2*zZ_sat-E134*sS*tT_sat)</f>
        <v>0</v>
      </c>
      <c r="C152" s="214" t="b">
        <f>IF(Nb_sat="1 satellite",Alt_sat-V_satellite*(H51-T_satellite)+E133*sS*Altitude_culmi/H51*zZ_sat+E134*sS/2*Altitude_culmi/H51*tT_sat)</f>
        <v>0</v>
      </c>
      <c r="D152" s="221"/>
    </row>
    <row r="153" spans="2:6" x14ac:dyDescent="0.2">
      <c r="B153" s="213" t="b">
        <f>IF(Nb_sat="1 satellite",H51)</f>
        <v>0</v>
      </c>
      <c r="C153" s="214" t="b">
        <f>IF(Nb_sat="1 satellite",0)</f>
        <v>0</v>
      </c>
    </row>
    <row r="154" spans="2:6" x14ac:dyDescent="0.2">
      <c r="B154" s="213" t="b">
        <f>IF(Nb_sat="1 satellite",H51-sS/2*zZ_sat-E134*sS*tT_sat)</f>
        <v>0</v>
      </c>
      <c r="C154" s="214" t="b">
        <f>IF(Nb_sat="1 satellite",Alt_sat-V_satellite*(H51-T_satellite)+E133*sS*Altitude_culmi/H51*zZ_sat-E134*sS/2*Altitude_culmi/H51*tT_sat)</f>
        <v>0</v>
      </c>
      <c r="E154" s="239" t="s">
        <v>173</v>
      </c>
      <c r="F154" s="240">
        <f ca="1">(T_balistique-T_satellite)/T_balistique</f>
        <v>0.83904109589041176</v>
      </c>
    </row>
    <row r="155" spans="2:6" x14ac:dyDescent="0.2">
      <c r="B155" s="215" t="b">
        <f>IF(Nb_sat="1 satellite",H51)</f>
        <v>0</v>
      </c>
      <c r="C155" s="216" t="b">
        <f>IF(Nb_sat="1 satellite",0)</f>
        <v>0</v>
      </c>
      <c r="E155" s="237" t="s">
        <v>174</v>
      </c>
      <c r="F155" s="238">
        <f ca="1">V_satellite*(T_balistique-T_satellite)/Alt_sat</f>
        <v>0.29237240262308328</v>
      </c>
    </row>
    <row r="157" spans="2:6" x14ac:dyDescent="0.2">
      <c r="B157" s="210" t="s">
        <v>2</v>
      </c>
      <c r="C157" s="228" t="s">
        <v>29</v>
      </c>
      <c r="D157" s="211" t="s">
        <v>3</v>
      </c>
    </row>
    <row r="158" spans="2:6" x14ac:dyDescent="0.2">
      <c r="B158" s="231">
        <f>T_para/4</f>
        <v>2.7749999999999999</v>
      </c>
      <c r="C158" s="82">
        <f ca="1">Alt_para/2</f>
        <v>625.48954241422564</v>
      </c>
      <c r="D158" s="214">
        <f ca="1">X_para/4</f>
        <v>110.63503959427872</v>
      </c>
    </row>
    <row r="159" spans="2:6" x14ac:dyDescent="0.2">
      <c r="B159" s="229">
        <f ca="1">Temps_culmi + (T_balistique-Temps_culmi)/2</f>
        <v>19.950000000000067</v>
      </c>
      <c r="C159" s="230">
        <f ca="1">Altitude_culmi/2</f>
        <v>625.75252360713068</v>
      </c>
      <c r="D159" s="216">
        <f ca="1">X_culmi+(Portee_balistique-X_culmi)*2/3</f>
        <v>642.33755328605469</v>
      </c>
    </row>
    <row r="161" spans="2:6" x14ac:dyDescent="0.2">
      <c r="B161" s="210" t="s">
        <v>304</v>
      </c>
      <c r="C161" s="228" t="s">
        <v>303</v>
      </c>
      <c r="D161" s="422" t="s">
        <v>305</v>
      </c>
    </row>
    <row r="162" spans="2:6" x14ac:dyDescent="0.2">
      <c r="B162" s="231" t="e">
        <f ca="1">IF(AND(Altitude_culmi&gt;80, Altitude_culmi&lt;=350), 49, NA())</f>
        <v>#N/A</v>
      </c>
      <c r="C162" s="5">
        <v>0</v>
      </c>
      <c r="D162" s="82">
        <f t="shared" ref="D162:D177" ca="1" si="0">X_culmi+C162</f>
        <v>433.28445605010262</v>
      </c>
      <c r="E162" s="422"/>
      <c r="F162" s="423" t="s">
        <v>305</v>
      </c>
    </row>
    <row r="163" spans="2:6" x14ac:dyDescent="0.2">
      <c r="B163" s="231" t="e">
        <f ca="1">IF(AND(Altitude_culmi&gt;80, Altitude_culmi&lt;=350), 49, NA())</f>
        <v>#N/A</v>
      </c>
      <c r="C163" s="5">
        <v>23</v>
      </c>
      <c r="D163" s="82">
        <f t="shared" ca="1" si="0"/>
        <v>456.28445605010262</v>
      </c>
      <c r="E163" s="82"/>
      <c r="F163" s="214">
        <f t="shared" ref="F163:F178" ca="1" si="1">X_culmi-C162</f>
        <v>433.28445605010262</v>
      </c>
    </row>
    <row r="164" spans="2:6" x14ac:dyDescent="0.2">
      <c r="B164" s="231" t="e">
        <f ca="1">IF(AND(Altitude_culmi&gt;80, Altitude_culmi&lt;=350), 43, NA())</f>
        <v>#N/A</v>
      </c>
      <c r="C164" s="5">
        <v>23</v>
      </c>
      <c r="D164" s="82">
        <f t="shared" ca="1" si="0"/>
        <v>456.28445605010262</v>
      </c>
      <c r="E164" s="82"/>
      <c r="F164" s="214">
        <f t="shared" ca="1" si="1"/>
        <v>410.28445605010262</v>
      </c>
    </row>
    <row r="165" spans="2:6" x14ac:dyDescent="0.2">
      <c r="B165" s="231" t="e">
        <f ca="1">IF(AND(Altitude_culmi&gt;80, Altitude_culmi&lt;=350), 43, NA())</f>
        <v>#N/A</v>
      </c>
      <c r="C165" s="5">
        <v>0</v>
      </c>
      <c r="D165" s="82">
        <f t="shared" ca="1" si="0"/>
        <v>433.28445605010262</v>
      </c>
      <c r="E165" s="82"/>
      <c r="F165" s="214">
        <f t="shared" ca="1" si="1"/>
        <v>410.28445605010262</v>
      </c>
    </row>
    <row r="166" spans="2:6" x14ac:dyDescent="0.2">
      <c r="B166" s="231" t="e">
        <f ca="1">IF(AND(Altitude_culmi&gt;80, Altitude_culmi&lt;=350), 43, NA())</f>
        <v>#N/A</v>
      </c>
      <c r="C166" s="5">
        <v>23</v>
      </c>
      <c r="D166" s="82">
        <f t="shared" ca="1" si="0"/>
        <v>456.28445605010262</v>
      </c>
      <c r="E166" s="82"/>
      <c r="F166" s="214">
        <f t="shared" ca="1" si="1"/>
        <v>433.28445605010262</v>
      </c>
    </row>
    <row r="167" spans="2:6" x14ac:dyDescent="0.2">
      <c r="B167" s="231" t="e">
        <f ca="1">IF(AND(Altitude_culmi&gt;80, Altitude_culmi&lt;=350), 0.5, NA())</f>
        <v>#N/A</v>
      </c>
      <c r="C167" s="5">
        <v>23</v>
      </c>
      <c r="D167" s="82">
        <f t="shared" ca="1" si="0"/>
        <v>456.28445605010262</v>
      </c>
      <c r="E167" s="82"/>
      <c r="F167" s="214">
        <f t="shared" ca="1" si="1"/>
        <v>410.28445605010262</v>
      </c>
    </row>
    <row r="168" spans="2:6" x14ac:dyDescent="0.2">
      <c r="B168" s="231" t="e">
        <f ca="1">IF(AND(Altitude_culmi&gt;80, Altitude_culmi&lt;=350), 0.5, NA())</f>
        <v>#N/A</v>
      </c>
      <c r="C168" s="5">
        <v>8</v>
      </c>
      <c r="D168" s="82">
        <f t="shared" ca="1" si="0"/>
        <v>441.28445605010262</v>
      </c>
      <c r="E168" s="82"/>
      <c r="F168" s="214">
        <f t="shared" ca="1" si="1"/>
        <v>410.28445605010262</v>
      </c>
    </row>
    <row r="169" spans="2:6" x14ac:dyDescent="0.2">
      <c r="B169" s="231" t="e">
        <f ca="1">IF(AND(Altitude_culmi&gt;80, Altitude_culmi&lt;=350), 27, NA())</f>
        <v>#N/A</v>
      </c>
      <c r="C169" s="5">
        <v>8</v>
      </c>
      <c r="D169" s="82">
        <f t="shared" ca="1" si="0"/>
        <v>441.28445605010262</v>
      </c>
      <c r="E169" s="82"/>
      <c r="F169" s="214">
        <f t="shared" ca="1" si="1"/>
        <v>425.28445605010262</v>
      </c>
    </row>
    <row r="170" spans="2:6" x14ac:dyDescent="0.2">
      <c r="B170" s="231" t="e">
        <f ca="1">IF(AND(Altitude_culmi&gt;80, Altitude_culmi&lt;=350), 27, NA())</f>
        <v>#N/A</v>
      </c>
      <c r="C170" s="5">
        <v>23</v>
      </c>
      <c r="D170" s="82">
        <f t="shared" ca="1" si="0"/>
        <v>456.28445605010262</v>
      </c>
      <c r="E170" s="82"/>
      <c r="F170" s="214">
        <f t="shared" ca="1" si="1"/>
        <v>425.28445605010262</v>
      </c>
    </row>
    <row r="171" spans="2:6" x14ac:dyDescent="0.2">
      <c r="B171" s="231" t="e">
        <f ca="1">IF(AND(Altitude_culmi&gt;80, Altitude_culmi&lt;=350), 27, NA())</f>
        <v>#N/A</v>
      </c>
      <c r="C171" s="5">
        <v>8</v>
      </c>
      <c r="D171" s="82">
        <f t="shared" ca="1" si="0"/>
        <v>441.28445605010262</v>
      </c>
      <c r="E171" s="82"/>
      <c r="F171" s="214">
        <f t="shared" ca="1" si="1"/>
        <v>410.28445605010262</v>
      </c>
    </row>
    <row r="172" spans="2:6" x14ac:dyDescent="0.2">
      <c r="B172" s="231" t="e">
        <f ca="1">IF(AND(Altitude_culmi&gt;80, Altitude_culmi&lt;=350), 29, NA())</f>
        <v>#N/A</v>
      </c>
      <c r="C172" s="5">
        <v>7.6</v>
      </c>
      <c r="D172" s="82">
        <f t="shared" ca="1" si="0"/>
        <v>440.88445605010264</v>
      </c>
      <c r="E172" s="82"/>
      <c r="F172" s="214">
        <f t="shared" ca="1" si="1"/>
        <v>425.28445605010262</v>
      </c>
    </row>
    <row r="173" spans="2:6" x14ac:dyDescent="0.2">
      <c r="B173" s="231" t="e">
        <f ca="1">IF(AND(Altitude_culmi&gt;80, Altitude_culmi&lt;=350), 31, NA())</f>
        <v>#N/A</v>
      </c>
      <c r="C173" s="5">
        <v>6.8</v>
      </c>
      <c r="D173" s="82">
        <f t="shared" ca="1" si="0"/>
        <v>440.08445605010263</v>
      </c>
      <c r="E173" s="82"/>
      <c r="F173" s="214">
        <f t="shared" ca="1" si="1"/>
        <v>425.6844560501026</v>
      </c>
    </row>
    <row r="174" spans="2:6" x14ac:dyDescent="0.2">
      <c r="B174" s="231" t="e">
        <f ca="1">IF(AND(Altitude_culmi&gt;80, Altitude_culmi&lt;=350), 32, NA())</f>
        <v>#N/A</v>
      </c>
      <c r="C174" s="5">
        <v>6</v>
      </c>
      <c r="D174" s="82">
        <f t="shared" ca="1" si="0"/>
        <v>439.28445605010262</v>
      </c>
      <c r="E174" s="82"/>
      <c r="F174" s="214">
        <f t="shared" ca="1" si="1"/>
        <v>426.48445605010261</v>
      </c>
    </row>
    <row r="175" spans="2:6" x14ac:dyDescent="0.2">
      <c r="B175" s="231" t="e">
        <f ca="1">IF(AND(Altitude_culmi&gt;80, Altitude_culmi&lt;=350), 33, NA())</f>
        <v>#N/A</v>
      </c>
      <c r="C175" s="5">
        <v>5</v>
      </c>
      <c r="D175" s="82">
        <f t="shared" ca="1" si="0"/>
        <v>438.28445605010262</v>
      </c>
      <c r="E175" s="82"/>
      <c r="F175" s="214">
        <f t="shared" ca="1" si="1"/>
        <v>427.28445605010262</v>
      </c>
    </row>
    <row r="176" spans="2:6" x14ac:dyDescent="0.2">
      <c r="B176" s="231" t="e">
        <f ca="1">IF(AND(Altitude_culmi&gt;80, Altitude_culmi&lt;=350), 34, NA())</f>
        <v>#N/A</v>
      </c>
      <c r="C176" s="5">
        <v>3.8</v>
      </c>
      <c r="D176" s="82">
        <f t="shared" ca="1" si="0"/>
        <v>437.08445605010263</v>
      </c>
      <c r="E176" s="82"/>
      <c r="F176" s="214">
        <f t="shared" ca="1" si="1"/>
        <v>428.28445605010262</v>
      </c>
    </row>
    <row r="177" spans="2:6" x14ac:dyDescent="0.2">
      <c r="B177" s="229" t="e">
        <f ca="1">IF(AND(Altitude_culmi&gt;80, Altitude_culmi&lt;=350), 35, NA())</f>
        <v>#N/A</v>
      </c>
      <c r="C177" s="421">
        <v>0</v>
      </c>
      <c r="D177" s="230">
        <f t="shared" ca="1" si="0"/>
        <v>433.28445605010262</v>
      </c>
      <c r="E177" s="82"/>
      <c r="F177" s="214">
        <f t="shared" ca="1" si="1"/>
        <v>429.48445605010261</v>
      </c>
    </row>
    <row r="178" spans="2:6" x14ac:dyDescent="0.2">
      <c r="E178" s="230"/>
      <c r="F178" s="216">
        <f t="shared" ca="1" si="1"/>
        <v>433.28445605010262</v>
      </c>
    </row>
    <row r="179" spans="2:6" x14ac:dyDescent="0.2">
      <c r="B179" s="210" t="s">
        <v>306</v>
      </c>
      <c r="C179" s="228" t="s">
        <v>307</v>
      </c>
      <c r="D179" s="228" t="s">
        <v>308</v>
      </c>
    </row>
    <row r="180" spans="2:6" x14ac:dyDescent="0.2">
      <c r="B180" s="231">
        <f ca="1">IF(Altitude_culmi&gt;350, 324, NA())</f>
        <v>324</v>
      </c>
      <c r="C180" s="5">
        <v>0</v>
      </c>
      <c r="D180" s="82">
        <f t="shared" ref="D180:D200" ca="1" si="2">X_culmi+C180</f>
        <v>433.28445605010262</v>
      </c>
      <c r="E180" s="228"/>
      <c r="F180" s="211" t="s">
        <v>308</v>
      </c>
    </row>
    <row r="181" spans="2:6" x14ac:dyDescent="0.2">
      <c r="B181" s="231">
        <f ca="1">IF(Altitude_culmi&gt;350, 300, NA())</f>
        <v>300</v>
      </c>
      <c r="C181" s="5">
        <v>0</v>
      </c>
      <c r="D181" s="82">
        <f t="shared" ca="1" si="2"/>
        <v>433.28445605010262</v>
      </c>
      <c r="E181" s="82"/>
      <c r="F181" s="214">
        <f t="shared" ref="F181:F201" ca="1" si="3">X_culmi-C180</f>
        <v>433.28445605010262</v>
      </c>
    </row>
    <row r="182" spans="2:6" x14ac:dyDescent="0.2">
      <c r="B182" s="231">
        <f ca="1">IF(Altitude_culmi&gt;350, 280, NA())</f>
        <v>280</v>
      </c>
      <c r="C182" s="5">
        <v>10</v>
      </c>
      <c r="D182" s="82">
        <f t="shared" ca="1" si="2"/>
        <v>443.28445605010262</v>
      </c>
      <c r="E182" s="82"/>
      <c r="F182" s="214">
        <f t="shared" ca="1" si="3"/>
        <v>433.28445605010262</v>
      </c>
    </row>
    <row r="183" spans="2:6" x14ac:dyDescent="0.2">
      <c r="B183" s="231">
        <f ca="1">IF(Altitude_culmi&gt;350, 280, NA())</f>
        <v>280</v>
      </c>
      <c r="C183" s="5">
        <v>0</v>
      </c>
      <c r="D183" s="82">
        <f t="shared" ca="1" si="2"/>
        <v>433.28445605010262</v>
      </c>
      <c r="E183" s="82"/>
      <c r="F183" s="214">
        <f t="shared" ca="1" si="3"/>
        <v>423.28445605010262</v>
      </c>
    </row>
    <row r="184" spans="2:6" x14ac:dyDescent="0.2">
      <c r="B184" s="231">
        <f ca="1">IF(Altitude_culmi&gt;350, 280, NA())</f>
        <v>280</v>
      </c>
      <c r="C184" s="5">
        <v>10</v>
      </c>
      <c r="D184" s="82">
        <f t="shared" ca="1" si="2"/>
        <v>443.28445605010262</v>
      </c>
      <c r="E184" s="82"/>
      <c r="F184" s="214">
        <f t="shared" ca="1" si="3"/>
        <v>433.28445605010262</v>
      </c>
    </row>
    <row r="185" spans="2:6" x14ac:dyDescent="0.2">
      <c r="B185" s="231">
        <f ca="1">IF(Altitude_culmi&gt;350, 200, NA())</f>
        <v>200</v>
      </c>
      <c r="C185" s="5">
        <v>13</v>
      </c>
      <c r="D185" s="82">
        <f t="shared" ca="1" si="2"/>
        <v>446.28445605010262</v>
      </c>
      <c r="E185" s="82"/>
      <c r="F185" s="214">
        <f t="shared" ca="1" si="3"/>
        <v>423.28445605010262</v>
      </c>
    </row>
    <row r="186" spans="2:6" x14ac:dyDescent="0.2">
      <c r="B186" s="231">
        <f ca="1">IF(Altitude_culmi&gt;350, 160, NA())</f>
        <v>160</v>
      </c>
      <c r="C186" s="5">
        <v>17</v>
      </c>
      <c r="D186" s="82">
        <f t="shared" ca="1" si="2"/>
        <v>450.28445605010262</v>
      </c>
      <c r="E186" s="82"/>
      <c r="F186" s="214">
        <f t="shared" ca="1" si="3"/>
        <v>420.28445605010262</v>
      </c>
    </row>
    <row r="187" spans="2:6" x14ac:dyDescent="0.2">
      <c r="B187" s="231">
        <f ca="1">IF(Altitude_culmi&gt;350, 115, NA())</f>
        <v>115</v>
      </c>
      <c r="C187" s="5">
        <v>20</v>
      </c>
      <c r="D187" s="82">
        <f t="shared" ca="1" si="2"/>
        <v>453.28445605010262</v>
      </c>
      <c r="E187" s="82"/>
      <c r="F187" s="214">
        <f t="shared" ca="1" si="3"/>
        <v>416.28445605010262</v>
      </c>
    </row>
    <row r="188" spans="2:6" x14ac:dyDescent="0.2">
      <c r="B188" s="231">
        <f ca="1">IF(Altitude_culmi&gt;350, 90, NA())</f>
        <v>90</v>
      </c>
      <c r="C188" s="5">
        <v>25</v>
      </c>
      <c r="D188" s="82">
        <f t="shared" ca="1" si="2"/>
        <v>458.28445605010262</v>
      </c>
      <c r="E188" s="82"/>
      <c r="F188" s="214">
        <f t="shared" ca="1" si="3"/>
        <v>413.28445605010262</v>
      </c>
    </row>
    <row r="189" spans="2:6" x14ac:dyDescent="0.2">
      <c r="B189" s="231">
        <f ca="1">IF(Altitude_culmi&gt;350, 57, NA())</f>
        <v>57</v>
      </c>
      <c r="C189" s="5">
        <v>30</v>
      </c>
      <c r="D189" s="82">
        <f t="shared" ca="1" si="2"/>
        <v>463.28445605010262</v>
      </c>
      <c r="E189" s="82"/>
      <c r="F189" s="214">
        <f t="shared" ca="1" si="3"/>
        <v>408.28445605010262</v>
      </c>
    </row>
    <row r="190" spans="2:6" x14ac:dyDescent="0.2">
      <c r="B190" s="231">
        <f ca="1">IF(Altitude_culmi&gt;350, 40, NA())</f>
        <v>40</v>
      </c>
      <c r="C190" s="5">
        <v>36</v>
      </c>
      <c r="D190" s="82">
        <f t="shared" ca="1" si="2"/>
        <v>469.28445605010262</v>
      </c>
      <c r="E190" s="82"/>
      <c r="F190" s="214">
        <f t="shared" ca="1" si="3"/>
        <v>403.28445605010262</v>
      </c>
    </row>
    <row r="191" spans="2:6" x14ac:dyDescent="0.2">
      <c r="B191" s="231">
        <f ca="1">IF(Altitude_culmi&gt;350, 20, NA())</f>
        <v>20</v>
      </c>
      <c r="C191" s="5">
        <v>48</v>
      </c>
      <c r="D191" s="82">
        <f t="shared" ca="1" si="2"/>
        <v>481.28445605010262</v>
      </c>
      <c r="E191" s="82"/>
      <c r="F191" s="214">
        <f t="shared" ca="1" si="3"/>
        <v>397.28445605010262</v>
      </c>
    </row>
    <row r="192" spans="2:6" x14ac:dyDescent="0.2">
      <c r="B192" s="231">
        <f ca="1">IF(Altitude_culmi&gt;350, 0.5, NA())</f>
        <v>0.5</v>
      </c>
      <c r="C192" s="5">
        <v>62</v>
      </c>
      <c r="D192" s="82">
        <f t="shared" ca="1" si="2"/>
        <v>495.28445605010262</v>
      </c>
      <c r="E192" s="82"/>
      <c r="F192" s="214">
        <f t="shared" ca="1" si="3"/>
        <v>385.28445605010262</v>
      </c>
    </row>
    <row r="193" spans="2:6" x14ac:dyDescent="0.2">
      <c r="B193" s="231">
        <f ca="1">IF(Altitude_culmi&gt;350, 0.5, NA())</f>
        <v>0.5</v>
      </c>
      <c r="C193" s="5">
        <v>37</v>
      </c>
      <c r="D193" s="82">
        <f t="shared" ca="1" si="2"/>
        <v>470.28445605010262</v>
      </c>
      <c r="E193" s="82"/>
      <c r="F193" s="214">
        <f t="shared" ca="1" si="3"/>
        <v>371.28445605010262</v>
      </c>
    </row>
    <row r="194" spans="2:6" x14ac:dyDescent="0.2">
      <c r="B194" s="231">
        <f ca="1">IF(Altitude_culmi&gt;350, 15, NA())</f>
        <v>15</v>
      </c>
      <c r="C194" s="5">
        <v>30</v>
      </c>
      <c r="D194" s="82">
        <f t="shared" ca="1" si="2"/>
        <v>463.28445605010262</v>
      </c>
      <c r="E194" s="82"/>
      <c r="F194" s="214">
        <f t="shared" ca="1" si="3"/>
        <v>396.28445605010262</v>
      </c>
    </row>
    <row r="195" spans="2:6" x14ac:dyDescent="0.2">
      <c r="B195" s="231">
        <f ca="1">IF(Altitude_culmi&gt;350, 30, NA())</f>
        <v>30</v>
      </c>
      <c r="C195" s="5">
        <v>15</v>
      </c>
      <c r="D195" s="82">
        <f t="shared" ca="1" si="2"/>
        <v>448.28445605010262</v>
      </c>
      <c r="E195" s="82"/>
      <c r="F195" s="214">
        <f t="shared" ca="1" si="3"/>
        <v>403.28445605010262</v>
      </c>
    </row>
    <row r="196" spans="2:6" x14ac:dyDescent="0.2">
      <c r="B196" s="231">
        <f ca="1">IF(Altitude_culmi&gt;350, 37, NA())</f>
        <v>37</v>
      </c>
      <c r="C196" s="5">
        <v>0</v>
      </c>
      <c r="D196" s="82">
        <f t="shared" ca="1" si="2"/>
        <v>433.28445605010262</v>
      </c>
      <c r="E196" s="82"/>
      <c r="F196" s="214">
        <f t="shared" ca="1" si="3"/>
        <v>418.28445605010262</v>
      </c>
    </row>
    <row r="197" spans="2:6" x14ac:dyDescent="0.2">
      <c r="B197" s="231">
        <f ca="1">IF(Altitude_culmi&gt;350, 67, NA())</f>
        <v>67</v>
      </c>
      <c r="C197" s="5">
        <v>0</v>
      </c>
      <c r="D197" s="82">
        <f t="shared" ca="1" si="2"/>
        <v>433.28445605010262</v>
      </c>
      <c r="E197" s="82"/>
      <c r="F197" s="214">
        <f t="shared" ca="1" si="3"/>
        <v>433.28445605010262</v>
      </c>
    </row>
    <row r="198" spans="2:6" x14ac:dyDescent="0.2">
      <c r="B198" s="231">
        <f ca="1">IF(Altitude_culmi&gt;350, 67, NA())</f>
        <v>67</v>
      </c>
      <c r="C198" s="5">
        <v>17</v>
      </c>
      <c r="D198" s="82">
        <f t="shared" ca="1" si="2"/>
        <v>450.28445605010262</v>
      </c>
      <c r="E198" s="82"/>
      <c r="F198" s="214">
        <f t="shared" ca="1" si="3"/>
        <v>433.28445605010262</v>
      </c>
    </row>
    <row r="199" spans="2:6" x14ac:dyDescent="0.2">
      <c r="B199" s="231">
        <f ca="1">IF(Altitude_culmi&gt;350, 100, NA())</f>
        <v>100</v>
      </c>
      <c r="C199" s="5">
        <v>11</v>
      </c>
      <c r="D199" s="82">
        <f t="shared" ca="1" si="2"/>
        <v>444.28445605010262</v>
      </c>
      <c r="E199" s="82"/>
      <c r="F199" s="214">
        <f t="shared" ca="1" si="3"/>
        <v>416.28445605010262</v>
      </c>
    </row>
    <row r="200" spans="2:6" x14ac:dyDescent="0.2">
      <c r="B200" s="229">
        <f ca="1">IF(Altitude_culmi&gt;350, 100, NA())</f>
        <v>100</v>
      </c>
      <c r="C200" s="421">
        <v>0</v>
      </c>
      <c r="D200" s="230">
        <f t="shared" ca="1" si="2"/>
        <v>433.28445605010262</v>
      </c>
      <c r="E200" s="82"/>
      <c r="F200" s="214">
        <f t="shared" ca="1" si="3"/>
        <v>422.28445605010262</v>
      </c>
    </row>
    <row r="201" spans="2:6" x14ac:dyDescent="0.2">
      <c r="E201" s="230"/>
      <c r="F201" s="216">
        <f t="shared" ca="1" si="3"/>
        <v>433.28445605010262</v>
      </c>
    </row>
  </sheetData>
  <sheetProtection algorithmName="SHA-512" hashValue="54/g8dQ2RC65LqncMwJ2cd0LY+Ermcd3MHxRhdQ+5eIlTGzg9ayjpzMYUZU3QN55EKjPPfR4x04d0m+MFsILQw==" saltValue="8KZEyW6NBSE9XCBw0cMAWg==" spinCount="100000" sheet="1" objects="1" scenarios="1"/>
  <protectedRanges>
    <protectedRange sqref="C26" name="Plage1"/>
  </protectedRanges>
  <mergeCells count="43">
    <mergeCell ref="C10:D10"/>
    <mergeCell ref="C5:D5"/>
    <mergeCell ref="C2:D3"/>
    <mergeCell ref="C7:D7"/>
    <mergeCell ref="C8:D8"/>
    <mergeCell ref="C9:D9"/>
    <mergeCell ref="C6:D6"/>
    <mergeCell ref="C4:D4"/>
    <mergeCell ref="H35:I35"/>
    <mergeCell ref="H34:I34"/>
    <mergeCell ref="F29:G29"/>
    <mergeCell ref="H33:I33"/>
    <mergeCell ref="A40:D40"/>
    <mergeCell ref="H36:I36"/>
    <mergeCell ref="F36:G36"/>
    <mergeCell ref="F35:G35"/>
    <mergeCell ref="F34:G34"/>
    <mergeCell ref="F40:G40"/>
    <mergeCell ref="C23:D23"/>
    <mergeCell ref="C18:D18"/>
    <mergeCell ref="F24:G24"/>
    <mergeCell ref="F28:G28"/>
    <mergeCell ref="F27:G27"/>
    <mergeCell ref="F25:G25"/>
    <mergeCell ref="F26:G26"/>
    <mergeCell ref="C16:D16"/>
    <mergeCell ref="C11:D11"/>
    <mergeCell ref="C20:D20"/>
    <mergeCell ref="C21:D21"/>
    <mergeCell ref="C12:D12"/>
    <mergeCell ref="C14:D14"/>
    <mergeCell ref="C15:D15"/>
    <mergeCell ref="C19:D19"/>
    <mergeCell ref="F51:G51"/>
    <mergeCell ref="F42:G42"/>
    <mergeCell ref="F43:G43"/>
    <mergeCell ref="F44:G44"/>
    <mergeCell ref="F45:G45"/>
    <mergeCell ref="F50:G50"/>
    <mergeCell ref="F46:G46"/>
    <mergeCell ref="F47:G47"/>
    <mergeCell ref="F49:G49"/>
    <mergeCell ref="F48:G48"/>
  </mergeCells>
  <phoneticPr fontId="8" type="noConversion"/>
  <conditionalFormatting sqref="C27">
    <cfRule type="expression" dxfId="25" priority="247" stopIfTrue="1">
      <formula>NOT(OR(C26=F110,C26=F104))</formula>
    </cfRule>
  </conditionalFormatting>
  <conditionalFormatting sqref="C32">
    <cfRule type="cellIs" dxfId="24" priority="42" stopIfTrue="1" operator="notBetween">
      <formula>5</formula>
      <formula>15</formula>
    </cfRule>
  </conditionalFormatting>
  <conditionalFormatting sqref="D25">
    <cfRule type="expression" dxfId="23" priority="39" stopIfTrue="1">
      <formula>Nb_sat="0 satellite"</formula>
    </cfRule>
  </conditionalFormatting>
  <conditionalFormatting sqref="D26">
    <cfRule type="expression" dxfId="22" priority="2" stopIfTrue="1">
      <formula>Nb_sat="0 satellite"</formula>
    </cfRule>
  </conditionalFormatting>
  <conditionalFormatting sqref="D27:D31 D33:D35">
    <cfRule type="expression" dxfId="21" priority="59" stopIfTrue="1">
      <formula>Nb_sat="0 satellite"</formula>
    </cfRule>
  </conditionalFormatting>
  <conditionalFormatting sqref="D32">
    <cfRule type="expression" dxfId="20" priority="40" stopIfTrue="1">
      <formula>Nb_sat="0 satellite"</formula>
    </cfRule>
    <cfRule type="cellIs" dxfId="19" priority="49" stopIfTrue="1" operator="notBetween">
      <formula>5</formula>
      <formula>15</formula>
    </cfRule>
  </conditionalFormatting>
  <conditionalFormatting sqref="F26">
    <cfRule type="expression" dxfId="18" priority="26" stopIfTrue="1">
      <formula>Nb_sat="0 satellite"</formula>
    </cfRule>
  </conditionalFormatting>
  <conditionalFormatting sqref="F36:I36 F50:M50">
    <cfRule type="expression" dxfId="17" priority="22" stopIfTrue="1">
      <formula>Nb_sat="0 satellite"</formula>
    </cfRule>
  </conditionalFormatting>
  <conditionalFormatting sqref="F51:M51">
    <cfRule type="expression" dxfId="16" priority="21" stopIfTrue="1">
      <formula>Nb_sat="0 satellite"</formula>
    </cfRule>
  </conditionalFormatting>
  <conditionalFormatting sqref="H28 H48">
    <cfRule type="expression" dxfId="15" priority="4" stopIfTrue="1">
      <formula>ABS(Temps_culmi-T_para)&gt;2</formula>
    </cfRule>
  </conditionalFormatting>
  <conditionalFormatting sqref="H34:I34">
    <cfRule type="cellIs" dxfId="14" priority="14" stopIfTrue="1" operator="equal">
      <formula>"Brun/Orange…"</formula>
    </cfRule>
  </conditionalFormatting>
  <conditionalFormatting sqref="H35:I35">
    <cfRule type="cellIs" dxfId="13" priority="13" stopIfTrue="1" operator="equal">
      <formula>"Rouge…"</formula>
    </cfRule>
  </conditionalFormatting>
  <conditionalFormatting sqref="H26:M26">
    <cfRule type="expression" dxfId="12" priority="41" stopIfTrue="1">
      <formula>Nb_sat="0 satellite"</formula>
    </cfRule>
  </conditionalFormatting>
  <conditionalFormatting sqref="J29 J47">
    <cfRule type="expression" dxfId="11" priority="6" stopIfTrue="1">
      <formula>AND(Portee_balistique&gt;200,LEFT(Type_propu,4)="Mini")</formula>
    </cfRule>
  </conditionalFormatting>
  <conditionalFormatting sqref="K24 K43">
    <cfRule type="expression" dxfId="10" priority="44" stopIfTrue="1">
      <formula>AND(Vsortie_de_rampe&lt;18, OR(LEFT(Type_fusee,1)=",",LEFT(Type_fusee,4)="Mini",LEFT(Type_fusee,1)="R"))</formula>
    </cfRule>
    <cfRule type="expression" dxfId="9" priority="45" stopIfTrue="1">
      <formula>AND(Vsortie_de_rampe&lt;20, RIGHT(Type_fusee,1)=".")</formula>
    </cfRule>
  </conditionalFormatting>
  <conditionalFormatting sqref="K42">
    <cfRule type="expression" dxfId="8" priority="34" stopIfTrue="1">
      <formula>AND( $K$22=0, OR( $I$22&gt;0, $J$22&gt;0 ) )</formula>
    </cfRule>
  </conditionalFormatting>
  <conditionalFormatting sqref="N35">
    <cfRule type="expression" dxfId="7" priority="15" stopIfTrue="1">
      <formula>ROUND(SUM(C24:L36),0)=2221</formula>
    </cfRule>
  </conditionalFormatting>
  <conditionalFormatting sqref="N36">
    <cfRule type="expression" dxfId="6" priority="244" stopIfTrue="1">
      <formula>$N$36="propu NOK"</formula>
    </cfRule>
  </conditionalFormatting>
  <dataValidations count="15">
    <dataValidation type="decimal" operator="greaterThanOrEqual" showErrorMessage="1" sqref="H42:K42 C31 D27:D29 C27" xr:uid="{00000000-0002-0000-0100-000000000000}">
      <formula1>0</formula1>
    </dataValidation>
    <dataValidation type="list" allowBlank="1" showInputMessage="1" showErrorMessage="1" sqref="H52" xr:uid="{00000000-0002-0000-0100-000001000000}">
      <formula1>gao</formula1>
    </dataValidation>
    <dataValidation operator="greaterThanOrEqual" showErrorMessage="1" sqref="D31 C29" xr:uid="{00000000-0002-0000-0100-000002000000}"/>
    <dataValidation type="decimal" errorStyle="warning" allowBlank="1" showErrorMessage="1" errorTitle="Cx para" error="Le Cx du parachute est souvent compris entre 0 et 2._x000a_Cx of parachute might be between 0 a 2." sqref="C30:D30" xr:uid="{00000000-0002-0000-0100-000003000000}">
      <formula1>0</formula1>
      <formula2>2</formula2>
    </dataValidation>
    <dataValidation sqref="C12:D12" xr:uid="{00000000-0002-0000-0100-000004000000}"/>
    <dataValidation operator="greaterThanOrEqual" sqref="C11:D11" xr:uid="{00000000-0002-0000-0100-000005000000}"/>
    <dataValidation type="decimal" errorStyle="warning" showErrorMessage="1" errorTitle="Cx" error="Le Cx est souvent compris entre 0,3 et 0,7._x000a_Cx may be between 0,3 &amp; 0,7." sqref="C16:D16" xr:uid="{00000000-0002-0000-0100-000006000000}">
      <formula1>0.3</formula1>
      <formula2>0.7</formula2>
    </dataValidation>
    <dataValidation type="decimal" operator="greaterThanOrEqual" allowBlank="1" showErrorMessage="1" sqref="C19:D19" xr:uid="{00000000-0002-0000-0100-000007000000}">
      <formula1>0</formula1>
    </dataValidation>
    <dataValidation type="decimal" errorStyle="information" allowBlank="1" showInputMessage="1" showErrorMessage="1" errorTitle="Angle de la rampe" error="Il est conseillé d'incliner à rampe entre 75° et 85° par rapport à l'horizontale._x000a_This Angle is recommended between 75° &amp; 85°." sqref="C20:D20" xr:uid="{00000000-0002-0000-0100-000008000000}">
      <formula1>75</formula1>
      <formula2>85</formula2>
    </dataValidation>
    <dataValidation type="whole" operator="greaterThanOrEqual" allowBlank="1" showErrorMessage="1" sqref="C21:D21" xr:uid="{00000000-0002-0000-0100-000009000000}">
      <formula1>0</formula1>
    </dataValidation>
    <dataValidation type="whole" allowBlank="1" showErrorMessage="1" sqref="M42" xr:uid="{00000000-0002-0000-0100-00000A000000}">
      <formula1>-360</formula1>
      <formula2>360</formula2>
    </dataValidation>
    <dataValidation type="list" showInputMessage="1" showErrorMessage="1" sqref="D24" xr:uid="{00000000-0002-0000-0100-00000B000000}">
      <formula1>Menu_sat</formula1>
    </dataValidation>
    <dataValidation type="whole" operator="greaterThanOrEqual" showErrorMessage="1" sqref="B44 B46 B52 B54" xr:uid="{00000000-0002-0000-0100-00000C000000}">
      <formula1>0</formula1>
    </dataValidation>
    <dataValidation type="list" showInputMessage="1" showErrorMessage="1" sqref="C26" xr:uid="{00000000-0002-0000-0100-00000D000000}">
      <formula1>IF(Depotage&lt;&gt;0,IF(LEFT(Type_propu,5)="Micro",$F$110,$F$105:$F$110),$F$104)</formula1>
    </dataValidation>
    <dataValidation type="list" operator="greaterThanOrEqual" showErrorMessage="1" sqref="C28" xr:uid="{901BEB42-9630-4910-AFF4-B844211D2B99}">
      <formula1>Liste_Type_para</formula1>
    </dataValidation>
  </dataValidations>
  <hyperlinks>
    <hyperlink ref="B12" location="Stabilito!C17" display="Stabilito!C17" xr:uid="{00000000-0004-0000-0100-000000000000}"/>
  </hyperlinks>
  <printOptions horizontalCentered="1" verticalCentered="1"/>
  <pageMargins left="7.874015748031496E-2" right="7.874015748031496E-2" top="7.874015748031496E-2" bottom="7.874015748031496E-2" header="0" footer="0"/>
  <pageSetup paperSize="9" firstPageNumber="0" orientation="landscape" horizontalDpi="300" verticalDpi="300" r:id="rId1"/>
  <headerFooter alignWithMargins="0"/>
  <ignoredErrors>
    <ignoredError sqref="B127:B133 B139:B150 C152 C154 C139:C141 C143:C150 C127:C133" formula="1"/>
    <ignoredError sqref="H46:I46 H49 J46:M46" evalError="1"/>
    <ignoredError sqref="G105:G109" numberStoredAsText="1"/>
    <ignoredError sqref="D25" unlockedFormula="1"/>
  </ignoredErrors>
  <drawing r:id="rId2"/>
  <legacyDrawing r:id="rId3"/>
  <oleObjects>
    <mc:AlternateContent xmlns:mc="http://schemas.openxmlformats.org/markup-compatibility/2006">
      <mc:Choice Requires="x14">
        <oleObject progId="Equation.3" shapeId="1425294" r:id="rId4">
          <objectPr defaultSize="0" autoPict="0" r:id="rId5">
            <anchor moveWithCells="1">
              <from>
                <xdr:col>1</xdr:col>
                <xdr:colOff>28575</xdr:colOff>
                <xdr:row>94</xdr:row>
                <xdr:rowOff>76200</xdr:rowOff>
              </from>
              <to>
                <xdr:col>3</xdr:col>
                <xdr:colOff>762000</xdr:colOff>
                <xdr:row>100</xdr:row>
                <xdr:rowOff>95250</xdr:rowOff>
              </to>
            </anchor>
          </objectPr>
        </oleObject>
      </mc:Choice>
      <mc:Fallback>
        <oleObject progId="Equation.3" shapeId="1425294" r:id="rId4"/>
      </mc:Fallback>
    </mc:AlternateContent>
  </oleObjects>
  <mc:AlternateContent xmlns:mc="http://schemas.openxmlformats.org/markup-compatibility/2006">
    <mc:Choice Requires="x14">
      <controls>
        <mc:AlternateContent xmlns:mc="http://schemas.openxmlformats.org/markup-compatibility/2006">
          <mc:Choice Requires="x14">
            <control shapeId="1424424" r:id="rId6" name="Spinner 1064">
              <controlPr defaultSize="0" print="0" autoPict="0">
                <anchor moveWithCells="1" sizeWithCells="1">
                  <from>
                    <xdr:col>3</xdr:col>
                    <xdr:colOff>647700</xdr:colOff>
                    <xdr:row>9</xdr:row>
                    <xdr:rowOff>161925</xdr:rowOff>
                  </from>
                  <to>
                    <xdr:col>4</xdr:col>
                    <xdr:colOff>0</xdr:colOff>
                    <xdr:row>11</xdr:row>
                    <xdr:rowOff>9525</xdr:rowOff>
                  </to>
                </anchor>
              </controlPr>
            </control>
          </mc:Choice>
        </mc:AlternateContent>
        <mc:AlternateContent xmlns:mc="http://schemas.openxmlformats.org/markup-compatibility/2006">
          <mc:Choice Requires="x14">
            <control shapeId="1424589" r:id="rId7" name="Spinner 1229">
              <controlPr defaultSize="0" print="0" autoPict="0">
                <anchor moveWithCells="1" sizeWithCells="1">
                  <from>
                    <xdr:col>1</xdr:col>
                    <xdr:colOff>1181100</xdr:colOff>
                    <xdr:row>43</xdr:row>
                    <xdr:rowOff>9525</xdr:rowOff>
                  </from>
                  <to>
                    <xdr:col>2</xdr:col>
                    <xdr:colOff>0</xdr:colOff>
                    <xdr:row>44</xdr:row>
                    <xdr:rowOff>0</xdr:rowOff>
                  </to>
                </anchor>
              </controlPr>
            </control>
          </mc:Choice>
        </mc:AlternateContent>
        <mc:AlternateContent xmlns:mc="http://schemas.openxmlformats.org/markup-compatibility/2006">
          <mc:Choice Requires="x14">
            <control shapeId="1424590" r:id="rId8" name="Spinner 1230">
              <controlPr defaultSize="0" print="0" autoPict="0">
                <anchor moveWithCells="1" sizeWithCells="1">
                  <from>
                    <xdr:col>1</xdr:col>
                    <xdr:colOff>1181100</xdr:colOff>
                    <xdr:row>45</xdr:row>
                    <xdr:rowOff>9525</xdr:rowOff>
                  </from>
                  <to>
                    <xdr:col>2</xdr:col>
                    <xdr:colOff>0</xdr:colOff>
                    <xdr:row>46</xdr:row>
                    <xdr:rowOff>0</xdr:rowOff>
                  </to>
                </anchor>
              </controlPr>
            </control>
          </mc:Choice>
        </mc:AlternateContent>
        <mc:AlternateContent xmlns:mc="http://schemas.openxmlformats.org/markup-compatibility/2006">
          <mc:Choice Requires="x14">
            <control shapeId="1424591" r:id="rId9" name="Spinner 1231">
              <controlPr defaultSize="0" print="0" autoPict="0">
                <anchor moveWithCells="1" sizeWithCells="1">
                  <from>
                    <xdr:col>1</xdr:col>
                    <xdr:colOff>1181100</xdr:colOff>
                    <xdr:row>51</xdr:row>
                    <xdr:rowOff>9525</xdr:rowOff>
                  </from>
                  <to>
                    <xdr:col>2</xdr:col>
                    <xdr:colOff>0</xdr:colOff>
                    <xdr:row>52</xdr:row>
                    <xdr:rowOff>0</xdr:rowOff>
                  </to>
                </anchor>
              </controlPr>
            </control>
          </mc:Choice>
        </mc:AlternateContent>
        <mc:AlternateContent xmlns:mc="http://schemas.openxmlformats.org/markup-compatibility/2006">
          <mc:Choice Requires="x14">
            <control shapeId="4779462" r:id="rId10" name="Spinner 4550">
              <controlPr defaultSize="0" print="0" autoPict="0">
                <anchor moveWithCells="1" sizeWithCells="1">
                  <from>
                    <xdr:col>1</xdr:col>
                    <xdr:colOff>1181100</xdr:colOff>
                    <xdr:row>53</xdr:row>
                    <xdr:rowOff>9525</xdr:rowOff>
                  </from>
                  <to>
                    <xdr:col>2</xdr:col>
                    <xdr:colOff>0</xdr:colOff>
                    <xdr:row>54</xdr:row>
                    <xdr:rowOff>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3">
    <pageSetUpPr fitToPage="1"/>
  </sheetPr>
  <dimension ref="B75:B146"/>
  <sheetViews>
    <sheetView showGridLines="0" zoomScaleNormal="100" workbookViewId="0">
      <selection activeCell="M48" sqref="M48"/>
    </sheetView>
  </sheetViews>
  <sheetFormatPr baseColWidth="10" defaultRowHeight="12.75" x14ac:dyDescent="0.2"/>
  <sheetData>
    <row r="75" spans="2:2" x14ac:dyDescent="0.2">
      <c r="B75" t="s">
        <v>43</v>
      </c>
    </row>
    <row r="76" spans="2:2" x14ac:dyDescent="0.2">
      <c r="B76" t="str">
        <f>IF(Lang="Français","Ces courbes représentent la trajectoire de la fusée dans l'hypothèse d'une descente balistique (sans ouverture du parachute). ","These curves show the rocket trajectory in case of ballistic fall (without parachute).")</f>
        <v xml:space="preserve">Ces courbes représentent la trajectoire de la fusée dans l'hypothèse d'une descente balistique (sans ouverture du parachute). </v>
      </c>
    </row>
    <row r="77" spans="2:2" x14ac:dyDescent="0.2">
      <c r="B77" t="str">
        <f>IF(Lang="Français","L'accélération longitudinale gravitationnelle définit le mouvement (dérivée de la vitesse) : Acc = (Poussee - Traînée ± Poids) / m",IF(Lang="English","Longitudinal Gravitaionnal Acceleration defines the motion (velocity derivative) : Acc = (Thrust - Drag ± Weight)/m",""))</f>
        <v>L'accélération longitudinale gravitationnelle définit le mouvement (dérivée de la vitesse) : Acc = (Poussee - Traînée ± Poids) / m</v>
      </c>
    </row>
    <row r="78" spans="2:2" x14ac:dyDescent="0.2">
      <c r="B78" t="str">
        <f>IF(Lang="Français","La charge ''non-gravitationnelle'' vue par un capteur d'accélération (masse-ressort) est : Charge = (Poussée - Traînée) / m",IF(Lang="English","''Non-Gravitaionnal'' Load seen by an acceleration sensor (mass-spring) is : Load = (Thrust - Drag) / m",""))</f>
        <v>La charge ''non-gravitationnelle'' vue par un capteur d'accélération (masse-ressort) est : Charge = (Poussée - Traînée) / m</v>
      </c>
    </row>
    <row r="79" spans="2:2" x14ac:dyDescent="0.2">
      <c r="B79" t="str">
        <f>IF(Lang="Français","Exemples : Si Poussée = Poids, Vitesse constante, Acc nulle, Charge = 1G ; En chute libre, Acc = -1G, Charge = 0",IF(Lang="English","",""))</f>
        <v>Exemples : Si Poussée = Poids, Vitesse constante, Acc nulle, Charge = 1G ; En chute libre, Acc = -1G, Charge = 0</v>
      </c>
    </row>
    <row r="131" spans="2:2" x14ac:dyDescent="0.2">
      <c r="B131" s="24" t="str">
        <f>IF(Lang="Français","Textes pour les graphiques :","Texts for graphics :")</f>
        <v>Textes pour les graphiques :</v>
      </c>
    </row>
    <row r="133" spans="2:2" x14ac:dyDescent="0.2">
      <c r="B133" t="str">
        <f>IF(Lang="Français","Traînée",IF(Lang="English","Drag",""))</f>
        <v>Traînée</v>
      </c>
    </row>
    <row r="134" spans="2:2" x14ac:dyDescent="0.2">
      <c r="B134" t="str">
        <f>IF(Lang="Français","Poussée",IF(Lang="English","Thrust",""))</f>
        <v>Poussée</v>
      </c>
    </row>
    <row r="135" spans="2:2" x14ac:dyDescent="0.2">
      <c r="B135" t="str">
        <f>IF(Lang="Français","Poids",IF(Lang="English","Weight",""))</f>
        <v>Poids</v>
      </c>
    </row>
    <row r="137" spans="2:2" x14ac:dyDescent="0.2">
      <c r="B137" t="str">
        <f>IF(Lang="Français","Accélération longitudinale",IF(Lang="English","Longitudinal Acceleration",""))</f>
        <v>Accélération longitudinale</v>
      </c>
    </row>
    <row r="138" spans="2:2" x14ac:dyDescent="0.2">
      <c r="B138" t="str">
        <f>IF(Lang="Français","Charge vue par un capteur",IF(Lang="English","Load seen by a sensor",""))</f>
        <v>Charge vue par un capteur</v>
      </c>
    </row>
    <row r="140" spans="2:2" x14ac:dyDescent="0.2">
      <c r="B140" t="str">
        <f>IF(Lang="Français","Vitesse",IF(Lang="English","Velocity",""))</f>
        <v>Vitesse</v>
      </c>
    </row>
    <row r="141" spans="2:2" x14ac:dyDescent="0.2">
      <c r="B141" t="str">
        <f>IF(Lang="Français","Vitesse [m/s]",IF(Lang="English","Velocity [m/s]",""))</f>
        <v>Vitesse [m/s]</v>
      </c>
    </row>
    <row r="143" spans="2:2" x14ac:dyDescent="0.2">
      <c r="B143" t="s">
        <v>6</v>
      </c>
    </row>
    <row r="144" spans="2:2" x14ac:dyDescent="0.2">
      <c r="B144" t="str">
        <f>IF(Lang="Français","Portée",IF(Lang="English","Range",""))</f>
        <v>Portée</v>
      </c>
    </row>
    <row r="146" spans="2:2" x14ac:dyDescent="0.2">
      <c r="B146" t="str">
        <f>IF(Lang="Français","Temps [s]",IF(Lang="English","Time [s]",""))</f>
        <v>Temps [s]</v>
      </c>
    </row>
  </sheetData>
  <sheetProtection password="C6AC" sheet="1"/>
  <phoneticPr fontId="8" type="noConversion"/>
  <printOptions horizontalCentered="1" verticalCentered="1"/>
  <pageMargins left="0.39370078740157483" right="0.39370078740157483" top="0.39370078740157483" bottom="0.39370078740157483" header="0" footer="0"/>
  <pageSetup scale="76" firstPageNumber="0" orientation="portrait" horizontalDpi="300" verticalDpi="30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5">
    <pageSetUpPr fitToPage="1"/>
  </sheetPr>
  <dimension ref="A1:Z346"/>
  <sheetViews>
    <sheetView showGridLines="0" topLeftCell="A304" zoomScale="80" zoomScaleNormal="80" workbookViewId="0">
      <selection activeCell="B2" sqref="B2"/>
    </sheetView>
  </sheetViews>
  <sheetFormatPr baseColWidth="10" defaultRowHeight="12.75" x14ac:dyDescent="0.2"/>
  <cols>
    <col min="1" max="1" width="22.5703125" bestFit="1" customWidth="1"/>
  </cols>
  <sheetData>
    <row r="1" spans="1:26" ht="13.5" thickBot="1" x14ac:dyDescent="0.25">
      <c r="A1" s="362" t="str">
        <f>IF(Lang="Français","Moteur sélectionné","Selected motor")</f>
        <v>Moteur sélectionné</v>
      </c>
      <c r="B1" s="362" t="s">
        <v>32</v>
      </c>
    </row>
    <row r="2" spans="1:26" ht="13.5" thickBot="1" x14ac:dyDescent="0.25">
      <c r="A2" s="352" t="str">
        <f>Propu</f>
        <v>Aucun (2e ét. inerte)</v>
      </c>
      <c r="B2" s="352">
        <f>VLOOKUP(A2,A26:B314,2,FALSE)</f>
        <v>309</v>
      </c>
      <c r="C2" s="363" t="s">
        <v>115</v>
      </c>
      <c r="D2" s="353">
        <f ca="1">INDIRECT(ADDRESS(B2,4))</f>
        <v>1E-3</v>
      </c>
      <c r="E2" s="363" t="s">
        <v>114</v>
      </c>
      <c r="F2" s="354">
        <f ca="1">INDIRECT(ADDRESS(B2,6))</f>
        <v>1.019367991845056</v>
      </c>
      <c r="G2" s="363" t="s">
        <v>56</v>
      </c>
      <c r="H2" s="355">
        <f ca="1">INDIRECT(ADDRESS(B2,8))</f>
        <v>1E-4</v>
      </c>
      <c r="I2" s="363" t="s">
        <v>273</v>
      </c>
      <c r="J2" s="356">
        <f ca="1">INDIRECT(ADDRESS(B2,10))</f>
        <v>1E-4</v>
      </c>
      <c r="K2" s="363" t="s">
        <v>58</v>
      </c>
      <c r="L2" s="355">
        <f ca="1">INDIRECT(ADDRESS(B2,12))</f>
        <v>0</v>
      </c>
      <c r="M2" s="363" t="s">
        <v>57</v>
      </c>
      <c r="N2" s="357">
        <f ca="1">INDIRECT(ADDRESS(B2,14))</f>
        <v>0</v>
      </c>
      <c r="O2" s="363" t="s">
        <v>59</v>
      </c>
      <c r="P2" s="357">
        <f ca="1">INDIRECT(ADDRESS(B2,16))</f>
        <v>0</v>
      </c>
      <c r="Q2" s="363" t="s">
        <v>60</v>
      </c>
      <c r="R2" s="357">
        <f ca="1">INDIRECT(ADDRESS(B2,18))</f>
        <v>0</v>
      </c>
      <c r="S2" s="363" t="s">
        <v>61</v>
      </c>
      <c r="T2" s="357">
        <f ca="1">INDIRECT(ADDRESS(B2,20))</f>
        <v>0</v>
      </c>
      <c r="U2" s="363" t="s">
        <v>54</v>
      </c>
      <c r="V2" s="358" t="str">
        <f ca="1">INDIRECT(ADDRESS(B2,22))</f>
        <v>Fusex</v>
      </c>
      <c r="W2" s="463" t="s">
        <v>394</v>
      </c>
      <c r="X2" s="464">
        <f ca="1">INDIRECT(ADDRESS(B2,24))</f>
        <v>0</v>
      </c>
      <c r="Y2" s="463" t="s">
        <v>393</v>
      </c>
      <c r="Z2" s="358">
        <f ca="1">INDIRECT(ADDRESS(B2,26))</f>
        <v>0</v>
      </c>
    </row>
    <row r="3" spans="1:26" x14ac:dyDescent="0.2">
      <c r="A3" s="362" t="str">
        <f>IF(Lang="Français","Temps (en s)","Time (s)")</f>
        <v>Temps (en s)</v>
      </c>
      <c r="B3" s="364">
        <f t="shared" ref="B3:Y3" ca="1" si="0">INDIRECT(ADDRESS($B2+1,COLUMN(B3)))</f>
        <v>0</v>
      </c>
      <c r="C3" s="365">
        <f t="shared" ca="1" si="0"/>
        <v>0.1</v>
      </c>
      <c r="D3" s="365">
        <f t="shared" ca="1" si="0"/>
        <v>0.2</v>
      </c>
      <c r="E3" s="365">
        <f t="shared" ca="1" si="0"/>
        <v>1</v>
      </c>
      <c r="F3" s="365">
        <f t="shared" ca="1" si="0"/>
        <v>1</v>
      </c>
      <c r="G3" s="365">
        <f t="shared" ca="1" si="0"/>
        <v>1</v>
      </c>
      <c r="H3" s="365">
        <f t="shared" ca="1" si="0"/>
        <v>1</v>
      </c>
      <c r="I3" s="365">
        <f t="shared" ca="1" si="0"/>
        <v>1</v>
      </c>
      <c r="J3" s="365">
        <f t="shared" ca="1" si="0"/>
        <v>1</v>
      </c>
      <c r="K3" s="365">
        <f t="shared" ca="1" si="0"/>
        <v>1</v>
      </c>
      <c r="L3" s="365">
        <f t="shared" ca="1" si="0"/>
        <v>1</v>
      </c>
      <c r="M3" s="365">
        <f t="shared" ca="1" si="0"/>
        <v>1</v>
      </c>
      <c r="N3" s="365">
        <f t="shared" ca="1" si="0"/>
        <v>1</v>
      </c>
      <c r="O3" s="365">
        <f t="shared" ca="1" si="0"/>
        <v>1</v>
      </c>
      <c r="P3" s="365">
        <f t="shared" ca="1" si="0"/>
        <v>1</v>
      </c>
      <c r="Q3" s="365">
        <f t="shared" ca="1" si="0"/>
        <v>1</v>
      </c>
      <c r="R3" s="365">
        <f t="shared" ca="1" si="0"/>
        <v>1</v>
      </c>
      <c r="S3" s="365">
        <f t="shared" ca="1" si="0"/>
        <v>1</v>
      </c>
      <c r="T3" s="365">
        <f t="shared" ca="1" si="0"/>
        <v>1</v>
      </c>
      <c r="U3" s="365">
        <f t="shared" ca="1" si="0"/>
        <v>1</v>
      </c>
      <c r="V3" s="365">
        <f t="shared" ca="1" si="0"/>
        <v>1</v>
      </c>
      <c r="W3" s="365">
        <f t="shared" ca="1" si="0"/>
        <v>1</v>
      </c>
      <c r="X3" s="365">
        <f ca="1">INDIRECT(ADDRESS($B2+1,COLUMN(X3)))</f>
        <v>1</v>
      </c>
      <c r="Y3" s="366">
        <f t="shared" ca="1" si="0"/>
        <v>1000</v>
      </c>
    </row>
    <row r="4" spans="1:26" ht="13.5" thickBot="1" x14ac:dyDescent="0.25">
      <c r="A4" s="379" t="str">
        <f>IF(Lang="Français","Poussée (en N)","Thrust (N)")</f>
        <v>Poussée (en N)</v>
      </c>
      <c r="B4" s="367">
        <f t="shared" ref="B4:Y4" ca="1" si="1">INDIRECT(ADDRESS($B2+2,COLUMN(B3)))</f>
        <v>0</v>
      </c>
      <c r="C4" s="368">
        <f t="shared" ca="1" si="1"/>
        <v>0.01</v>
      </c>
      <c r="D4" s="368">
        <f t="shared" ca="1" si="1"/>
        <v>0</v>
      </c>
      <c r="E4" s="368">
        <f t="shared" ca="1" si="1"/>
        <v>0</v>
      </c>
      <c r="F4" s="368">
        <f t="shared" ca="1" si="1"/>
        <v>0</v>
      </c>
      <c r="G4" s="368">
        <f t="shared" ca="1" si="1"/>
        <v>0</v>
      </c>
      <c r="H4" s="368">
        <f t="shared" ca="1" si="1"/>
        <v>0</v>
      </c>
      <c r="I4" s="368">
        <f t="shared" ca="1" si="1"/>
        <v>0</v>
      </c>
      <c r="J4" s="368">
        <f t="shared" ca="1" si="1"/>
        <v>0</v>
      </c>
      <c r="K4" s="368">
        <f t="shared" ca="1" si="1"/>
        <v>0</v>
      </c>
      <c r="L4" s="368">
        <f t="shared" ca="1" si="1"/>
        <v>0</v>
      </c>
      <c r="M4" s="368">
        <f t="shared" ca="1" si="1"/>
        <v>0</v>
      </c>
      <c r="N4" s="368">
        <f t="shared" ca="1" si="1"/>
        <v>0</v>
      </c>
      <c r="O4" s="368">
        <f t="shared" ca="1" si="1"/>
        <v>0</v>
      </c>
      <c r="P4" s="368">
        <f t="shared" ca="1" si="1"/>
        <v>0</v>
      </c>
      <c r="Q4" s="368">
        <f t="shared" ca="1" si="1"/>
        <v>0</v>
      </c>
      <c r="R4" s="368">
        <f t="shared" ca="1" si="1"/>
        <v>0</v>
      </c>
      <c r="S4" s="368">
        <f t="shared" ca="1" si="1"/>
        <v>0</v>
      </c>
      <c r="T4" s="368">
        <f t="shared" ca="1" si="1"/>
        <v>0</v>
      </c>
      <c r="U4" s="368">
        <f t="shared" ca="1" si="1"/>
        <v>0</v>
      </c>
      <c r="V4" s="368">
        <f t="shared" ca="1" si="1"/>
        <v>0</v>
      </c>
      <c r="W4" s="368">
        <f t="shared" ca="1" si="1"/>
        <v>0</v>
      </c>
      <c r="X4" s="368">
        <f ca="1">INDIRECT(ADDRESS($B2+2,COLUMN(X3)))</f>
        <v>0</v>
      </c>
      <c r="Y4" s="369">
        <f t="shared" ca="1" si="1"/>
        <v>0</v>
      </c>
    </row>
    <row r="5" spans="1:26" x14ac:dyDescent="0.2">
      <c r="B5" s="12"/>
      <c r="C5" s="12"/>
      <c r="D5" s="12"/>
      <c r="E5" s="12"/>
      <c r="F5" s="12"/>
      <c r="G5" s="12"/>
      <c r="H5" s="12"/>
      <c r="I5" s="12"/>
      <c r="J5" s="12"/>
      <c r="K5" s="12"/>
      <c r="L5" s="12"/>
      <c r="M5" s="12"/>
      <c r="N5" s="12"/>
      <c r="O5" s="12"/>
      <c r="P5" s="12"/>
      <c r="Q5" s="12"/>
      <c r="R5" s="12"/>
      <c r="S5" s="12"/>
      <c r="T5" s="12"/>
      <c r="U5" s="12"/>
      <c r="V5" s="12"/>
      <c r="W5" s="12"/>
      <c r="X5" s="12"/>
      <c r="Y5" s="12"/>
    </row>
    <row r="6" spans="1:26" x14ac:dyDescent="0.2">
      <c r="B6" s="12"/>
      <c r="C6" s="12"/>
      <c r="D6" s="12"/>
      <c r="E6" s="12"/>
      <c r="F6" s="12"/>
      <c r="G6" s="12"/>
      <c r="H6" s="12"/>
      <c r="I6" s="12"/>
      <c r="J6" s="12"/>
      <c r="K6" s="12"/>
      <c r="L6" s="12"/>
      <c r="M6" s="12"/>
      <c r="N6" s="12"/>
      <c r="O6" s="12"/>
      <c r="P6" s="12"/>
      <c r="Q6" s="12"/>
      <c r="R6" s="12"/>
      <c r="S6" s="12"/>
      <c r="T6" s="12"/>
      <c r="U6" s="12"/>
      <c r="V6" s="12"/>
      <c r="W6" s="12"/>
      <c r="X6" s="12"/>
      <c r="Y6" s="12"/>
    </row>
    <row r="7" spans="1:26" x14ac:dyDescent="0.2">
      <c r="B7" s="12"/>
      <c r="C7" s="12"/>
      <c r="D7" s="12"/>
      <c r="E7" s="12"/>
      <c r="F7" s="12"/>
      <c r="G7" s="12"/>
      <c r="H7" s="12"/>
      <c r="I7" s="12"/>
      <c r="J7" s="12"/>
      <c r="K7" s="12"/>
      <c r="L7" s="12"/>
      <c r="M7" s="12"/>
    </row>
    <row r="8" spans="1:26" x14ac:dyDescent="0.2">
      <c r="B8" s="12"/>
      <c r="C8" s="12"/>
      <c r="D8" s="12"/>
      <c r="E8" s="12"/>
      <c r="F8" s="12"/>
      <c r="G8" s="12"/>
      <c r="H8" s="12"/>
      <c r="I8" s="12"/>
      <c r="J8" s="12"/>
      <c r="K8" s="12"/>
      <c r="L8" s="12"/>
      <c r="M8" s="12"/>
    </row>
    <row r="9" spans="1:26" x14ac:dyDescent="0.2">
      <c r="B9" s="12"/>
      <c r="C9" s="12"/>
      <c r="D9" s="12"/>
      <c r="E9" s="12"/>
      <c r="F9" s="12"/>
      <c r="G9" s="12"/>
      <c r="H9" s="12"/>
      <c r="I9" s="12"/>
      <c r="J9" s="12"/>
      <c r="K9" s="12"/>
      <c r="L9" s="12"/>
      <c r="M9" s="12"/>
    </row>
    <row r="10" spans="1:26" x14ac:dyDescent="0.2">
      <c r="B10" s="12"/>
      <c r="C10" s="12"/>
      <c r="D10" s="12"/>
      <c r="E10" s="12"/>
      <c r="F10" s="12"/>
      <c r="G10" s="12"/>
      <c r="H10" s="12"/>
      <c r="I10" s="12"/>
      <c r="J10" s="12"/>
    </row>
    <row r="11" spans="1:26" x14ac:dyDescent="0.2">
      <c r="B11" s="12"/>
      <c r="C11" s="12"/>
      <c r="D11" s="12"/>
      <c r="E11" s="12"/>
      <c r="F11" s="12"/>
      <c r="G11" s="12"/>
      <c r="H11" s="12"/>
      <c r="I11" s="12"/>
      <c r="J11" s="12"/>
    </row>
    <row r="12" spans="1:26" x14ac:dyDescent="0.2">
      <c r="B12" s="12"/>
      <c r="C12" s="12"/>
      <c r="D12" s="12"/>
      <c r="E12" s="12"/>
      <c r="F12" s="12"/>
      <c r="G12" s="12"/>
      <c r="H12" s="12"/>
      <c r="I12" s="12"/>
      <c r="J12" s="12"/>
    </row>
    <row r="13" spans="1:26" x14ac:dyDescent="0.2">
      <c r="B13" s="12"/>
      <c r="C13" s="12"/>
      <c r="D13" s="12"/>
      <c r="E13" s="12"/>
      <c r="F13" s="12"/>
      <c r="G13" s="12"/>
      <c r="H13" s="12"/>
      <c r="I13" s="12"/>
      <c r="J13" s="12"/>
    </row>
    <row r="14" spans="1:26" x14ac:dyDescent="0.2">
      <c r="B14" s="12"/>
      <c r="C14" s="12"/>
      <c r="D14" s="12"/>
      <c r="E14" s="12"/>
      <c r="F14" s="12"/>
      <c r="G14" s="12"/>
      <c r="H14" s="12"/>
      <c r="I14" s="12"/>
      <c r="J14" s="12"/>
    </row>
    <row r="15" spans="1:26" x14ac:dyDescent="0.2">
      <c r="B15" s="12"/>
      <c r="C15" s="12"/>
      <c r="D15" s="12"/>
      <c r="E15" s="12"/>
      <c r="F15" s="12"/>
      <c r="G15" s="12"/>
      <c r="H15" s="12"/>
      <c r="I15" s="12"/>
      <c r="J15" s="12"/>
      <c r="K15" s="12"/>
      <c r="L15" s="12"/>
      <c r="M15" s="12"/>
    </row>
    <row r="16" spans="1:26" x14ac:dyDescent="0.2">
      <c r="B16" s="12"/>
      <c r="C16" s="12"/>
      <c r="D16" s="12"/>
      <c r="E16" s="12"/>
      <c r="F16" s="12"/>
      <c r="G16" s="12"/>
      <c r="H16" s="12"/>
      <c r="I16" s="12"/>
      <c r="J16" s="12"/>
      <c r="K16" s="12"/>
      <c r="L16" s="12"/>
      <c r="M16" s="12"/>
    </row>
    <row r="17" spans="1:25" x14ac:dyDescent="0.2">
      <c r="B17" s="12"/>
      <c r="C17" s="12"/>
      <c r="D17" s="12"/>
      <c r="E17" s="12"/>
      <c r="F17" s="12"/>
      <c r="G17" s="12"/>
      <c r="H17" s="12"/>
      <c r="I17" s="12"/>
      <c r="J17" s="12"/>
      <c r="K17" s="12"/>
      <c r="L17" s="12"/>
      <c r="M17" s="12"/>
    </row>
    <row r="18" spans="1:25" x14ac:dyDescent="0.2">
      <c r="B18" s="12"/>
      <c r="C18" s="12"/>
      <c r="D18" s="12"/>
      <c r="E18" s="12"/>
      <c r="F18" s="12"/>
      <c r="G18" s="12"/>
      <c r="H18" s="12"/>
      <c r="I18" s="12"/>
      <c r="J18" s="12"/>
      <c r="K18" s="12"/>
      <c r="L18" s="12"/>
      <c r="M18" s="12"/>
      <c r="N18" s="12"/>
      <c r="O18" s="12"/>
      <c r="P18" s="12"/>
      <c r="Q18" s="12"/>
      <c r="R18" s="12"/>
      <c r="S18" s="12"/>
      <c r="T18" s="12"/>
      <c r="U18" s="12"/>
      <c r="V18" s="12"/>
      <c r="W18" s="12"/>
      <c r="X18" s="12"/>
      <c r="Y18" s="12"/>
    </row>
    <row r="19" spans="1:25" x14ac:dyDescent="0.2">
      <c r="B19" s="12"/>
      <c r="C19" s="12"/>
      <c r="D19" s="12"/>
      <c r="E19" s="12"/>
      <c r="F19" s="12"/>
      <c r="G19" s="12"/>
      <c r="H19" s="12"/>
      <c r="I19" s="12"/>
      <c r="J19" s="12"/>
      <c r="K19" s="12"/>
      <c r="L19" s="12"/>
      <c r="M19" s="12"/>
      <c r="N19" s="12"/>
      <c r="O19" s="12"/>
      <c r="P19" s="12"/>
      <c r="Q19" s="12"/>
      <c r="R19" s="12"/>
      <c r="S19" s="12"/>
      <c r="T19" s="12"/>
      <c r="U19" s="12"/>
      <c r="V19" s="12"/>
      <c r="W19" s="12"/>
      <c r="X19" s="12"/>
      <c r="Y19" s="12"/>
    </row>
    <row r="20" spans="1:25" x14ac:dyDescent="0.2">
      <c r="B20" s="12"/>
      <c r="C20" s="12"/>
      <c r="D20" s="12"/>
      <c r="E20" s="12"/>
      <c r="F20" s="12"/>
      <c r="G20" s="12"/>
      <c r="H20" s="12"/>
      <c r="I20" s="12"/>
      <c r="J20" s="12"/>
      <c r="K20" s="12"/>
      <c r="L20" s="12"/>
      <c r="M20" s="12"/>
      <c r="N20" s="12"/>
      <c r="O20" s="12"/>
      <c r="P20" s="12"/>
      <c r="Q20" s="12"/>
      <c r="R20" s="12"/>
      <c r="S20" s="12"/>
      <c r="T20" s="12"/>
      <c r="U20" s="12"/>
      <c r="V20" s="12"/>
      <c r="W20" s="12"/>
      <c r="X20" s="12"/>
      <c r="Y20" s="12"/>
    </row>
    <row r="21" spans="1:25" x14ac:dyDescent="0.2">
      <c r="B21" s="12"/>
      <c r="C21" s="12"/>
      <c r="D21" s="12"/>
      <c r="E21" s="12"/>
      <c r="F21" s="12"/>
      <c r="G21" s="12"/>
      <c r="H21" s="12"/>
      <c r="I21" s="12"/>
      <c r="J21" s="12"/>
      <c r="K21" s="12"/>
      <c r="L21" s="12"/>
      <c r="M21" s="12"/>
      <c r="N21" s="12"/>
      <c r="O21" s="12"/>
      <c r="P21" s="12"/>
      <c r="Q21" s="12"/>
      <c r="R21" s="12"/>
      <c r="S21" s="12"/>
      <c r="T21" s="12"/>
      <c r="U21" s="12"/>
      <c r="V21" s="12"/>
      <c r="W21" s="12"/>
      <c r="X21" s="12"/>
      <c r="Y21" s="12"/>
    </row>
    <row r="22" spans="1:25" x14ac:dyDescent="0.2">
      <c r="B22" s="12"/>
      <c r="C22" s="12"/>
      <c r="D22" s="12"/>
      <c r="E22" s="12"/>
      <c r="F22" s="12"/>
      <c r="G22" s="12"/>
      <c r="H22" s="12"/>
      <c r="I22" s="12"/>
      <c r="J22" s="12"/>
      <c r="K22" s="12"/>
      <c r="L22" s="12"/>
      <c r="M22" s="12"/>
      <c r="N22" s="12"/>
      <c r="O22" s="12"/>
      <c r="P22" s="12"/>
      <c r="Q22" s="12"/>
      <c r="R22" s="12"/>
      <c r="S22" s="12"/>
      <c r="T22" s="12"/>
      <c r="U22" s="12"/>
      <c r="V22" s="12"/>
      <c r="W22" s="12"/>
      <c r="X22" s="12"/>
      <c r="Y22" s="12"/>
    </row>
    <row r="23" spans="1:25" x14ac:dyDescent="0.2">
      <c r="B23" s="12"/>
      <c r="C23" s="12"/>
      <c r="D23" s="12"/>
      <c r="E23" s="12"/>
      <c r="F23" s="12"/>
      <c r="G23" s="12"/>
      <c r="H23" s="12"/>
      <c r="I23" s="12"/>
      <c r="J23" s="12"/>
      <c r="K23" s="12"/>
      <c r="L23" s="12"/>
      <c r="M23" s="12"/>
      <c r="N23" s="12"/>
      <c r="O23" s="12"/>
      <c r="P23" s="12"/>
      <c r="Q23" s="12"/>
      <c r="R23" s="12"/>
      <c r="S23" s="12"/>
      <c r="T23" s="12"/>
      <c r="U23" s="12"/>
      <c r="V23" s="12"/>
      <c r="W23" s="12"/>
      <c r="X23" s="12"/>
      <c r="Y23" s="12"/>
    </row>
    <row r="25" spans="1:25" ht="13.5" thickBot="1" x14ac:dyDescent="0.25">
      <c r="A25" s="6" t="s">
        <v>276</v>
      </c>
    </row>
    <row r="26" spans="1:25" ht="13.5" thickBot="1" x14ac:dyDescent="0.25">
      <c r="A26" s="361" t="s">
        <v>309</v>
      </c>
      <c r="B26" s="359">
        <f>ROW(A26)</f>
        <v>26</v>
      </c>
      <c r="C26" s="363" t="s">
        <v>115</v>
      </c>
      <c r="D26" s="353">
        <f>SUM(B29:Y29)</f>
        <v>9.8449999999999989</v>
      </c>
      <c r="E26" s="363" t="s">
        <v>114</v>
      </c>
      <c r="F26" s="399">
        <f>D26/g/J26</f>
        <v>3.3452259599048584</v>
      </c>
      <c r="G26" s="363" t="s">
        <v>56</v>
      </c>
      <c r="H26" s="64">
        <v>0.3</v>
      </c>
      <c r="I26" s="363" t="s">
        <v>271</v>
      </c>
      <c r="J26" s="355">
        <f>H26-L26</f>
        <v>0.3</v>
      </c>
      <c r="K26" s="363" t="s">
        <v>272</v>
      </c>
      <c r="L26" s="64">
        <v>0</v>
      </c>
      <c r="M26" s="363" t="s">
        <v>57</v>
      </c>
      <c r="N26" s="65">
        <f>0.2*R26</f>
        <v>60</v>
      </c>
      <c r="O26" s="363" t="s">
        <v>59</v>
      </c>
      <c r="P26" s="65">
        <v>150</v>
      </c>
      <c r="Q26" s="363" t="s">
        <v>60</v>
      </c>
      <c r="R26" s="65">
        <v>300</v>
      </c>
      <c r="S26" s="363" t="s">
        <v>61</v>
      </c>
      <c r="T26" s="65">
        <v>90</v>
      </c>
      <c r="U26" s="363" t="s">
        <v>54</v>
      </c>
      <c r="V26" s="66" t="s">
        <v>276</v>
      </c>
      <c r="W26" s="12"/>
      <c r="X26" s="12"/>
      <c r="Y26" s="12"/>
    </row>
    <row r="27" spans="1:25" x14ac:dyDescent="0.2">
      <c r="A27" s="362" t="s">
        <v>33</v>
      </c>
      <c r="B27" s="370">
        <v>0</v>
      </c>
      <c r="C27" s="371">
        <v>1E-3</v>
      </c>
      <c r="D27" s="371">
        <v>0.02</v>
      </c>
      <c r="E27" s="371">
        <v>3.7999999999999999E-2</v>
      </c>
      <c r="F27" s="371">
        <v>0.04</v>
      </c>
      <c r="G27" s="371">
        <v>0.04</v>
      </c>
      <c r="H27" s="371">
        <v>0.04</v>
      </c>
      <c r="I27" s="371">
        <v>0.04</v>
      </c>
      <c r="J27" s="371">
        <v>0.04</v>
      </c>
      <c r="K27" s="371">
        <v>0.04</v>
      </c>
      <c r="L27" s="371">
        <v>0.04</v>
      </c>
      <c r="M27" s="371">
        <v>0.04</v>
      </c>
      <c r="N27" s="371">
        <v>0.04</v>
      </c>
      <c r="O27" s="371">
        <v>0.04</v>
      </c>
      <c r="P27" s="371">
        <v>0.04</v>
      </c>
      <c r="Q27" s="371">
        <v>0.04</v>
      </c>
      <c r="R27" s="371">
        <v>0.04</v>
      </c>
      <c r="S27" s="371">
        <v>0.04</v>
      </c>
      <c r="T27" s="371">
        <v>0.04</v>
      </c>
      <c r="U27" s="371">
        <v>0.04</v>
      </c>
      <c r="V27" s="371">
        <v>0.04</v>
      </c>
      <c r="W27" s="371">
        <v>0.04</v>
      </c>
      <c r="X27" s="371">
        <v>0.04</v>
      </c>
      <c r="Y27" s="381">
        <v>1000</v>
      </c>
    </row>
    <row r="28" spans="1:25" x14ac:dyDescent="0.2">
      <c r="A28" s="378" t="s">
        <v>34</v>
      </c>
      <c r="B28" s="372">
        <v>0</v>
      </c>
      <c r="C28" s="373">
        <v>310</v>
      </c>
      <c r="D28" s="373">
        <v>250</v>
      </c>
      <c r="E28" s="373">
        <v>212</v>
      </c>
      <c r="F28" s="373">
        <v>0</v>
      </c>
      <c r="G28" s="373">
        <v>0</v>
      </c>
      <c r="H28" s="373">
        <v>0</v>
      </c>
      <c r="I28" s="373">
        <v>0</v>
      </c>
      <c r="J28" s="373">
        <v>0</v>
      </c>
      <c r="K28" s="373">
        <v>0</v>
      </c>
      <c r="L28" s="373">
        <v>0</v>
      </c>
      <c r="M28" s="373">
        <v>0</v>
      </c>
      <c r="N28" s="373">
        <v>0</v>
      </c>
      <c r="O28" s="373">
        <v>0</v>
      </c>
      <c r="P28" s="373">
        <v>0</v>
      </c>
      <c r="Q28" s="373">
        <v>0</v>
      </c>
      <c r="R28" s="373">
        <v>0</v>
      </c>
      <c r="S28" s="373">
        <v>0</v>
      </c>
      <c r="T28" s="373">
        <v>0</v>
      </c>
      <c r="U28" s="373">
        <v>0</v>
      </c>
      <c r="V28" s="373">
        <v>0</v>
      </c>
      <c r="W28" s="373">
        <v>0</v>
      </c>
      <c r="X28" s="373">
        <v>0</v>
      </c>
      <c r="Y28" s="382">
        <v>0</v>
      </c>
    </row>
    <row r="29" spans="1:25" ht="13.5" thickBot="1" x14ac:dyDescent="0.25">
      <c r="A29" s="379" t="s">
        <v>116</v>
      </c>
      <c r="B29" s="374">
        <f t="shared" ref="B29:X29" si="2">(C28+B28)*(C27-B27)/2</f>
        <v>0.155</v>
      </c>
      <c r="C29" s="375">
        <f t="shared" si="2"/>
        <v>5.32</v>
      </c>
      <c r="D29" s="375">
        <f t="shared" si="2"/>
        <v>4.1579999999999995</v>
      </c>
      <c r="E29" s="375">
        <f t="shared" si="2"/>
        <v>0.21200000000000019</v>
      </c>
      <c r="F29" s="375">
        <f t="shared" si="2"/>
        <v>0</v>
      </c>
      <c r="G29" s="375">
        <f t="shared" si="2"/>
        <v>0</v>
      </c>
      <c r="H29" s="375">
        <f t="shared" si="2"/>
        <v>0</v>
      </c>
      <c r="I29" s="375">
        <f t="shared" si="2"/>
        <v>0</v>
      </c>
      <c r="J29" s="375">
        <f t="shared" si="2"/>
        <v>0</v>
      </c>
      <c r="K29" s="375">
        <f t="shared" si="2"/>
        <v>0</v>
      </c>
      <c r="L29" s="375">
        <f t="shared" si="2"/>
        <v>0</v>
      </c>
      <c r="M29" s="375">
        <f t="shared" si="2"/>
        <v>0</v>
      </c>
      <c r="N29" s="375">
        <f t="shared" si="2"/>
        <v>0</v>
      </c>
      <c r="O29" s="375">
        <f t="shared" si="2"/>
        <v>0</v>
      </c>
      <c r="P29" s="375">
        <f t="shared" si="2"/>
        <v>0</v>
      </c>
      <c r="Q29" s="375">
        <f t="shared" si="2"/>
        <v>0</v>
      </c>
      <c r="R29" s="375">
        <f t="shared" si="2"/>
        <v>0</v>
      </c>
      <c r="S29" s="375">
        <f t="shared" si="2"/>
        <v>0</v>
      </c>
      <c r="T29" s="375">
        <f t="shared" si="2"/>
        <v>0</v>
      </c>
      <c r="U29" s="375">
        <f t="shared" si="2"/>
        <v>0</v>
      </c>
      <c r="V29" s="375">
        <f t="shared" si="2"/>
        <v>0</v>
      </c>
      <c r="W29" s="375">
        <f t="shared" si="2"/>
        <v>0</v>
      </c>
      <c r="X29" s="375">
        <f t="shared" si="2"/>
        <v>0</v>
      </c>
      <c r="Y29" s="369"/>
    </row>
    <row r="30" spans="1:25" ht="13.5" thickBot="1" x14ac:dyDescent="0.25">
      <c r="A30" s="12"/>
      <c r="L30" s="12"/>
      <c r="M30" s="12"/>
      <c r="N30" s="12"/>
      <c r="O30" s="12"/>
      <c r="P30" s="12"/>
      <c r="Q30" s="12"/>
      <c r="R30" s="12"/>
      <c r="S30" s="12"/>
      <c r="T30" s="12"/>
      <c r="U30" s="12"/>
      <c r="V30" s="12"/>
      <c r="W30" s="12"/>
      <c r="X30" s="12"/>
      <c r="Y30" s="12"/>
    </row>
    <row r="31" spans="1:25" ht="13.5" thickBot="1" x14ac:dyDescent="0.25">
      <c r="A31" s="361" t="s">
        <v>310</v>
      </c>
      <c r="B31" s="359">
        <f>ROW(A31)</f>
        <v>31</v>
      </c>
      <c r="C31" s="363" t="s">
        <v>115</v>
      </c>
      <c r="D31" s="353">
        <f>SUM(B34:Y34)</f>
        <v>13.814500000000002</v>
      </c>
      <c r="E31" s="363" t="s">
        <v>114</v>
      </c>
      <c r="F31" s="399">
        <f>D31/g/J31</f>
        <v>3.1293464718541175</v>
      </c>
      <c r="G31" s="363" t="s">
        <v>56</v>
      </c>
      <c r="H31" s="64">
        <v>0.45</v>
      </c>
      <c r="I31" s="363" t="s">
        <v>271</v>
      </c>
      <c r="J31" s="355">
        <f>H31-L31</f>
        <v>0.45</v>
      </c>
      <c r="K31" s="363" t="s">
        <v>272</v>
      </c>
      <c r="L31" s="64">
        <v>0</v>
      </c>
      <c r="M31" s="363" t="s">
        <v>57</v>
      </c>
      <c r="N31" s="65">
        <f>0.3*R31</f>
        <v>90</v>
      </c>
      <c r="O31" s="363" t="s">
        <v>59</v>
      </c>
      <c r="P31" s="65">
        <v>150</v>
      </c>
      <c r="Q31" s="363" t="s">
        <v>60</v>
      </c>
      <c r="R31" s="65">
        <v>300</v>
      </c>
      <c r="S31" s="363" t="s">
        <v>61</v>
      </c>
      <c r="T31" s="65">
        <v>90</v>
      </c>
      <c r="U31" s="363" t="s">
        <v>54</v>
      </c>
      <c r="V31" s="66" t="s">
        <v>276</v>
      </c>
      <c r="W31" s="12"/>
      <c r="X31" s="12"/>
      <c r="Y31" s="12"/>
    </row>
    <row r="32" spans="1:25" x14ac:dyDescent="0.2">
      <c r="A32" s="362" t="s">
        <v>33</v>
      </c>
      <c r="B32" s="370">
        <v>0</v>
      </c>
      <c r="C32" s="371">
        <v>1E-3</v>
      </c>
      <c r="D32" s="371">
        <v>0.02</v>
      </c>
      <c r="E32" s="371">
        <v>0.04</v>
      </c>
      <c r="F32" s="371">
        <v>6.0999999999999999E-2</v>
      </c>
      <c r="G32" s="371">
        <v>6.2E-2</v>
      </c>
      <c r="H32" s="371">
        <v>6.2E-2</v>
      </c>
      <c r="I32" s="371">
        <v>6.2E-2</v>
      </c>
      <c r="J32" s="371">
        <v>6.2E-2</v>
      </c>
      <c r="K32" s="371">
        <v>6.2E-2</v>
      </c>
      <c r="L32" s="371">
        <v>6.2E-2</v>
      </c>
      <c r="M32" s="371">
        <v>6.2E-2</v>
      </c>
      <c r="N32" s="371">
        <v>6.2E-2</v>
      </c>
      <c r="O32" s="371">
        <v>6.2E-2</v>
      </c>
      <c r="P32" s="371">
        <v>6.2E-2</v>
      </c>
      <c r="Q32" s="371">
        <v>6.2E-2</v>
      </c>
      <c r="R32" s="371">
        <v>6.2E-2</v>
      </c>
      <c r="S32" s="371">
        <v>6.2E-2</v>
      </c>
      <c r="T32" s="371">
        <v>6.2E-2</v>
      </c>
      <c r="U32" s="371">
        <v>6.2E-2</v>
      </c>
      <c r="V32" s="371">
        <v>6.2E-2</v>
      </c>
      <c r="W32" s="371">
        <v>6.2E-2</v>
      </c>
      <c r="X32" s="371">
        <v>6.2E-2</v>
      </c>
      <c r="Y32" s="381">
        <v>1000</v>
      </c>
    </row>
    <row r="33" spans="1:25" x14ac:dyDescent="0.2">
      <c r="A33" s="378" t="s">
        <v>34</v>
      </c>
      <c r="B33" s="372">
        <v>0</v>
      </c>
      <c r="C33" s="373">
        <v>310</v>
      </c>
      <c r="D33" s="373">
        <v>245</v>
      </c>
      <c r="E33" s="373">
        <v>200</v>
      </c>
      <c r="F33" s="373">
        <v>167</v>
      </c>
      <c r="G33" s="373">
        <v>0</v>
      </c>
      <c r="H33" s="373">
        <v>0</v>
      </c>
      <c r="I33" s="373">
        <v>0</v>
      </c>
      <c r="J33" s="373">
        <v>0</v>
      </c>
      <c r="K33" s="373">
        <v>0</v>
      </c>
      <c r="L33" s="373">
        <v>0</v>
      </c>
      <c r="M33" s="373">
        <v>0</v>
      </c>
      <c r="N33" s="373">
        <v>0</v>
      </c>
      <c r="O33" s="373">
        <v>0</v>
      </c>
      <c r="P33" s="373">
        <v>0</v>
      </c>
      <c r="Q33" s="373">
        <v>0</v>
      </c>
      <c r="R33" s="373">
        <v>0</v>
      </c>
      <c r="S33" s="373">
        <v>0</v>
      </c>
      <c r="T33" s="373">
        <v>0</v>
      </c>
      <c r="U33" s="373">
        <v>0</v>
      </c>
      <c r="V33" s="373">
        <v>0</v>
      </c>
      <c r="W33" s="373">
        <v>0</v>
      </c>
      <c r="X33" s="373">
        <v>0</v>
      </c>
      <c r="Y33" s="382">
        <v>0</v>
      </c>
    </row>
    <row r="34" spans="1:25" ht="13.5" thickBot="1" x14ac:dyDescent="0.25">
      <c r="A34" s="379" t="s">
        <v>116</v>
      </c>
      <c r="B34" s="374">
        <f t="shared" ref="B34:X34" si="3">(C33+B33)*(C32-B32)/2</f>
        <v>0.155</v>
      </c>
      <c r="C34" s="375">
        <f t="shared" si="3"/>
        <v>5.2725</v>
      </c>
      <c r="D34" s="375">
        <f t="shared" si="3"/>
        <v>4.45</v>
      </c>
      <c r="E34" s="375">
        <f t="shared" si="3"/>
        <v>3.8534999999999995</v>
      </c>
      <c r="F34" s="375">
        <f t="shared" si="3"/>
        <v>8.3500000000000074E-2</v>
      </c>
      <c r="G34" s="375">
        <f t="shared" si="3"/>
        <v>0</v>
      </c>
      <c r="H34" s="375">
        <f t="shared" si="3"/>
        <v>0</v>
      </c>
      <c r="I34" s="375">
        <f t="shared" si="3"/>
        <v>0</v>
      </c>
      <c r="J34" s="375">
        <f t="shared" si="3"/>
        <v>0</v>
      </c>
      <c r="K34" s="375">
        <f t="shared" si="3"/>
        <v>0</v>
      </c>
      <c r="L34" s="375">
        <f t="shared" si="3"/>
        <v>0</v>
      </c>
      <c r="M34" s="375">
        <f t="shared" si="3"/>
        <v>0</v>
      </c>
      <c r="N34" s="375">
        <f t="shared" si="3"/>
        <v>0</v>
      </c>
      <c r="O34" s="375">
        <f t="shared" si="3"/>
        <v>0</v>
      </c>
      <c r="P34" s="375">
        <f t="shared" si="3"/>
        <v>0</v>
      </c>
      <c r="Q34" s="375">
        <f t="shared" si="3"/>
        <v>0</v>
      </c>
      <c r="R34" s="375">
        <f t="shared" si="3"/>
        <v>0</v>
      </c>
      <c r="S34" s="375">
        <f t="shared" si="3"/>
        <v>0</v>
      </c>
      <c r="T34" s="375">
        <f t="shared" si="3"/>
        <v>0</v>
      </c>
      <c r="U34" s="375">
        <f t="shared" si="3"/>
        <v>0</v>
      </c>
      <c r="V34" s="375">
        <f t="shared" si="3"/>
        <v>0</v>
      </c>
      <c r="W34" s="375">
        <f t="shared" si="3"/>
        <v>0</v>
      </c>
      <c r="X34" s="375">
        <f t="shared" si="3"/>
        <v>0</v>
      </c>
      <c r="Y34" s="369"/>
    </row>
    <row r="35" spans="1:25" ht="13.5" thickBot="1" x14ac:dyDescent="0.25">
      <c r="B35" s="12"/>
      <c r="C35" s="12"/>
      <c r="D35" s="12"/>
      <c r="E35" s="12"/>
      <c r="F35" s="12"/>
      <c r="G35" s="12"/>
      <c r="H35" s="12"/>
      <c r="I35" s="12"/>
      <c r="J35" s="12"/>
      <c r="K35" s="12"/>
      <c r="L35" s="12"/>
      <c r="M35" s="12"/>
      <c r="N35" s="12"/>
      <c r="O35" s="12"/>
      <c r="P35" s="12"/>
      <c r="Q35" s="12"/>
      <c r="R35" s="12"/>
      <c r="S35" s="12"/>
      <c r="T35" s="12"/>
      <c r="U35" s="12"/>
      <c r="V35" s="12"/>
      <c r="W35" s="12"/>
      <c r="X35" s="12"/>
      <c r="Y35" s="12"/>
    </row>
    <row r="36" spans="1:25" ht="13.5" thickBot="1" x14ac:dyDescent="0.25">
      <c r="A36" s="361" t="s">
        <v>311</v>
      </c>
      <c r="B36" s="359">
        <f>ROW(A36)</f>
        <v>36</v>
      </c>
      <c r="C36" s="363" t="s">
        <v>115</v>
      </c>
      <c r="D36" s="353">
        <f>SUM(B39:Y39)</f>
        <v>17.144499999999997</v>
      </c>
      <c r="E36" s="363" t="s">
        <v>114</v>
      </c>
      <c r="F36" s="399">
        <f>D36/g/J36</f>
        <v>2.9127590893645934</v>
      </c>
      <c r="G36" s="363" t="s">
        <v>56</v>
      </c>
      <c r="H36" s="64">
        <v>0.6</v>
      </c>
      <c r="I36" s="363" t="s">
        <v>271</v>
      </c>
      <c r="J36" s="355">
        <f>H36-L36</f>
        <v>0.6</v>
      </c>
      <c r="K36" s="363" t="s">
        <v>272</v>
      </c>
      <c r="L36" s="64">
        <v>0</v>
      </c>
      <c r="M36" s="363" t="s">
        <v>57</v>
      </c>
      <c r="N36" s="65">
        <f>0.4*R36</f>
        <v>120</v>
      </c>
      <c r="O36" s="363" t="s">
        <v>59</v>
      </c>
      <c r="P36" s="65">
        <v>150</v>
      </c>
      <c r="Q36" s="363" t="s">
        <v>60</v>
      </c>
      <c r="R36" s="65">
        <v>300</v>
      </c>
      <c r="S36" s="363" t="s">
        <v>61</v>
      </c>
      <c r="T36" s="65">
        <v>90</v>
      </c>
      <c r="U36" s="363" t="s">
        <v>54</v>
      </c>
      <c r="V36" s="66" t="s">
        <v>276</v>
      </c>
      <c r="W36" s="12"/>
      <c r="X36" s="12"/>
      <c r="Y36" s="12"/>
    </row>
    <row r="37" spans="1:25" x14ac:dyDescent="0.2">
      <c r="A37" s="362" t="s">
        <v>33</v>
      </c>
      <c r="B37" s="370">
        <v>0</v>
      </c>
      <c r="C37" s="371">
        <v>1E-3</v>
      </c>
      <c r="D37" s="371">
        <v>0.02</v>
      </c>
      <c r="E37" s="371">
        <v>0.04</v>
      </c>
      <c r="F37" s="371">
        <v>0.06</v>
      </c>
      <c r="G37" s="371">
        <v>0.08</v>
      </c>
      <c r="H37" s="371">
        <v>8.7999999999999995E-2</v>
      </c>
      <c r="I37" s="371">
        <v>8.8999999999999996E-2</v>
      </c>
      <c r="J37" s="371">
        <v>8.8999999999999996E-2</v>
      </c>
      <c r="K37" s="371">
        <v>8.8999999999999996E-2</v>
      </c>
      <c r="L37" s="371">
        <v>8.8999999999999996E-2</v>
      </c>
      <c r="M37" s="371">
        <v>8.8999999999999996E-2</v>
      </c>
      <c r="N37" s="371">
        <v>8.8999999999999996E-2</v>
      </c>
      <c r="O37" s="371">
        <v>8.8999999999999996E-2</v>
      </c>
      <c r="P37" s="371">
        <v>8.8999999999999996E-2</v>
      </c>
      <c r="Q37" s="371">
        <v>8.8999999999999996E-2</v>
      </c>
      <c r="R37" s="371">
        <v>8.8999999999999996E-2</v>
      </c>
      <c r="S37" s="371">
        <v>8.8999999999999996E-2</v>
      </c>
      <c r="T37" s="371">
        <v>8.8999999999999996E-2</v>
      </c>
      <c r="U37" s="371">
        <v>8.8999999999999996E-2</v>
      </c>
      <c r="V37" s="371">
        <v>8.8999999999999996E-2</v>
      </c>
      <c r="W37" s="371">
        <v>8.8999999999999996E-2</v>
      </c>
      <c r="X37" s="371">
        <v>8.8999999999999996E-2</v>
      </c>
      <c r="Y37" s="381">
        <v>1000</v>
      </c>
    </row>
    <row r="38" spans="1:25" x14ac:dyDescent="0.2">
      <c r="A38" s="378" t="s">
        <v>34</v>
      </c>
      <c r="B38" s="372">
        <v>0</v>
      </c>
      <c r="C38" s="373">
        <v>310</v>
      </c>
      <c r="D38" s="373">
        <v>240</v>
      </c>
      <c r="E38" s="373">
        <v>190</v>
      </c>
      <c r="F38" s="373">
        <v>157</v>
      </c>
      <c r="G38" s="373">
        <v>133</v>
      </c>
      <c r="H38" s="373">
        <v>125</v>
      </c>
      <c r="I38" s="373">
        <v>0</v>
      </c>
      <c r="J38" s="373">
        <v>0</v>
      </c>
      <c r="K38" s="373">
        <v>0</v>
      </c>
      <c r="L38" s="373">
        <v>0</v>
      </c>
      <c r="M38" s="373">
        <v>0</v>
      </c>
      <c r="N38" s="373">
        <v>0</v>
      </c>
      <c r="O38" s="373">
        <v>0</v>
      </c>
      <c r="P38" s="373">
        <v>0</v>
      </c>
      <c r="Q38" s="373">
        <v>0</v>
      </c>
      <c r="R38" s="373">
        <v>0</v>
      </c>
      <c r="S38" s="373">
        <v>0</v>
      </c>
      <c r="T38" s="373">
        <v>0</v>
      </c>
      <c r="U38" s="373">
        <v>0</v>
      </c>
      <c r="V38" s="373">
        <v>0</v>
      </c>
      <c r="W38" s="373">
        <v>0</v>
      </c>
      <c r="X38" s="373">
        <v>0</v>
      </c>
      <c r="Y38" s="382">
        <v>0</v>
      </c>
    </row>
    <row r="39" spans="1:25" ht="13.5" thickBot="1" x14ac:dyDescent="0.25">
      <c r="A39" s="379" t="s">
        <v>116</v>
      </c>
      <c r="B39" s="374">
        <f t="shared" ref="B39:X39" si="4">(C38+B38)*(C37-B37)/2</f>
        <v>0.155</v>
      </c>
      <c r="C39" s="375">
        <f t="shared" si="4"/>
        <v>5.2249999999999996</v>
      </c>
      <c r="D39" s="375">
        <f t="shared" si="4"/>
        <v>4.3</v>
      </c>
      <c r="E39" s="375">
        <f t="shared" si="4"/>
        <v>3.4699999999999993</v>
      </c>
      <c r="F39" s="375">
        <f t="shared" si="4"/>
        <v>2.9000000000000004</v>
      </c>
      <c r="G39" s="375">
        <f t="shared" si="4"/>
        <v>1.0319999999999991</v>
      </c>
      <c r="H39" s="375">
        <f t="shared" si="4"/>
        <v>6.2500000000000056E-2</v>
      </c>
      <c r="I39" s="375">
        <f t="shared" si="4"/>
        <v>0</v>
      </c>
      <c r="J39" s="375">
        <f t="shared" si="4"/>
        <v>0</v>
      </c>
      <c r="K39" s="375">
        <f t="shared" si="4"/>
        <v>0</v>
      </c>
      <c r="L39" s="375">
        <f t="shared" si="4"/>
        <v>0</v>
      </c>
      <c r="M39" s="375">
        <f t="shared" si="4"/>
        <v>0</v>
      </c>
      <c r="N39" s="375">
        <f t="shared" si="4"/>
        <v>0</v>
      </c>
      <c r="O39" s="375">
        <f t="shared" si="4"/>
        <v>0</v>
      </c>
      <c r="P39" s="375">
        <f t="shared" si="4"/>
        <v>0</v>
      </c>
      <c r="Q39" s="375">
        <f t="shared" si="4"/>
        <v>0</v>
      </c>
      <c r="R39" s="375">
        <f t="shared" si="4"/>
        <v>0</v>
      </c>
      <c r="S39" s="375">
        <f t="shared" si="4"/>
        <v>0</v>
      </c>
      <c r="T39" s="375">
        <f t="shared" si="4"/>
        <v>0</v>
      </c>
      <c r="U39" s="375">
        <f t="shared" si="4"/>
        <v>0</v>
      </c>
      <c r="V39" s="375">
        <f t="shared" si="4"/>
        <v>0</v>
      </c>
      <c r="W39" s="375">
        <f t="shared" si="4"/>
        <v>0</v>
      </c>
      <c r="X39" s="375">
        <f t="shared" si="4"/>
        <v>0</v>
      </c>
      <c r="Y39" s="369"/>
    </row>
    <row r="40" spans="1:25" ht="13.5" thickBot="1" x14ac:dyDescent="0.25">
      <c r="A40" s="12"/>
      <c r="L40" s="12"/>
      <c r="M40" s="12"/>
      <c r="N40" s="12"/>
      <c r="O40" s="12"/>
      <c r="P40" s="12"/>
      <c r="Q40" s="12"/>
      <c r="R40" s="12"/>
      <c r="S40" s="12"/>
      <c r="T40" s="12"/>
      <c r="U40" s="12"/>
      <c r="V40" s="12"/>
      <c r="W40" s="12"/>
      <c r="X40" s="12"/>
      <c r="Y40" s="12"/>
    </row>
    <row r="41" spans="1:25" ht="13.5" thickBot="1" x14ac:dyDescent="0.25">
      <c r="A41" s="361" t="s">
        <v>312</v>
      </c>
      <c r="B41" s="359">
        <f>ROW(A41)</f>
        <v>41</v>
      </c>
      <c r="C41" s="363" t="s">
        <v>115</v>
      </c>
      <c r="D41" s="353">
        <f>SUM(B44:Y44)</f>
        <v>19.415000000000003</v>
      </c>
      <c r="E41" s="363" t="s">
        <v>114</v>
      </c>
      <c r="F41" s="399">
        <f>D41/g/J41</f>
        <v>2.6388039415562354</v>
      </c>
      <c r="G41" s="363" t="s">
        <v>56</v>
      </c>
      <c r="H41" s="64">
        <v>0.75</v>
      </c>
      <c r="I41" s="363" t="s">
        <v>271</v>
      </c>
      <c r="J41" s="355">
        <f>H41-L41</f>
        <v>0.75</v>
      </c>
      <c r="K41" s="363" t="s">
        <v>272</v>
      </c>
      <c r="L41" s="64">
        <v>0</v>
      </c>
      <c r="M41" s="363" t="s">
        <v>57</v>
      </c>
      <c r="N41" s="65">
        <f>0.5*R41</f>
        <v>150</v>
      </c>
      <c r="O41" s="363" t="s">
        <v>59</v>
      </c>
      <c r="P41" s="65">
        <v>150</v>
      </c>
      <c r="Q41" s="363" t="s">
        <v>60</v>
      </c>
      <c r="R41" s="65">
        <v>300</v>
      </c>
      <c r="S41" s="363" t="s">
        <v>61</v>
      </c>
      <c r="T41" s="65">
        <v>90</v>
      </c>
      <c r="U41" s="363" t="s">
        <v>54</v>
      </c>
      <c r="V41" s="66" t="s">
        <v>276</v>
      </c>
      <c r="W41" s="12"/>
      <c r="X41" s="12"/>
      <c r="Y41" s="12"/>
    </row>
    <row r="42" spans="1:25" x14ac:dyDescent="0.2">
      <c r="A42" s="362" t="s">
        <v>33</v>
      </c>
      <c r="B42" s="370">
        <v>0</v>
      </c>
      <c r="C42" s="371">
        <v>1E-3</v>
      </c>
      <c r="D42" s="371">
        <v>0.02</v>
      </c>
      <c r="E42" s="371">
        <v>0.04</v>
      </c>
      <c r="F42" s="371">
        <v>0.06</v>
      </c>
      <c r="G42" s="371">
        <v>0.08</v>
      </c>
      <c r="H42" s="371">
        <v>0.1</v>
      </c>
      <c r="I42" s="371">
        <v>0.123</v>
      </c>
      <c r="J42" s="371">
        <v>0.124</v>
      </c>
      <c r="K42" s="371">
        <v>0.124</v>
      </c>
      <c r="L42" s="371">
        <v>0.124</v>
      </c>
      <c r="M42" s="371">
        <v>0.124</v>
      </c>
      <c r="N42" s="371">
        <v>0.124</v>
      </c>
      <c r="O42" s="371">
        <v>0.124</v>
      </c>
      <c r="P42" s="371">
        <v>0.124</v>
      </c>
      <c r="Q42" s="371">
        <v>0.124</v>
      </c>
      <c r="R42" s="371">
        <v>0.124</v>
      </c>
      <c r="S42" s="371">
        <v>0.124</v>
      </c>
      <c r="T42" s="371">
        <v>0.124</v>
      </c>
      <c r="U42" s="371">
        <v>0.124</v>
      </c>
      <c r="V42" s="371">
        <v>0.124</v>
      </c>
      <c r="W42" s="371">
        <v>0.124</v>
      </c>
      <c r="X42" s="371">
        <v>0.124</v>
      </c>
      <c r="Y42" s="381">
        <v>1000</v>
      </c>
    </row>
    <row r="43" spans="1:25" x14ac:dyDescent="0.2">
      <c r="A43" s="378" t="s">
        <v>34</v>
      </c>
      <c r="B43" s="372">
        <v>0</v>
      </c>
      <c r="C43" s="373">
        <v>310</v>
      </c>
      <c r="D43" s="373">
        <v>230</v>
      </c>
      <c r="E43" s="373">
        <v>175</v>
      </c>
      <c r="F43" s="373">
        <v>140</v>
      </c>
      <c r="G43" s="373">
        <v>118</v>
      </c>
      <c r="H43" s="373">
        <v>100</v>
      </c>
      <c r="I43" s="373">
        <v>85</v>
      </c>
      <c r="J43" s="373">
        <v>0</v>
      </c>
      <c r="K43" s="373">
        <v>0</v>
      </c>
      <c r="L43" s="373">
        <v>0</v>
      </c>
      <c r="M43" s="373">
        <v>0</v>
      </c>
      <c r="N43" s="373">
        <v>0</v>
      </c>
      <c r="O43" s="373">
        <v>0</v>
      </c>
      <c r="P43" s="373">
        <v>0</v>
      </c>
      <c r="Q43" s="373">
        <v>0</v>
      </c>
      <c r="R43" s="373">
        <v>0</v>
      </c>
      <c r="S43" s="373">
        <v>0</v>
      </c>
      <c r="T43" s="373">
        <v>0</v>
      </c>
      <c r="U43" s="373">
        <v>0</v>
      </c>
      <c r="V43" s="373">
        <v>0</v>
      </c>
      <c r="W43" s="373">
        <v>0</v>
      </c>
      <c r="X43" s="373">
        <v>0</v>
      </c>
      <c r="Y43" s="382">
        <v>0</v>
      </c>
    </row>
    <row r="44" spans="1:25" ht="13.5" thickBot="1" x14ac:dyDescent="0.25">
      <c r="A44" s="379" t="s">
        <v>116</v>
      </c>
      <c r="B44" s="374">
        <f t="shared" ref="B44:X44" si="5">(C43+B43)*(C42-B42)/2</f>
        <v>0.155</v>
      </c>
      <c r="C44" s="375">
        <f t="shared" si="5"/>
        <v>5.13</v>
      </c>
      <c r="D44" s="375">
        <f t="shared" si="5"/>
        <v>4.05</v>
      </c>
      <c r="E44" s="375">
        <f t="shared" si="5"/>
        <v>3.1499999999999995</v>
      </c>
      <c r="F44" s="375">
        <f t="shared" si="5"/>
        <v>2.5800000000000005</v>
      </c>
      <c r="G44" s="375">
        <f t="shared" si="5"/>
        <v>2.1800000000000006</v>
      </c>
      <c r="H44" s="375">
        <f t="shared" si="5"/>
        <v>2.1274999999999995</v>
      </c>
      <c r="I44" s="375">
        <f t="shared" si="5"/>
        <v>4.2500000000000038E-2</v>
      </c>
      <c r="J44" s="375">
        <f t="shared" si="5"/>
        <v>0</v>
      </c>
      <c r="K44" s="375">
        <f t="shared" si="5"/>
        <v>0</v>
      </c>
      <c r="L44" s="375">
        <f t="shared" si="5"/>
        <v>0</v>
      </c>
      <c r="M44" s="375">
        <f t="shared" si="5"/>
        <v>0</v>
      </c>
      <c r="N44" s="375">
        <f t="shared" si="5"/>
        <v>0</v>
      </c>
      <c r="O44" s="375">
        <f t="shared" si="5"/>
        <v>0</v>
      </c>
      <c r="P44" s="375">
        <f t="shared" si="5"/>
        <v>0</v>
      </c>
      <c r="Q44" s="375">
        <f t="shared" si="5"/>
        <v>0</v>
      </c>
      <c r="R44" s="375">
        <f t="shared" si="5"/>
        <v>0</v>
      </c>
      <c r="S44" s="375">
        <f t="shared" si="5"/>
        <v>0</v>
      </c>
      <c r="T44" s="375">
        <f t="shared" si="5"/>
        <v>0</v>
      </c>
      <c r="U44" s="375">
        <f t="shared" si="5"/>
        <v>0</v>
      </c>
      <c r="V44" s="375">
        <f t="shared" si="5"/>
        <v>0</v>
      </c>
      <c r="W44" s="375">
        <f t="shared" si="5"/>
        <v>0</v>
      </c>
      <c r="X44" s="375">
        <f t="shared" si="5"/>
        <v>0</v>
      </c>
      <c r="Y44" s="369"/>
    </row>
    <row r="45" spans="1:25" ht="13.5" thickBot="1" x14ac:dyDescent="0.25"/>
    <row r="46" spans="1:25" ht="13.5" thickBot="1" x14ac:dyDescent="0.25">
      <c r="A46" s="361" t="s">
        <v>277</v>
      </c>
      <c r="B46" s="359">
        <f>ROW(A46)</f>
        <v>46</v>
      </c>
      <c r="C46" s="363" t="s">
        <v>115</v>
      </c>
      <c r="D46" s="353">
        <f>SUM(B49:Y49)</f>
        <v>12.8695</v>
      </c>
      <c r="E46" s="363" t="s">
        <v>114</v>
      </c>
      <c r="F46" s="399">
        <f>D46/g/J46</f>
        <v>3.2796890927624869</v>
      </c>
      <c r="G46" s="363" t="s">
        <v>56</v>
      </c>
      <c r="H46" s="64">
        <v>0.5</v>
      </c>
      <c r="I46" s="363" t="s">
        <v>271</v>
      </c>
      <c r="J46" s="355">
        <f>H46-L46</f>
        <v>0.4</v>
      </c>
      <c r="K46" s="363" t="s">
        <v>272</v>
      </c>
      <c r="L46" s="64">
        <v>0.1</v>
      </c>
      <c r="M46" s="363" t="s">
        <v>57</v>
      </c>
      <c r="N46" s="65">
        <f>0.2*R46</f>
        <v>60</v>
      </c>
      <c r="O46" s="363" t="s">
        <v>59</v>
      </c>
      <c r="P46" s="65">
        <v>150</v>
      </c>
      <c r="Q46" s="363" t="s">
        <v>60</v>
      </c>
      <c r="R46" s="65">
        <v>300</v>
      </c>
      <c r="S46" s="363" t="s">
        <v>61</v>
      </c>
      <c r="T46" s="65">
        <v>98</v>
      </c>
      <c r="U46" s="363" t="s">
        <v>54</v>
      </c>
      <c r="V46" s="66" t="s">
        <v>276</v>
      </c>
      <c r="W46" s="12"/>
      <c r="X46" s="12"/>
      <c r="Y46" s="12"/>
    </row>
    <row r="47" spans="1:25" x14ac:dyDescent="0.2">
      <c r="A47" s="362" t="s">
        <v>33</v>
      </c>
      <c r="B47" s="370">
        <v>0</v>
      </c>
      <c r="C47" s="371">
        <v>1E-3</v>
      </c>
      <c r="D47" s="371">
        <v>0.02</v>
      </c>
      <c r="E47" s="371">
        <v>0.04</v>
      </c>
      <c r="F47" s="371">
        <v>0.05</v>
      </c>
      <c r="G47" s="371">
        <v>5.0999999999999997E-2</v>
      </c>
      <c r="H47" s="371">
        <v>5.0999999999999997E-2</v>
      </c>
      <c r="I47" s="371">
        <v>5.0999999999999997E-2</v>
      </c>
      <c r="J47" s="371">
        <v>5.0999999999999997E-2</v>
      </c>
      <c r="K47" s="371">
        <v>5.0999999999999997E-2</v>
      </c>
      <c r="L47" s="371">
        <v>5.0999999999999997E-2</v>
      </c>
      <c r="M47" s="371">
        <v>5.0999999999999997E-2</v>
      </c>
      <c r="N47" s="371">
        <v>5.0999999999999997E-2</v>
      </c>
      <c r="O47" s="371">
        <v>5.0999999999999997E-2</v>
      </c>
      <c r="P47" s="371">
        <v>5.0999999999999997E-2</v>
      </c>
      <c r="Q47" s="371">
        <v>5.0999999999999997E-2</v>
      </c>
      <c r="R47" s="371">
        <v>5.0999999999999997E-2</v>
      </c>
      <c r="S47" s="371">
        <v>5.0999999999999997E-2</v>
      </c>
      <c r="T47" s="371">
        <v>5.0999999999999997E-2</v>
      </c>
      <c r="U47" s="371">
        <v>5.0999999999999997E-2</v>
      </c>
      <c r="V47" s="371">
        <v>5.0999999999999997E-2</v>
      </c>
      <c r="W47" s="371">
        <v>5.0999999999999997E-2</v>
      </c>
      <c r="X47" s="371">
        <v>5.0999999999999997E-2</v>
      </c>
      <c r="Y47" s="381">
        <v>1000</v>
      </c>
    </row>
    <row r="48" spans="1:25" x14ac:dyDescent="0.2">
      <c r="A48" s="378" t="s">
        <v>34</v>
      </c>
      <c r="B48" s="372">
        <v>0</v>
      </c>
      <c r="C48" s="373">
        <v>310</v>
      </c>
      <c r="D48" s="373">
        <v>264</v>
      </c>
      <c r="E48" s="373">
        <v>230</v>
      </c>
      <c r="F48" s="373">
        <v>213</v>
      </c>
      <c r="G48" s="373">
        <v>0</v>
      </c>
      <c r="H48" s="373">
        <v>0</v>
      </c>
      <c r="I48" s="373">
        <v>0</v>
      </c>
      <c r="J48" s="373">
        <v>0</v>
      </c>
      <c r="K48" s="373">
        <v>0</v>
      </c>
      <c r="L48" s="373">
        <v>0</v>
      </c>
      <c r="M48" s="373">
        <v>0</v>
      </c>
      <c r="N48" s="373">
        <v>0</v>
      </c>
      <c r="O48" s="373">
        <v>0</v>
      </c>
      <c r="P48" s="373">
        <v>0</v>
      </c>
      <c r="Q48" s="373">
        <v>0</v>
      </c>
      <c r="R48" s="373">
        <v>0</v>
      </c>
      <c r="S48" s="373">
        <v>0</v>
      </c>
      <c r="T48" s="373">
        <v>0</v>
      </c>
      <c r="U48" s="373">
        <v>0</v>
      </c>
      <c r="V48" s="373">
        <v>0</v>
      </c>
      <c r="W48" s="373">
        <v>0</v>
      </c>
      <c r="X48" s="373">
        <v>0</v>
      </c>
      <c r="Y48" s="382">
        <v>0</v>
      </c>
    </row>
    <row r="49" spans="1:25" ht="13.5" thickBot="1" x14ac:dyDescent="0.25">
      <c r="A49" s="379" t="s">
        <v>116</v>
      </c>
      <c r="B49" s="374">
        <f t="shared" ref="B49:X49" si="6">(C48+B48)*(C47-B47)/2</f>
        <v>0.155</v>
      </c>
      <c r="C49" s="375">
        <f t="shared" si="6"/>
        <v>5.4530000000000003</v>
      </c>
      <c r="D49" s="375">
        <f t="shared" si="6"/>
        <v>4.9400000000000004</v>
      </c>
      <c r="E49" s="375">
        <f t="shared" si="6"/>
        <v>2.2150000000000003</v>
      </c>
      <c r="F49" s="375">
        <f t="shared" si="6"/>
        <v>0.10649999999999936</v>
      </c>
      <c r="G49" s="375">
        <f t="shared" si="6"/>
        <v>0</v>
      </c>
      <c r="H49" s="375">
        <f t="shared" si="6"/>
        <v>0</v>
      </c>
      <c r="I49" s="375">
        <f t="shared" si="6"/>
        <v>0</v>
      </c>
      <c r="J49" s="375">
        <f t="shared" si="6"/>
        <v>0</v>
      </c>
      <c r="K49" s="375">
        <f t="shared" si="6"/>
        <v>0</v>
      </c>
      <c r="L49" s="375">
        <f t="shared" si="6"/>
        <v>0</v>
      </c>
      <c r="M49" s="375">
        <f t="shared" si="6"/>
        <v>0</v>
      </c>
      <c r="N49" s="375">
        <f t="shared" si="6"/>
        <v>0</v>
      </c>
      <c r="O49" s="375">
        <f t="shared" si="6"/>
        <v>0</v>
      </c>
      <c r="P49" s="375">
        <f t="shared" si="6"/>
        <v>0</v>
      </c>
      <c r="Q49" s="375">
        <f t="shared" si="6"/>
        <v>0</v>
      </c>
      <c r="R49" s="375">
        <f t="shared" si="6"/>
        <v>0</v>
      </c>
      <c r="S49" s="375">
        <f t="shared" si="6"/>
        <v>0</v>
      </c>
      <c r="T49" s="375">
        <f t="shared" si="6"/>
        <v>0</v>
      </c>
      <c r="U49" s="375">
        <f t="shared" si="6"/>
        <v>0</v>
      </c>
      <c r="V49" s="375">
        <f t="shared" si="6"/>
        <v>0</v>
      </c>
      <c r="W49" s="375">
        <f t="shared" si="6"/>
        <v>0</v>
      </c>
      <c r="X49" s="375">
        <f t="shared" si="6"/>
        <v>0</v>
      </c>
      <c r="Y49" s="369"/>
    </row>
    <row r="50" spans="1:25" ht="13.5" thickBot="1" x14ac:dyDescent="0.25">
      <c r="A50" s="12"/>
      <c r="L50" s="12"/>
      <c r="M50" s="12"/>
      <c r="N50" s="12"/>
      <c r="O50" s="12"/>
      <c r="P50" s="12"/>
      <c r="Q50" s="12"/>
      <c r="R50" s="12"/>
      <c r="S50" s="12"/>
      <c r="T50" s="12"/>
      <c r="U50" s="12"/>
      <c r="V50" s="12"/>
      <c r="W50" s="12"/>
      <c r="X50" s="12"/>
      <c r="Y50" s="12"/>
    </row>
    <row r="51" spans="1:25" ht="13.5" thickBot="1" x14ac:dyDescent="0.25">
      <c r="A51" s="361" t="s">
        <v>278</v>
      </c>
      <c r="B51" s="359">
        <f>ROW(A51)</f>
        <v>51</v>
      </c>
      <c r="C51" s="363" t="s">
        <v>115</v>
      </c>
      <c r="D51" s="353">
        <f>SUM(B54:Y54)</f>
        <v>18.123500000000003</v>
      </c>
      <c r="E51" s="363" t="s">
        <v>114</v>
      </c>
      <c r="F51" s="399">
        <f>D51/g/J51</f>
        <v>3.0790859667006463</v>
      </c>
      <c r="G51" s="363" t="s">
        <v>56</v>
      </c>
      <c r="H51" s="64">
        <v>0.7</v>
      </c>
      <c r="I51" s="363" t="s">
        <v>271</v>
      </c>
      <c r="J51" s="355">
        <f>H51-L51</f>
        <v>0.6</v>
      </c>
      <c r="K51" s="363" t="s">
        <v>272</v>
      </c>
      <c r="L51" s="64">
        <v>0.1</v>
      </c>
      <c r="M51" s="363" t="s">
        <v>57</v>
      </c>
      <c r="N51" s="65">
        <f>0.3*R51</f>
        <v>90</v>
      </c>
      <c r="O51" s="363" t="s">
        <v>59</v>
      </c>
      <c r="P51" s="65">
        <v>150</v>
      </c>
      <c r="Q51" s="363" t="s">
        <v>60</v>
      </c>
      <c r="R51" s="65">
        <v>300</v>
      </c>
      <c r="S51" s="363" t="s">
        <v>61</v>
      </c>
      <c r="T51" s="65">
        <v>98</v>
      </c>
      <c r="U51" s="363" t="s">
        <v>54</v>
      </c>
      <c r="V51" s="66" t="s">
        <v>276</v>
      </c>
      <c r="W51" s="12"/>
      <c r="X51" s="12"/>
      <c r="Y51" s="12"/>
    </row>
    <row r="52" spans="1:25" x14ac:dyDescent="0.2">
      <c r="A52" s="362" t="s">
        <v>33</v>
      </c>
      <c r="B52" s="370">
        <v>0</v>
      </c>
      <c r="C52" s="371">
        <v>1E-3</v>
      </c>
      <c r="D52" s="371">
        <v>0.02</v>
      </c>
      <c r="E52" s="371">
        <v>0.04</v>
      </c>
      <c r="F52" s="371">
        <v>0.06</v>
      </c>
      <c r="G52" s="371">
        <v>0.08</v>
      </c>
      <c r="H52" s="371">
        <v>8.1000000000000003E-2</v>
      </c>
      <c r="I52" s="371">
        <v>8.1000000000000003E-2</v>
      </c>
      <c r="J52" s="371">
        <v>8.1000000000000003E-2</v>
      </c>
      <c r="K52" s="371">
        <v>8.1000000000000003E-2</v>
      </c>
      <c r="L52" s="371">
        <v>8.1000000000000003E-2</v>
      </c>
      <c r="M52" s="371">
        <v>8.1000000000000003E-2</v>
      </c>
      <c r="N52" s="371">
        <v>8.1000000000000003E-2</v>
      </c>
      <c r="O52" s="371">
        <v>8.1000000000000003E-2</v>
      </c>
      <c r="P52" s="371">
        <v>8.1000000000000003E-2</v>
      </c>
      <c r="Q52" s="371">
        <v>8.1000000000000003E-2</v>
      </c>
      <c r="R52" s="371">
        <v>8.1000000000000003E-2</v>
      </c>
      <c r="S52" s="371">
        <v>8.1000000000000003E-2</v>
      </c>
      <c r="T52" s="371">
        <v>8.1000000000000003E-2</v>
      </c>
      <c r="U52" s="371">
        <v>8.1000000000000003E-2</v>
      </c>
      <c r="V52" s="371">
        <v>8.1000000000000003E-2</v>
      </c>
      <c r="W52" s="371">
        <v>8.1000000000000003E-2</v>
      </c>
      <c r="X52" s="371">
        <v>8.1000000000000003E-2</v>
      </c>
      <c r="Y52" s="381">
        <v>1000</v>
      </c>
    </row>
    <row r="53" spans="1:25" x14ac:dyDescent="0.2">
      <c r="A53" s="378" t="s">
        <v>34</v>
      </c>
      <c r="B53" s="372">
        <v>0</v>
      </c>
      <c r="C53" s="373">
        <v>310</v>
      </c>
      <c r="D53" s="373">
        <v>260</v>
      </c>
      <c r="E53" s="373">
        <v>220</v>
      </c>
      <c r="F53" s="373">
        <v>190</v>
      </c>
      <c r="G53" s="373">
        <v>167</v>
      </c>
      <c r="H53" s="373">
        <v>0</v>
      </c>
      <c r="I53" s="373">
        <v>0</v>
      </c>
      <c r="J53" s="373">
        <v>0</v>
      </c>
      <c r="K53" s="373">
        <v>0</v>
      </c>
      <c r="L53" s="373">
        <v>0</v>
      </c>
      <c r="M53" s="373">
        <v>0</v>
      </c>
      <c r="N53" s="373">
        <v>0</v>
      </c>
      <c r="O53" s="373">
        <v>0</v>
      </c>
      <c r="P53" s="373">
        <v>0</v>
      </c>
      <c r="Q53" s="373">
        <v>0</v>
      </c>
      <c r="R53" s="373">
        <v>0</v>
      </c>
      <c r="S53" s="373">
        <v>0</v>
      </c>
      <c r="T53" s="373">
        <v>0</v>
      </c>
      <c r="U53" s="373">
        <v>0</v>
      </c>
      <c r="V53" s="373">
        <v>0</v>
      </c>
      <c r="W53" s="373">
        <v>0</v>
      </c>
      <c r="X53" s="373">
        <v>0</v>
      </c>
      <c r="Y53" s="382">
        <v>0</v>
      </c>
    </row>
    <row r="54" spans="1:25" ht="13.5" thickBot="1" x14ac:dyDescent="0.25">
      <c r="A54" s="379" t="s">
        <v>116</v>
      </c>
      <c r="B54" s="374">
        <f t="shared" ref="B54:X54" si="7">(C53+B53)*(C52-B52)/2</f>
        <v>0.155</v>
      </c>
      <c r="C54" s="375">
        <f t="shared" si="7"/>
        <v>5.415</v>
      </c>
      <c r="D54" s="375">
        <f t="shared" si="7"/>
        <v>4.8</v>
      </c>
      <c r="E54" s="375">
        <f t="shared" si="7"/>
        <v>4.0999999999999996</v>
      </c>
      <c r="F54" s="375">
        <f t="shared" si="7"/>
        <v>3.5700000000000007</v>
      </c>
      <c r="G54" s="375">
        <f t="shared" si="7"/>
        <v>8.3500000000000074E-2</v>
      </c>
      <c r="H54" s="375">
        <f t="shared" si="7"/>
        <v>0</v>
      </c>
      <c r="I54" s="375">
        <f t="shared" si="7"/>
        <v>0</v>
      </c>
      <c r="J54" s="375">
        <f t="shared" si="7"/>
        <v>0</v>
      </c>
      <c r="K54" s="375">
        <f t="shared" si="7"/>
        <v>0</v>
      </c>
      <c r="L54" s="375">
        <f t="shared" si="7"/>
        <v>0</v>
      </c>
      <c r="M54" s="375">
        <f t="shared" si="7"/>
        <v>0</v>
      </c>
      <c r="N54" s="375">
        <f t="shared" si="7"/>
        <v>0</v>
      </c>
      <c r="O54" s="375">
        <f t="shared" si="7"/>
        <v>0</v>
      </c>
      <c r="P54" s="375">
        <f t="shared" si="7"/>
        <v>0</v>
      </c>
      <c r="Q54" s="375">
        <f t="shared" si="7"/>
        <v>0</v>
      </c>
      <c r="R54" s="375">
        <f t="shared" si="7"/>
        <v>0</v>
      </c>
      <c r="S54" s="375">
        <f t="shared" si="7"/>
        <v>0</v>
      </c>
      <c r="T54" s="375">
        <f t="shared" si="7"/>
        <v>0</v>
      </c>
      <c r="U54" s="375">
        <f t="shared" si="7"/>
        <v>0</v>
      </c>
      <c r="V54" s="375">
        <f t="shared" si="7"/>
        <v>0</v>
      </c>
      <c r="W54" s="375">
        <f t="shared" si="7"/>
        <v>0</v>
      </c>
      <c r="X54" s="375">
        <f t="shared" si="7"/>
        <v>0</v>
      </c>
      <c r="Y54" s="369"/>
    </row>
    <row r="55" spans="1:25" ht="13.5" thickBot="1" x14ac:dyDescent="0.25">
      <c r="B55" s="12"/>
      <c r="C55" s="12"/>
      <c r="D55" s="12"/>
      <c r="E55" s="12"/>
      <c r="F55" s="12"/>
      <c r="G55" s="12"/>
      <c r="H55" s="12"/>
      <c r="I55" s="12"/>
      <c r="J55" s="12"/>
      <c r="K55" s="12"/>
      <c r="L55" s="12"/>
      <c r="M55" s="12"/>
      <c r="N55" s="12"/>
      <c r="O55" s="12"/>
      <c r="P55" s="12"/>
      <c r="Q55" s="12"/>
      <c r="R55" s="12"/>
      <c r="S55" s="12"/>
      <c r="T55" s="12"/>
      <c r="U55" s="12"/>
      <c r="V55" s="12"/>
      <c r="W55" s="12"/>
      <c r="X55" s="12"/>
      <c r="Y55" s="12"/>
    </row>
    <row r="56" spans="1:25" ht="13.5" thickBot="1" x14ac:dyDescent="0.25">
      <c r="A56" s="361" t="s">
        <v>279</v>
      </c>
      <c r="B56" s="359">
        <f>ROW(A56)</f>
        <v>56</v>
      </c>
      <c r="C56" s="363" t="s">
        <v>115</v>
      </c>
      <c r="D56" s="353">
        <f>SUM(B59:Y59)</f>
        <v>22.610000000000003</v>
      </c>
      <c r="E56" s="363" t="s">
        <v>114</v>
      </c>
      <c r="F56" s="399">
        <f>D56/g/J56</f>
        <v>2.88098878695209</v>
      </c>
      <c r="G56" s="363" t="s">
        <v>56</v>
      </c>
      <c r="H56" s="64">
        <v>0.9</v>
      </c>
      <c r="I56" s="363" t="s">
        <v>271</v>
      </c>
      <c r="J56" s="355">
        <f>H56-L56</f>
        <v>0.8</v>
      </c>
      <c r="K56" s="363" t="s">
        <v>272</v>
      </c>
      <c r="L56" s="64">
        <v>0.1</v>
      </c>
      <c r="M56" s="363" t="s">
        <v>57</v>
      </c>
      <c r="N56" s="65">
        <f>0.4*R56</f>
        <v>120</v>
      </c>
      <c r="O56" s="363" t="s">
        <v>59</v>
      </c>
      <c r="P56" s="65">
        <v>150</v>
      </c>
      <c r="Q56" s="363" t="s">
        <v>60</v>
      </c>
      <c r="R56" s="65">
        <v>300</v>
      </c>
      <c r="S56" s="363" t="s">
        <v>61</v>
      </c>
      <c r="T56" s="65">
        <v>98</v>
      </c>
      <c r="U56" s="363" t="s">
        <v>54</v>
      </c>
      <c r="V56" s="66" t="s">
        <v>276</v>
      </c>
      <c r="W56" s="12"/>
      <c r="X56" s="12"/>
      <c r="Y56" s="12"/>
    </row>
    <row r="57" spans="1:25" x14ac:dyDescent="0.2">
      <c r="A57" s="362" t="s">
        <v>33</v>
      </c>
      <c r="B57" s="370">
        <v>0</v>
      </c>
      <c r="C57" s="371">
        <v>1E-3</v>
      </c>
      <c r="D57" s="371">
        <v>0.02</v>
      </c>
      <c r="E57" s="371">
        <v>0.04</v>
      </c>
      <c r="F57" s="371">
        <v>0.06</v>
      </c>
      <c r="G57" s="371">
        <v>0.08</v>
      </c>
      <c r="H57" s="371">
        <v>0.1</v>
      </c>
      <c r="I57" s="371">
        <v>0.11700000000000001</v>
      </c>
      <c r="J57" s="371">
        <v>0.11799999999999999</v>
      </c>
      <c r="K57" s="371">
        <v>0.11799999999999999</v>
      </c>
      <c r="L57" s="371">
        <v>0.11799999999999999</v>
      </c>
      <c r="M57" s="371">
        <v>0.11799999999999999</v>
      </c>
      <c r="N57" s="371">
        <v>0.11799999999999999</v>
      </c>
      <c r="O57" s="371">
        <v>0.11799999999999999</v>
      </c>
      <c r="P57" s="371">
        <v>0.11799999999999999</v>
      </c>
      <c r="Q57" s="371">
        <v>0.11799999999999999</v>
      </c>
      <c r="R57" s="371">
        <v>0.11799999999999999</v>
      </c>
      <c r="S57" s="371">
        <v>0.11799999999999999</v>
      </c>
      <c r="T57" s="371">
        <v>0.11799999999999999</v>
      </c>
      <c r="U57" s="371">
        <v>0.11799999999999999</v>
      </c>
      <c r="V57" s="371">
        <v>0.11799999999999999</v>
      </c>
      <c r="W57" s="371">
        <v>0.11799999999999999</v>
      </c>
      <c r="X57" s="371">
        <v>0.11799999999999999</v>
      </c>
      <c r="Y57" s="381">
        <v>1000</v>
      </c>
    </row>
    <row r="58" spans="1:25" x14ac:dyDescent="0.2">
      <c r="A58" s="378" t="s">
        <v>34</v>
      </c>
      <c r="B58" s="372">
        <v>0</v>
      </c>
      <c r="C58" s="373">
        <v>310</v>
      </c>
      <c r="D58" s="373">
        <v>250</v>
      </c>
      <c r="E58" s="373">
        <v>210</v>
      </c>
      <c r="F58" s="373">
        <v>180</v>
      </c>
      <c r="G58" s="373">
        <v>156</v>
      </c>
      <c r="H58" s="373">
        <v>140</v>
      </c>
      <c r="I58" s="373">
        <v>125</v>
      </c>
      <c r="J58" s="373">
        <v>0</v>
      </c>
      <c r="K58" s="373">
        <v>0</v>
      </c>
      <c r="L58" s="373">
        <v>0</v>
      </c>
      <c r="M58" s="373">
        <v>0</v>
      </c>
      <c r="N58" s="373">
        <v>0</v>
      </c>
      <c r="O58" s="373">
        <v>0</v>
      </c>
      <c r="P58" s="373">
        <v>0</v>
      </c>
      <c r="Q58" s="373">
        <v>0</v>
      </c>
      <c r="R58" s="373">
        <v>0</v>
      </c>
      <c r="S58" s="373">
        <v>0</v>
      </c>
      <c r="T58" s="373">
        <v>0</v>
      </c>
      <c r="U58" s="373">
        <v>0</v>
      </c>
      <c r="V58" s="373">
        <v>0</v>
      </c>
      <c r="W58" s="373">
        <v>0</v>
      </c>
      <c r="X58" s="373">
        <v>0</v>
      </c>
      <c r="Y58" s="382">
        <v>0</v>
      </c>
    </row>
    <row r="59" spans="1:25" ht="13.5" thickBot="1" x14ac:dyDescent="0.25">
      <c r="A59" s="379" t="s">
        <v>116</v>
      </c>
      <c r="B59" s="374">
        <f t="shared" ref="B59:X59" si="8">(C58+B58)*(C57-B57)/2</f>
        <v>0.155</v>
      </c>
      <c r="C59" s="375">
        <f t="shared" si="8"/>
        <v>5.32</v>
      </c>
      <c r="D59" s="375">
        <f t="shared" si="8"/>
        <v>4.6000000000000005</v>
      </c>
      <c r="E59" s="375">
        <f t="shared" si="8"/>
        <v>3.8999999999999995</v>
      </c>
      <c r="F59" s="375">
        <f t="shared" si="8"/>
        <v>3.3600000000000008</v>
      </c>
      <c r="G59" s="375">
        <f t="shared" si="8"/>
        <v>2.9600000000000004</v>
      </c>
      <c r="H59" s="375">
        <f t="shared" si="8"/>
        <v>2.2524999999999999</v>
      </c>
      <c r="I59" s="375">
        <f t="shared" si="8"/>
        <v>6.2499999999999188E-2</v>
      </c>
      <c r="J59" s="375">
        <f t="shared" si="8"/>
        <v>0</v>
      </c>
      <c r="K59" s="375">
        <f t="shared" si="8"/>
        <v>0</v>
      </c>
      <c r="L59" s="375">
        <f t="shared" si="8"/>
        <v>0</v>
      </c>
      <c r="M59" s="375">
        <f t="shared" si="8"/>
        <v>0</v>
      </c>
      <c r="N59" s="375">
        <f t="shared" si="8"/>
        <v>0</v>
      </c>
      <c r="O59" s="375">
        <f t="shared" si="8"/>
        <v>0</v>
      </c>
      <c r="P59" s="375">
        <f t="shared" si="8"/>
        <v>0</v>
      </c>
      <c r="Q59" s="375">
        <f t="shared" si="8"/>
        <v>0</v>
      </c>
      <c r="R59" s="375">
        <f t="shared" si="8"/>
        <v>0</v>
      </c>
      <c r="S59" s="375">
        <f t="shared" si="8"/>
        <v>0</v>
      </c>
      <c r="T59" s="375">
        <f t="shared" si="8"/>
        <v>0</v>
      </c>
      <c r="U59" s="375">
        <f t="shared" si="8"/>
        <v>0</v>
      </c>
      <c r="V59" s="375">
        <f t="shared" si="8"/>
        <v>0</v>
      </c>
      <c r="W59" s="375">
        <f t="shared" si="8"/>
        <v>0</v>
      </c>
      <c r="X59" s="375">
        <f t="shared" si="8"/>
        <v>0</v>
      </c>
      <c r="Y59" s="369"/>
    </row>
    <row r="60" spans="1:25" ht="13.5" thickBot="1" x14ac:dyDescent="0.25">
      <c r="A60" s="12"/>
      <c r="L60" s="12"/>
      <c r="M60" s="12"/>
      <c r="N60" s="12"/>
      <c r="O60" s="12"/>
      <c r="P60" s="12"/>
      <c r="Q60" s="12"/>
      <c r="R60" s="12"/>
      <c r="S60" s="12"/>
      <c r="T60" s="12"/>
      <c r="U60" s="12"/>
      <c r="V60" s="12"/>
      <c r="W60" s="12"/>
      <c r="X60" s="12"/>
      <c r="Y60" s="12"/>
    </row>
    <row r="61" spans="1:25" ht="13.5" thickBot="1" x14ac:dyDescent="0.25">
      <c r="A61" s="361" t="s">
        <v>280</v>
      </c>
      <c r="B61" s="359">
        <f>ROW(A61)</f>
        <v>61</v>
      </c>
      <c r="C61" s="363" t="s">
        <v>115</v>
      </c>
      <c r="D61" s="353">
        <f>SUM(B64:Y64)</f>
        <v>25.874000000000006</v>
      </c>
      <c r="E61" s="363" t="s">
        <v>114</v>
      </c>
      <c r="F61" s="399">
        <f>D61/g/J61</f>
        <v>2.6375127420998985</v>
      </c>
      <c r="G61" s="363" t="s">
        <v>56</v>
      </c>
      <c r="H61" s="64">
        <v>1.1000000000000001</v>
      </c>
      <c r="I61" s="363" t="s">
        <v>271</v>
      </c>
      <c r="J61" s="355">
        <f>H61-L61</f>
        <v>1</v>
      </c>
      <c r="K61" s="363" t="s">
        <v>272</v>
      </c>
      <c r="L61" s="64">
        <v>0.1</v>
      </c>
      <c r="M61" s="363" t="s">
        <v>57</v>
      </c>
      <c r="N61" s="65">
        <f>0.5*R61</f>
        <v>150</v>
      </c>
      <c r="O61" s="363" t="s">
        <v>59</v>
      </c>
      <c r="P61" s="65">
        <v>150</v>
      </c>
      <c r="Q61" s="363" t="s">
        <v>60</v>
      </c>
      <c r="R61" s="65">
        <v>300</v>
      </c>
      <c r="S61" s="363" t="s">
        <v>61</v>
      </c>
      <c r="T61" s="65">
        <v>98</v>
      </c>
      <c r="U61" s="363" t="s">
        <v>54</v>
      </c>
      <c r="V61" s="66" t="s">
        <v>276</v>
      </c>
      <c r="W61" s="12"/>
      <c r="X61" s="12"/>
      <c r="Y61" s="12"/>
    </row>
    <row r="62" spans="1:25" x14ac:dyDescent="0.2">
      <c r="A62" s="362" t="s">
        <v>33</v>
      </c>
      <c r="B62" s="370">
        <v>0</v>
      </c>
      <c r="C62" s="371">
        <v>1E-3</v>
      </c>
      <c r="D62" s="371">
        <v>0.02</v>
      </c>
      <c r="E62" s="371">
        <v>0.04</v>
      </c>
      <c r="F62" s="371">
        <v>0.06</v>
      </c>
      <c r="G62" s="371">
        <v>0.08</v>
      </c>
      <c r="H62" s="371">
        <v>0.1</v>
      </c>
      <c r="I62" s="371">
        <v>0.12</v>
      </c>
      <c r="J62" s="371">
        <v>0.14000000000000001</v>
      </c>
      <c r="K62" s="371">
        <v>0.16400000000000001</v>
      </c>
      <c r="L62" s="371">
        <v>0.16500000000000001</v>
      </c>
      <c r="M62" s="371">
        <v>0.16500000000000001</v>
      </c>
      <c r="N62" s="371">
        <v>0.16500000000000001</v>
      </c>
      <c r="O62" s="371">
        <v>0.16500000000000001</v>
      </c>
      <c r="P62" s="371">
        <v>0.16500000000000001</v>
      </c>
      <c r="Q62" s="371">
        <v>0.16500000000000001</v>
      </c>
      <c r="R62" s="371">
        <v>0.16500000000000001</v>
      </c>
      <c r="S62" s="371">
        <v>0.16500000000000001</v>
      </c>
      <c r="T62" s="371">
        <v>0.16500000000000001</v>
      </c>
      <c r="U62" s="371">
        <v>0.16500000000000001</v>
      </c>
      <c r="V62" s="371">
        <v>0.16500000000000001</v>
      </c>
      <c r="W62" s="371">
        <v>0.16500000000000001</v>
      </c>
      <c r="X62" s="371">
        <v>0.16500000000000001</v>
      </c>
      <c r="Y62" s="381">
        <v>1000</v>
      </c>
    </row>
    <row r="63" spans="1:25" x14ac:dyDescent="0.2">
      <c r="A63" s="378" t="s">
        <v>34</v>
      </c>
      <c r="B63" s="372">
        <v>0</v>
      </c>
      <c r="C63" s="373">
        <v>310</v>
      </c>
      <c r="D63" s="373">
        <v>245</v>
      </c>
      <c r="E63" s="373">
        <v>200</v>
      </c>
      <c r="F63" s="373">
        <v>165</v>
      </c>
      <c r="G63" s="373">
        <v>143</v>
      </c>
      <c r="H63" s="373">
        <v>124</v>
      </c>
      <c r="I63" s="373">
        <v>108</v>
      </c>
      <c r="J63" s="373">
        <v>97</v>
      </c>
      <c r="K63" s="373">
        <v>85</v>
      </c>
      <c r="L63" s="373">
        <v>0</v>
      </c>
      <c r="M63" s="373">
        <v>0</v>
      </c>
      <c r="N63" s="373">
        <v>0</v>
      </c>
      <c r="O63" s="373">
        <v>0</v>
      </c>
      <c r="P63" s="373">
        <v>0</v>
      </c>
      <c r="Q63" s="373">
        <v>0</v>
      </c>
      <c r="R63" s="373">
        <v>0</v>
      </c>
      <c r="S63" s="373">
        <v>0</v>
      </c>
      <c r="T63" s="373">
        <v>0</v>
      </c>
      <c r="U63" s="373">
        <v>0</v>
      </c>
      <c r="V63" s="373">
        <v>0</v>
      </c>
      <c r="W63" s="373">
        <v>0</v>
      </c>
      <c r="X63" s="373">
        <v>0</v>
      </c>
      <c r="Y63" s="382">
        <v>0</v>
      </c>
    </row>
    <row r="64" spans="1:25" ht="13.5" thickBot="1" x14ac:dyDescent="0.25">
      <c r="A64" s="379" t="s">
        <v>116</v>
      </c>
      <c r="B64" s="374">
        <f t="shared" ref="B64:X64" si="9">(C63+B63)*(C62-B62)/2</f>
        <v>0.155</v>
      </c>
      <c r="C64" s="375">
        <f t="shared" si="9"/>
        <v>5.2725</v>
      </c>
      <c r="D64" s="375">
        <f t="shared" si="9"/>
        <v>4.45</v>
      </c>
      <c r="E64" s="375">
        <f t="shared" si="9"/>
        <v>3.6499999999999995</v>
      </c>
      <c r="F64" s="375">
        <f t="shared" si="9"/>
        <v>3.0800000000000005</v>
      </c>
      <c r="G64" s="375">
        <f t="shared" si="9"/>
        <v>2.6700000000000004</v>
      </c>
      <c r="H64" s="375">
        <f t="shared" si="9"/>
        <v>2.319999999999999</v>
      </c>
      <c r="I64" s="375">
        <f t="shared" si="9"/>
        <v>2.0500000000000016</v>
      </c>
      <c r="J64" s="375">
        <f t="shared" si="9"/>
        <v>2.1839999999999993</v>
      </c>
      <c r="K64" s="375">
        <f t="shared" si="9"/>
        <v>4.2500000000000038E-2</v>
      </c>
      <c r="L64" s="375">
        <f t="shared" si="9"/>
        <v>0</v>
      </c>
      <c r="M64" s="375">
        <f t="shared" si="9"/>
        <v>0</v>
      </c>
      <c r="N64" s="375">
        <f t="shared" si="9"/>
        <v>0</v>
      </c>
      <c r="O64" s="375">
        <f t="shared" si="9"/>
        <v>0</v>
      </c>
      <c r="P64" s="375">
        <f t="shared" si="9"/>
        <v>0</v>
      </c>
      <c r="Q64" s="375">
        <f t="shared" si="9"/>
        <v>0</v>
      </c>
      <c r="R64" s="375">
        <f t="shared" si="9"/>
        <v>0</v>
      </c>
      <c r="S64" s="375">
        <f t="shared" si="9"/>
        <v>0</v>
      </c>
      <c r="T64" s="375">
        <f t="shared" si="9"/>
        <v>0</v>
      </c>
      <c r="U64" s="375">
        <f t="shared" si="9"/>
        <v>0</v>
      </c>
      <c r="V64" s="375">
        <f t="shared" si="9"/>
        <v>0</v>
      </c>
      <c r="W64" s="375">
        <f t="shared" si="9"/>
        <v>0</v>
      </c>
      <c r="X64" s="375">
        <f t="shared" si="9"/>
        <v>0</v>
      </c>
      <c r="Y64" s="369"/>
    </row>
    <row r="66" spans="1:26" ht="13.5" thickBot="1" x14ac:dyDescent="0.25">
      <c r="A66" s="6" t="s">
        <v>181</v>
      </c>
    </row>
    <row r="67" spans="1:26" ht="13.5" thickBot="1" x14ac:dyDescent="0.25">
      <c r="A67" s="361" t="s">
        <v>111</v>
      </c>
      <c r="B67" s="359">
        <f>ROW(A67)</f>
        <v>67</v>
      </c>
      <c r="C67" s="363" t="s">
        <v>115</v>
      </c>
      <c r="D67" s="353">
        <f>SUM(B70:Y70)</f>
        <v>2.65</v>
      </c>
      <c r="E67" s="363" t="s">
        <v>114</v>
      </c>
      <c r="F67" s="354">
        <f>D67/g/J67</f>
        <v>54.026503567787969</v>
      </c>
      <c r="G67" s="363" t="s">
        <v>56</v>
      </c>
      <c r="H67" s="64">
        <v>1.4999999999999999E-2</v>
      </c>
      <c r="I67" s="363" t="s">
        <v>271</v>
      </c>
      <c r="J67" s="355">
        <f>H67-L67</f>
        <v>4.9999999999999992E-3</v>
      </c>
      <c r="K67" s="363" t="s">
        <v>272</v>
      </c>
      <c r="L67" s="64">
        <v>0.01</v>
      </c>
      <c r="M67" s="363" t="s">
        <v>57</v>
      </c>
      <c r="N67" s="65">
        <v>30</v>
      </c>
      <c r="O67" s="363" t="s">
        <v>59</v>
      </c>
      <c r="P67" s="65">
        <v>30</v>
      </c>
      <c r="Q67" s="363" t="s">
        <v>60</v>
      </c>
      <c r="R67" s="65">
        <v>70</v>
      </c>
      <c r="S67" s="363" t="s">
        <v>61</v>
      </c>
      <c r="T67" s="65">
        <v>15</v>
      </c>
      <c r="U67" s="363" t="s">
        <v>54</v>
      </c>
      <c r="V67" s="66" t="s">
        <v>117</v>
      </c>
      <c r="W67" s="463" t="s">
        <v>394</v>
      </c>
      <c r="X67" s="465">
        <v>0.32</v>
      </c>
      <c r="Y67" s="463" t="s">
        <v>393</v>
      </c>
      <c r="Z67" s="358">
        <v>3</v>
      </c>
    </row>
    <row r="68" spans="1:26" x14ac:dyDescent="0.2">
      <c r="A68" s="362" t="s">
        <v>33</v>
      </c>
      <c r="B68" s="370">
        <v>0</v>
      </c>
      <c r="C68" s="371">
        <v>0.2</v>
      </c>
      <c r="D68" s="371">
        <v>0.3</v>
      </c>
      <c r="E68" s="371">
        <v>0.4</v>
      </c>
      <c r="F68" s="371">
        <v>0.5</v>
      </c>
      <c r="G68" s="371">
        <v>0.55000000000000004</v>
      </c>
      <c r="H68" s="371">
        <v>0.6</v>
      </c>
      <c r="I68" s="371">
        <v>0.6</v>
      </c>
      <c r="J68" s="371">
        <v>0.6</v>
      </c>
      <c r="K68" s="371">
        <v>0.6</v>
      </c>
      <c r="L68" s="371">
        <v>0.6</v>
      </c>
      <c r="M68" s="371">
        <v>0.6</v>
      </c>
      <c r="N68" s="371">
        <v>0.6</v>
      </c>
      <c r="O68" s="371">
        <v>0.6</v>
      </c>
      <c r="P68" s="371">
        <v>0.6</v>
      </c>
      <c r="Q68" s="371">
        <v>0.6</v>
      </c>
      <c r="R68" s="371">
        <v>0.6</v>
      </c>
      <c r="S68" s="371">
        <v>0.6</v>
      </c>
      <c r="T68" s="371">
        <v>0.6</v>
      </c>
      <c r="U68" s="371">
        <v>0.6</v>
      </c>
      <c r="V68" s="371">
        <v>0.6</v>
      </c>
      <c r="W68" s="371">
        <v>0.6</v>
      </c>
      <c r="X68" s="371">
        <v>0.6</v>
      </c>
      <c r="Y68" s="381">
        <v>1000</v>
      </c>
    </row>
    <row r="69" spans="1:26" x14ac:dyDescent="0.2">
      <c r="A69" s="378" t="s">
        <v>34</v>
      </c>
      <c r="B69" s="372">
        <v>0</v>
      </c>
      <c r="C69" s="373">
        <v>9</v>
      </c>
      <c r="D69" s="373">
        <v>4.5</v>
      </c>
      <c r="E69" s="373">
        <v>4</v>
      </c>
      <c r="F69" s="373">
        <v>4</v>
      </c>
      <c r="G69" s="373">
        <v>3</v>
      </c>
      <c r="H69" s="373">
        <v>0</v>
      </c>
      <c r="I69" s="373">
        <v>0</v>
      </c>
      <c r="J69" s="373">
        <v>0</v>
      </c>
      <c r="K69" s="373">
        <v>0</v>
      </c>
      <c r="L69" s="373">
        <v>0</v>
      </c>
      <c r="M69" s="373">
        <v>0</v>
      </c>
      <c r="N69" s="373">
        <v>0</v>
      </c>
      <c r="O69" s="373">
        <v>0</v>
      </c>
      <c r="P69" s="373">
        <v>0</v>
      </c>
      <c r="Q69" s="373">
        <v>0</v>
      </c>
      <c r="R69" s="373">
        <v>0</v>
      </c>
      <c r="S69" s="373">
        <v>0</v>
      </c>
      <c r="T69" s="373">
        <v>0</v>
      </c>
      <c r="U69" s="373">
        <v>0</v>
      </c>
      <c r="V69" s="373">
        <v>0</v>
      </c>
      <c r="W69" s="373">
        <v>0</v>
      </c>
      <c r="X69" s="373">
        <v>0</v>
      </c>
      <c r="Y69" s="382">
        <v>0</v>
      </c>
    </row>
    <row r="70" spans="1:26" ht="13.5" thickBot="1" x14ac:dyDescent="0.25">
      <c r="A70" s="379" t="s">
        <v>116</v>
      </c>
      <c r="B70" s="374">
        <f t="shared" ref="B70:X70" si="10">(C69+B69)*(C68-B68)/2</f>
        <v>0.9</v>
      </c>
      <c r="C70" s="375">
        <f t="shared" si="10"/>
        <v>0.67499999999999982</v>
      </c>
      <c r="D70" s="375">
        <f t="shared" si="10"/>
        <v>0.42500000000000016</v>
      </c>
      <c r="E70" s="375">
        <f t="shared" si="10"/>
        <v>0.39999999999999991</v>
      </c>
      <c r="F70" s="375">
        <f t="shared" si="10"/>
        <v>0.17500000000000016</v>
      </c>
      <c r="G70" s="375">
        <f t="shared" si="10"/>
        <v>7.49999999999999E-2</v>
      </c>
      <c r="H70" s="375">
        <f t="shared" si="10"/>
        <v>0</v>
      </c>
      <c r="I70" s="375">
        <f t="shared" si="10"/>
        <v>0</v>
      </c>
      <c r="J70" s="375">
        <f t="shared" si="10"/>
        <v>0</v>
      </c>
      <c r="K70" s="375">
        <f t="shared" si="10"/>
        <v>0</v>
      </c>
      <c r="L70" s="375">
        <f t="shared" si="10"/>
        <v>0</v>
      </c>
      <c r="M70" s="375">
        <f t="shared" si="10"/>
        <v>0</v>
      </c>
      <c r="N70" s="375">
        <f t="shared" si="10"/>
        <v>0</v>
      </c>
      <c r="O70" s="375">
        <f t="shared" si="10"/>
        <v>0</v>
      </c>
      <c r="P70" s="375">
        <f t="shared" si="10"/>
        <v>0</v>
      </c>
      <c r="Q70" s="375">
        <f t="shared" si="10"/>
        <v>0</v>
      </c>
      <c r="R70" s="375">
        <f t="shared" si="10"/>
        <v>0</v>
      </c>
      <c r="S70" s="375">
        <f t="shared" si="10"/>
        <v>0</v>
      </c>
      <c r="T70" s="375">
        <f t="shared" si="10"/>
        <v>0</v>
      </c>
      <c r="U70" s="375">
        <f t="shared" si="10"/>
        <v>0</v>
      </c>
      <c r="V70" s="375">
        <f t="shared" si="10"/>
        <v>0</v>
      </c>
      <c r="W70" s="375">
        <f t="shared" si="10"/>
        <v>0</v>
      </c>
      <c r="X70" s="375">
        <f t="shared" si="10"/>
        <v>0</v>
      </c>
      <c r="Y70" s="369"/>
    </row>
    <row r="71" spans="1:26" ht="13.5" thickBot="1" x14ac:dyDescent="0.25">
      <c r="A71" s="12"/>
      <c r="L71" s="12"/>
      <c r="M71" s="12"/>
      <c r="N71" s="12"/>
      <c r="O71" s="12"/>
      <c r="P71" s="12"/>
      <c r="Q71" s="12"/>
      <c r="R71" s="12"/>
      <c r="S71" s="12"/>
      <c r="T71" s="12"/>
      <c r="U71" s="12"/>
      <c r="V71" s="12"/>
      <c r="W71" s="12"/>
      <c r="X71" s="12"/>
      <c r="Y71" s="12"/>
    </row>
    <row r="72" spans="1:26" ht="13.5" thickBot="1" x14ac:dyDescent="0.25">
      <c r="A72" s="361" t="s">
        <v>112</v>
      </c>
      <c r="B72" s="359">
        <f>ROW(A72)</f>
        <v>72</v>
      </c>
      <c r="C72" s="363" t="s">
        <v>115</v>
      </c>
      <c r="D72" s="353">
        <f>SUM(B75:Y75)</f>
        <v>5.25</v>
      </c>
      <c r="E72" s="363" t="s">
        <v>114</v>
      </c>
      <c r="F72" s="354">
        <f>D72/g/J72</f>
        <v>89.1946992864424</v>
      </c>
      <c r="G72" s="363" t="s">
        <v>56</v>
      </c>
      <c r="H72" s="64">
        <v>0.02</v>
      </c>
      <c r="I72" s="363" t="s">
        <v>271</v>
      </c>
      <c r="J72" s="355">
        <f>H72-L72</f>
        <v>6.0000000000000001E-3</v>
      </c>
      <c r="K72" s="363" t="s">
        <v>272</v>
      </c>
      <c r="L72" s="64">
        <v>1.4E-2</v>
      </c>
      <c r="M72" s="363" t="s">
        <v>57</v>
      </c>
      <c r="N72" s="65">
        <v>30</v>
      </c>
      <c r="O72" s="363" t="s">
        <v>59</v>
      </c>
      <c r="P72" s="65">
        <v>30</v>
      </c>
      <c r="Q72" s="363" t="s">
        <v>60</v>
      </c>
      <c r="R72" s="65">
        <v>70</v>
      </c>
      <c r="S72" s="363" t="s">
        <v>61</v>
      </c>
      <c r="T72" s="65">
        <v>15</v>
      </c>
      <c r="U72" s="363" t="s">
        <v>54</v>
      </c>
      <c r="V72" s="66" t="s">
        <v>117</v>
      </c>
      <c r="W72" s="463" t="s">
        <v>394</v>
      </c>
      <c r="X72" s="465">
        <v>1.2</v>
      </c>
      <c r="Y72" s="463" t="s">
        <v>393</v>
      </c>
      <c r="Z72" s="358">
        <v>4</v>
      </c>
    </row>
    <row r="73" spans="1:26" x14ac:dyDescent="0.2">
      <c r="A73" s="362" t="s">
        <v>33</v>
      </c>
      <c r="B73" s="370">
        <v>0</v>
      </c>
      <c r="C73" s="371">
        <v>0.2</v>
      </c>
      <c r="D73" s="371">
        <v>0.3</v>
      </c>
      <c r="E73" s="371">
        <v>0.55000000000000004</v>
      </c>
      <c r="F73" s="371">
        <v>1.05</v>
      </c>
      <c r="G73" s="371">
        <v>1.1499999999999999</v>
      </c>
      <c r="H73" s="371">
        <v>1.1499999999999999</v>
      </c>
      <c r="I73" s="371">
        <v>1.1499999999999999</v>
      </c>
      <c r="J73" s="371">
        <v>1.1499999999999999</v>
      </c>
      <c r="K73" s="371">
        <v>1.1499999999999999</v>
      </c>
      <c r="L73" s="371">
        <v>1.1499999999999999</v>
      </c>
      <c r="M73" s="371">
        <v>1.1499999999999999</v>
      </c>
      <c r="N73" s="371">
        <v>1.1499999999999999</v>
      </c>
      <c r="O73" s="371">
        <v>1.1499999999999999</v>
      </c>
      <c r="P73" s="371">
        <v>1.1499999999999999</v>
      </c>
      <c r="Q73" s="371">
        <v>1.1499999999999999</v>
      </c>
      <c r="R73" s="371">
        <v>1.1499999999999999</v>
      </c>
      <c r="S73" s="371">
        <v>1.1499999999999999</v>
      </c>
      <c r="T73" s="371">
        <v>1.1499999999999999</v>
      </c>
      <c r="U73" s="371">
        <v>1.1499999999999999</v>
      </c>
      <c r="V73" s="371">
        <v>1.1499999999999999</v>
      </c>
      <c r="W73" s="371">
        <v>1.1499999999999999</v>
      </c>
      <c r="X73" s="371">
        <v>1.1499999999999999</v>
      </c>
      <c r="Y73" s="381">
        <v>1000</v>
      </c>
    </row>
    <row r="74" spans="1:26" x14ac:dyDescent="0.2">
      <c r="A74" s="378" t="s">
        <v>34</v>
      </c>
      <c r="B74" s="372">
        <v>0</v>
      </c>
      <c r="C74" s="373">
        <v>10</v>
      </c>
      <c r="D74" s="373">
        <v>6</v>
      </c>
      <c r="E74" s="373">
        <v>4</v>
      </c>
      <c r="F74" s="373">
        <v>4</v>
      </c>
      <c r="G74" s="373">
        <v>0</v>
      </c>
      <c r="H74" s="373">
        <v>0</v>
      </c>
      <c r="I74" s="373">
        <v>0</v>
      </c>
      <c r="J74" s="373">
        <v>0</v>
      </c>
      <c r="K74" s="373">
        <v>0</v>
      </c>
      <c r="L74" s="373">
        <v>0</v>
      </c>
      <c r="M74" s="373">
        <v>0</v>
      </c>
      <c r="N74" s="373">
        <v>0</v>
      </c>
      <c r="O74" s="373">
        <v>0</v>
      </c>
      <c r="P74" s="373">
        <v>0</v>
      </c>
      <c r="Q74" s="373">
        <v>0</v>
      </c>
      <c r="R74" s="373">
        <v>0</v>
      </c>
      <c r="S74" s="373">
        <v>0</v>
      </c>
      <c r="T74" s="373">
        <v>0</v>
      </c>
      <c r="U74" s="373">
        <v>0</v>
      </c>
      <c r="V74" s="373">
        <v>0</v>
      </c>
      <c r="W74" s="373">
        <v>0</v>
      </c>
      <c r="X74" s="373">
        <v>0</v>
      </c>
      <c r="Y74" s="382">
        <v>0</v>
      </c>
    </row>
    <row r="75" spans="1:26" ht="13.5" thickBot="1" x14ac:dyDescent="0.25">
      <c r="A75" s="379" t="s">
        <v>116</v>
      </c>
      <c r="B75" s="374">
        <f t="shared" ref="B75:V75" si="11">(C74+B74)*(C73-B73)/2</f>
        <v>1</v>
      </c>
      <c r="C75" s="375">
        <f t="shared" si="11"/>
        <v>0.79999999999999982</v>
      </c>
      <c r="D75" s="375">
        <f t="shared" si="11"/>
        <v>1.2500000000000002</v>
      </c>
      <c r="E75" s="375">
        <f t="shared" si="11"/>
        <v>2</v>
      </c>
      <c r="F75" s="375">
        <f t="shared" si="11"/>
        <v>0.19999999999999973</v>
      </c>
      <c r="G75" s="375">
        <f t="shared" si="11"/>
        <v>0</v>
      </c>
      <c r="H75" s="375">
        <f t="shared" si="11"/>
        <v>0</v>
      </c>
      <c r="I75" s="375">
        <f t="shared" si="11"/>
        <v>0</v>
      </c>
      <c r="J75" s="375">
        <f>(K74+J74)*(K73-J73)/2</f>
        <v>0</v>
      </c>
      <c r="K75" s="375">
        <f t="shared" si="11"/>
        <v>0</v>
      </c>
      <c r="L75" s="375">
        <f t="shared" si="11"/>
        <v>0</v>
      </c>
      <c r="M75" s="375">
        <f t="shared" si="11"/>
        <v>0</v>
      </c>
      <c r="N75" s="375">
        <f t="shared" si="11"/>
        <v>0</v>
      </c>
      <c r="O75" s="375">
        <f t="shared" si="11"/>
        <v>0</v>
      </c>
      <c r="P75" s="375">
        <f t="shared" si="11"/>
        <v>0</v>
      </c>
      <c r="Q75" s="375">
        <f t="shared" si="11"/>
        <v>0</v>
      </c>
      <c r="R75" s="375">
        <f t="shared" si="11"/>
        <v>0</v>
      </c>
      <c r="S75" s="375">
        <f>(T74+S74)*(T73-S73)/2</f>
        <v>0</v>
      </c>
      <c r="T75" s="375">
        <f t="shared" si="11"/>
        <v>0</v>
      </c>
      <c r="U75" s="375">
        <f t="shared" si="11"/>
        <v>0</v>
      </c>
      <c r="V75" s="375">
        <f t="shared" si="11"/>
        <v>0</v>
      </c>
      <c r="W75" s="375">
        <f>(X74+W74)*(X73-W73)/2</f>
        <v>0</v>
      </c>
      <c r="X75" s="375">
        <f>(Y74+X74)*(Y73-X73)/2</f>
        <v>0</v>
      </c>
      <c r="Y75" s="369"/>
    </row>
    <row r="76" spans="1:26" ht="13.5" thickBot="1" x14ac:dyDescent="0.25">
      <c r="B76" s="12"/>
      <c r="C76" s="12"/>
      <c r="D76" s="12"/>
      <c r="E76" s="12"/>
      <c r="F76" s="12"/>
      <c r="G76" s="12"/>
      <c r="H76" s="12"/>
      <c r="I76" s="12"/>
      <c r="J76" s="12"/>
      <c r="K76" s="12"/>
      <c r="L76" s="12"/>
      <c r="M76" s="12"/>
      <c r="N76" s="12"/>
      <c r="O76" s="12"/>
      <c r="P76" s="12"/>
      <c r="Q76" s="12"/>
      <c r="R76" s="12"/>
      <c r="S76" s="12"/>
      <c r="T76" s="12"/>
      <c r="U76" s="12"/>
      <c r="V76" s="12"/>
      <c r="W76" s="12"/>
      <c r="X76" s="12"/>
      <c r="Y76" s="12"/>
    </row>
    <row r="77" spans="1:26" ht="13.5" thickBot="1" x14ac:dyDescent="0.25">
      <c r="A77" s="361" t="s">
        <v>113</v>
      </c>
      <c r="B77" s="359">
        <f>ROW(A77)</f>
        <v>77</v>
      </c>
      <c r="C77" s="363" t="s">
        <v>115</v>
      </c>
      <c r="D77" s="353">
        <f>SUM(B80:Y80)</f>
        <v>10.26</v>
      </c>
      <c r="E77" s="363" t="s">
        <v>114</v>
      </c>
      <c r="F77" s="354">
        <f>D77/g/J77</f>
        <v>80.451658433309802</v>
      </c>
      <c r="G77" s="363" t="s">
        <v>56</v>
      </c>
      <c r="H77" s="64">
        <v>2.4E-2</v>
      </c>
      <c r="I77" s="363" t="s">
        <v>271</v>
      </c>
      <c r="J77" s="355">
        <f>H77-L77</f>
        <v>1.3000000000000001E-2</v>
      </c>
      <c r="K77" s="363" t="s">
        <v>272</v>
      </c>
      <c r="L77" s="64">
        <v>1.0999999999999999E-2</v>
      </c>
      <c r="M77" s="363" t="s">
        <v>57</v>
      </c>
      <c r="N77" s="65">
        <v>30</v>
      </c>
      <c r="O77" s="363" t="s">
        <v>59</v>
      </c>
      <c r="P77" s="65">
        <v>30</v>
      </c>
      <c r="Q77" s="363" t="s">
        <v>60</v>
      </c>
      <c r="R77" s="65">
        <v>70</v>
      </c>
      <c r="S77" s="363" t="s">
        <v>61</v>
      </c>
      <c r="T77" s="65">
        <v>15</v>
      </c>
      <c r="U77" s="363" t="s">
        <v>54</v>
      </c>
      <c r="V77" s="66" t="s">
        <v>117</v>
      </c>
      <c r="W77" s="463" t="s">
        <v>394</v>
      </c>
      <c r="X77" s="465">
        <v>1.7</v>
      </c>
      <c r="Y77" s="463" t="s">
        <v>393</v>
      </c>
      <c r="Z77" s="358">
        <v>3</v>
      </c>
    </row>
    <row r="78" spans="1:26" x14ac:dyDescent="0.2">
      <c r="A78" s="362" t="s">
        <v>33</v>
      </c>
      <c r="B78" s="370">
        <v>0</v>
      </c>
      <c r="C78" s="371">
        <v>0.2</v>
      </c>
      <c r="D78" s="371">
        <v>0.3</v>
      </c>
      <c r="E78" s="371">
        <v>0.6</v>
      </c>
      <c r="F78" s="371">
        <v>0.8</v>
      </c>
      <c r="G78" s="371">
        <v>2</v>
      </c>
      <c r="H78" s="371">
        <v>2.1</v>
      </c>
      <c r="I78" s="371">
        <v>2.1</v>
      </c>
      <c r="J78" s="371">
        <v>2.1</v>
      </c>
      <c r="K78" s="371">
        <v>2.1</v>
      </c>
      <c r="L78" s="371">
        <v>2.1</v>
      </c>
      <c r="M78" s="371">
        <v>2.1</v>
      </c>
      <c r="N78" s="371">
        <v>2.1</v>
      </c>
      <c r="O78" s="371">
        <v>2.1</v>
      </c>
      <c r="P78" s="371">
        <v>2.1</v>
      </c>
      <c r="Q78" s="371">
        <v>2.1</v>
      </c>
      <c r="R78" s="371">
        <v>2.1</v>
      </c>
      <c r="S78" s="371">
        <v>2.1</v>
      </c>
      <c r="T78" s="371">
        <v>2.1</v>
      </c>
      <c r="U78" s="371">
        <v>2.1</v>
      </c>
      <c r="V78" s="371">
        <v>2.1</v>
      </c>
      <c r="W78" s="371">
        <v>2.1</v>
      </c>
      <c r="X78" s="371">
        <v>2.1</v>
      </c>
      <c r="Y78" s="381">
        <v>1000</v>
      </c>
    </row>
    <row r="79" spans="1:26" x14ac:dyDescent="0.2">
      <c r="A79" s="378" t="s">
        <v>34</v>
      </c>
      <c r="B79" s="372">
        <v>0</v>
      </c>
      <c r="C79" s="373">
        <v>11</v>
      </c>
      <c r="D79" s="373">
        <v>7</v>
      </c>
      <c r="E79" s="373">
        <v>4</v>
      </c>
      <c r="F79" s="373">
        <v>4.5999999999999996</v>
      </c>
      <c r="G79" s="373">
        <v>4.5999999999999996</v>
      </c>
      <c r="H79" s="373">
        <v>0</v>
      </c>
      <c r="I79" s="373">
        <v>0</v>
      </c>
      <c r="J79" s="373">
        <v>0</v>
      </c>
      <c r="K79" s="373">
        <v>0</v>
      </c>
      <c r="L79" s="373">
        <v>0</v>
      </c>
      <c r="M79" s="373">
        <v>0</v>
      </c>
      <c r="N79" s="373">
        <v>0</v>
      </c>
      <c r="O79" s="373">
        <v>0</v>
      </c>
      <c r="P79" s="373">
        <v>0</v>
      </c>
      <c r="Q79" s="373">
        <v>0</v>
      </c>
      <c r="R79" s="373">
        <v>0</v>
      </c>
      <c r="S79" s="373">
        <v>0</v>
      </c>
      <c r="T79" s="373">
        <v>0</v>
      </c>
      <c r="U79" s="373">
        <v>0</v>
      </c>
      <c r="V79" s="373">
        <v>0</v>
      </c>
      <c r="W79" s="373">
        <v>0</v>
      </c>
      <c r="X79" s="373">
        <v>0</v>
      </c>
      <c r="Y79" s="382">
        <v>0</v>
      </c>
    </row>
    <row r="80" spans="1:26" ht="13.5" thickBot="1" x14ac:dyDescent="0.25">
      <c r="A80" s="379" t="s">
        <v>116</v>
      </c>
      <c r="B80" s="374">
        <f t="shared" ref="B80:G80" si="12">(C79+B79)*(C78-B78)/2</f>
        <v>1.1000000000000001</v>
      </c>
      <c r="C80" s="375">
        <f t="shared" si="12"/>
        <v>0.8999999999999998</v>
      </c>
      <c r="D80" s="375">
        <f t="shared" si="12"/>
        <v>1.65</v>
      </c>
      <c r="E80" s="375">
        <f t="shared" si="12"/>
        <v>0.86000000000000021</v>
      </c>
      <c r="F80" s="375">
        <f t="shared" si="12"/>
        <v>5.52</v>
      </c>
      <c r="G80" s="375">
        <f t="shared" si="12"/>
        <v>0.23000000000000018</v>
      </c>
      <c r="H80" s="375">
        <f t="shared" ref="H80:V80" si="13">(I79+H79)*(I78-H78)/2</f>
        <v>0</v>
      </c>
      <c r="I80" s="375">
        <f t="shared" si="13"/>
        <v>0</v>
      </c>
      <c r="J80" s="375">
        <f>(K79+J79)*(K78-J78)/2</f>
        <v>0</v>
      </c>
      <c r="K80" s="375">
        <f t="shared" si="13"/>
        <v>0</v>
      </c>
      <c r="L80" s="375">
        <f t="shared" si="13"/>
        <v>0</v>
      </c>
      <c r="M80" s="375">
        <f t="shared" si="13"/>
        <v>0</v>
      </c>
      <c r="N80" s="375">
        <f t="shared" si="13"/>
        <v>0</v>
      </c>
      <c r="O80" s="375">
        <f t="shared" si="13"/>
        <v>0</v>
      </c>
      <c r="P80" s="375">
        <f t="shared" si="13"/>
        <v>0</v>
      </c>
      <c r="Q80" s="375">
        <f t="shared" si="13"/>
        <v>0</v>
      </c>
      <c r="R80" s="375">
        <f t="shared" si="13"/>
        <v>0</v>
      </c>
      <c r="S80" s="375">
        <f>(T79+S79)*(T78-S78)/2</f>
        <v>0</v>
      </c>
      <c r="T80" s="375">
        <f t="shared" si="13"/>
        <v>0</v>
      </c>
      <c r="U80" s="375">
        <f t="shared" si="13"/>
        <v>0</v>
      </c>
      <c r="V80" s="375">
        <f t="shared" si="13"/>
        <v>0</v>
      </c>
      <c r="W80" s="375">
        <f>(X79+W79)*(X78-W78)/2</f>
        <v>0</v>
      </c>
      <c r="X80" s="375">
        <f>(Y79+X79)*(Y78-X78)/2</f>
        <v>0</v>
      </c>
      <c r="Y80" s="369"/>
    </row>
    <row r="81" spans="1:26" ht="13.5" thickBot="1" x14ac:dyDescent="0.25">
      <c r="A81" s="12"/>
      <c r="L81" s="12"/>
      <c r="M81" s="12"/>
      <c r="N81" s="12"/>
      <c r="O81" s="12"/>
      <c r="P81" s="12"/>
      <c r="Q81" s="12"/>
      <c r="R81" s="12"/>
      <c r="S81" s="12"/>
      <c r="T81" s="12"/>
      <c r="U81" s="12"/>
      <c r="V81" s="12"/>
      <c r="W81" s="12"/>
      <c r="X81" s="12"/>
      <c r="Y81" s="12"/>
    </row>
    <row r="82" spans="1:26" ht="13.5" thickBot="1" x14ac:dyDescent="0.25">
      <c r="A82" s="361" t="s">
        <v>329</v>
      </c>
      <c r="B82" s="359">
        <f>ROW(A82)</f>
        <v>82</v>
      </c>
      <c r="C82" s="363" t="s">
        <v>115</v>
      </c>
      <c r="D82" s="353">
        <f>SUM(B85:Y85)</f>
        <v>20.52</v>
      </c>
      <c r="E82" s="363" t="s">
        <v>114</v>
      </c>
      <c r="F82" s="354">
        <f>D82/g/J82</f>
        <v>80.451658433309802</v>
      </c>
      <c r="G82" s="363" t="s">
        <v>56</v>
      </c>
      <c r="H82" s="64">
        <f>H77*2</f>
        <v>4.8000000000000001E-2</v>
      </c>
      <c r="I82" s="363" t="s">
        <v>271</v>
      </c>
      <c r="J82" s="355">
        <f>H82-L82</f>
        <v>2.6000000000000002E-2</v>
      </c>
      <c r="K82" s="363" t="s">
        <v>272</v>
      </c>
      <c r="L82" s="64">
        <f>L77*2</f>
        <v>2.1999999999999999E-2</v>
      </c>
      <c r="M82" s="363" t="s">
        <v>57</v>
      </c>
      <c r="N82" s="65">
        <v>30</v>
      </c>
      <c r="O82" s="363" t="s">
        <v>59</v>
      </c>
      <c r="P82" s="65">
        <v>30</v>
      </c>
      <c r="Q82" s="363" t="s">
        <v>60</v>
      </c>
      <c r="R82" s="65">
        <v>70</v>
      </c>
      <c r="S82" s="363" t="s">
        <v>61</v>
      </c>
      <c r="T82" s="65">
        <v>30</v>
      </c>
      <c r="U82" s="363" t="s">
        <v>54</v>
      </c>
      <c r="V82" s="66" t="s">
        <v>117</v>
      </c>
      <c r="W82" s="463" t="s">
        <v>394</v>
      </c>
      <c r="X82" s="465">
        <v>1.7</v>
      </c>
      <c r="Y82" s="463" t="s">
        <v>393</v>
      </c>
      <c r="Z82" s="358">
        <v>3</v>
      </c>
    </row>
    <row r="83" spans="1:26" x14ac:dyDescent="0.2">
      <c r="A83" s="362" t="s">
        <v>33</v>
      </c>
      <c r="B83" s="370">
        <v>0</v>
      </c>
      <c r="C83" s="371">
        <v>0.2</v>
      </c>
      <c r="D83" s="371">
        <v>0.3</v>
      </c>
      <c r="E83" s="371">
        <v>0.6</v>
      </c>
      <c r="F83" s="371">
        <v>0.8</v>
      </c>
      <c r="G83" s="371">
        <v>2</v>
      </c>
      <c r="H83" s="371">
        <v>2.1</v>
      </c>
      <c r="I83" s="371">
        <v>2.1</v>
      </c>
      <c r="J83" s="371">
        <v>2.1</v>
      </c>
      <c r="K83" s="371">
        <v>2.1</v>
      </c>
      <c r="L83" s="371">
        <v>2.1</v>
      </c>
      <c r="M83" s="371">
        <v>2.1</v>
      </c>
      <c r="N83" s="371">
        <v>2.1</v>
      </c>
      <c r="O83" s="371">
        <v>2.1</v>
      </c>
      <c r="P83" s="371">
        <v>2.1</v>
      </c>
      <c r="Q83" s="371">
        <v>2.1</v>
      </c>
      <c r="R83" s="371">
        <v>2.1</v>
      </c>
      <c r="S83" s="371">
        <v>2.1</v>
      </c>
      <c r="T83" s="371">
        <v>2.1</v>
      </c>
      <c r="U83" s="371">
        <v>2.1</v>
      </c>
      <c r="V83" s="371">
        <v>2.1</v>
      </c>
      <c r="W83" s="371">
        <v>2.1</v>
      </c>
      <c r="X83" s="371">
        <v>2.1</v>
      </c>
      <c r="Y83" s="381">
        <v>1000</v>
      </c>
    </row>
    <row r="84" spans="1:26" x14ac:dyDescent="0.2">
      <c r="A84" s="378" t="s">
        <v>34</v>
      </c>
      <c r="B84" s="372">
        <f>B79*2</f>
        <v>0</v>
      </c>
      <c r="C84" s="373">
        <f t="shared" ref="C84:X84" si="14">C79*2</f>
        <v>22</v>
      </c>
      <c r="D84" s="373">
        <f t="shared" si="14"/>
        <v>14</v>
      </c>
      <c r="E84" s="373">
        <f t="shared" si="14"/>
        <v>8</v>
      </c>
      <c r="F84" s="373">
        <f t="shared" si="14"/>
        <v>9.1999999999999993</v>
      </c>
      <c r="G84" s="373">
        <f t="shared" si="14"/>
        <v>9.1999999999999993</v>
      </c>
      <c r="H84" s="373">
        <f t="shared" si="14"/>
        <v>0</v>
      </c>
      <c r="I84" s="373">
        <f t="shared" si="14"/>
        <v>0</v>
      </c>
      <c r="J84" s="373">
        <f t="shared" si="14"/>
        <v>0</v>
      </c>
      <c r="K84" s="373">
        <f t="shared" si="14"/>
        <v>0</v>
      </c>
      <c r="L84" s="373">
        <f t="shared" si="14"/>
        <v>0</v>
      </c>
      <c r="M84" s="373">
        <f t="shared" si="14"/>
        <v>0</v>
      </c>
      <c r="N84" s="373">
        <f t="shared" si="14"/>
        <v>0</v>
      </c>
      <c r="O84" s="373">
        <f t="shared" si="14"/>
        <v>0</v>
      </c>
      <c r="P84" s="373">
        <f t="shared" si="14"/>
        <v>0</v>
      </c>
      <c r="Q84" s="373">
        <f t="shared" si="14"/>
        <v>0</v>
      </c>
      <c r="R84" s="373">
        <f t="shared" si="14"/>
        <v>0</v>
      </c>
      <c r="S84" s="373">
        <f t="shared" si="14"/>
        <v>0</v>
      </c>
      <c r="T84" s="373">
        <f t="shared" si="14"/>
        <v>0</v>
      </c>
      <c r="U84" s="373">
        <f t="shared" si="14"/>
        <v>0</v>
      </c>
      <c r="V84" s="373">
        <f t="shared" si="14"/>
        <v>0</v>
      </c>
      <c r="W84" s="373">
        <f t="shared" si="14"/>
        <v>0</v>
      </c>
      <c r="X84" s="373">
        <f t="shared" si="14"/>
        <v>0</v>
      </c>
      <c r="Y84" s="382">
        <v>0</v>
      </c>
    </row>
    <row r="85" spans="1:26" ht="13.5" thickBot="1" x14ac:dyDescent="0.25">
      <c r="A85" s="379" t="s">
        <v>116</v>
      </c>
      <c r="B85" s="374">
        <f t="shared" ref="B85:X85" si="15">(C84+B84)*(C83-B83)/2</f>
        <v>2.2000000000000002</v>
      </c>
      <c r="C85" s="375">
        <f t="shared" si="15"/>
        <v>1.7999999999999996</v>
      </c>
      <c r="D85" s="375">
        <f t="shared" si="15"/>
        <v>3.3</v>
      </c>
      <c r="E85" s="375">
        <f t="shared" si="15"/>
        <v>1.7200000000000004</v>
      </c>
      <c r="F85" s="375">
        <f t="shared" si="15"/>
        <v>11.04</v>
      </c>
      <c r="G85" s="375">
        <f t="shared" si="15"/>
        <v>0.46000000000000035</v>
      </c>
      <c r="H85" s="375">
        <f t="shared" si="15"/>
        <v>0</v>
      </c>
      <c r="I85" s="375">
        <f t="shared" si="15"/>
        <v>0</v>
      </c>
      <c r="J85" s="375">
        <f t="shared" si="15"/>
        <v>0</v>
      </c>
      <c r="K85" s="375">
        <f t="shared" si="15"/>
        <v>0</v>
      </c>
      <c r="L85" s="375">
        <f t="shared" si="15"/>
        <v>0</v>
      </c>
      <c r="M85" s="375">
        <f t="shared" si="15"/>
        <v>0</v>
      </c>
      <c r="N85" s="375">
        <f t="shared" si="15"/>
        <v>0</v>
      </c>
      <c r="O85" s="375">
        <f t="shared" si="15"/>
        <v>0</v>
      </c>
      <c r="P85" s="375">
        <f t="shared" si="15"/>
        <v>0</v>
      </c>
      <c r="Q85" s="375">
        <f t="shared" si="15"/>
        <v>0</v>
      </c>
      <c r="R85" s="375">
        <f t="shared" si="15"/>
        <v>0</v>
      </c>
      <c r="S85" s="375">
        <f t="shared" si="15"/>
        <v>0</v>
      </c>
      <c r="T85" s="375">
        <f t="shared" si="15"/>
        <v>0</v>
      </c>
      <c r="U85" s="375">
        <f t="shared" si="15"/>
        <v>0</v>
      </c>
      <c r="V85" s="375">
        <f t="shared" si="15"/>
        <v>0</v>
      </c>
      <c r="W85" s="375">
        <f t="shared" si="15"/>
        <v>0</v>
      </c>
      <c r="X85" s="375">
        <f t="shared" si="15"/>
        <v>0</v>
      </c>
      <c r="Y85" s="369"/>
    </row>
    <row r="86" spans="1:26" ht="13.5" thickBot="1" x14ac:dyDescent="0.25">
      <c r="B86" s="12"/>
      <c r="C86" s="12"/>
      <c r="D86" s="12"/>
      <c r="E86" s="12"/>
      <c r="F86" s="12"/>
      <c r="G86" s="12"/>
      <c r="H86" s="12"/>
      <c r="I86" s="12"/>
      <c r="J86" s="12"/>
      <c r="K86" s="12"/>
      <c r="L86" s="12"/>
      <c r="M86" s="12"/>
      <c r="N86" s="12"/>
      <c r="O86" s="12"/>
      <c r="P86" s="12"/>
      <c r="Q86" s="12"/>
      <c r="R86" s="12"/>
      <c r="S86" s="12"/>
      <c r="T86" s="12"/>
      <c r="U86" s="12"/>
      <c r="V86" s="12"/>
      <c r="W86" s="12"/>
      <c r="X86" s="12"/>
      <c r="Y86" s="12"/>
    </row>
    <row r="87" spans="1:26" ht="13.5" thickBot="1" x14ac:dyDescent="0.25">
      <c r="A87" s="361" t="s">
        <v>330</v>
      </c>
      <c r="B87" s="359">
        <f>ROW(A87)</f>
        <v>87</v>
      </c>
      <c r="C87" s="363" t="s">
        <v>115</v>
      </c>
      <c r="D87" s="353">
        <f>SUM(B90:Y90)</f>
        <v>30.779999999999998</v>
      </c>
      <c r="E87" s="363" t="s">
        <v>114</v>
      </c>
      <c r="F87" s="354">
        <f>D87/g/J87</f>
        <v>80.451658433309774</v>
      </c>
      <c r="G87" s="363" t="s">
        <v>56</v>
      </c>
      <c r="H87" s="64">
        <f>H77*3</f>
        <v>7.2000000000000008E-2</v>
      </c>
      <c r="I87" s="363" t="s">
        <v>271</v>
      </c>
      <c r="J87" s="355">
        <f>H87-L87</f>
        <v>3.9000000000000007E-2</v>
      </c>
      <c r="K87" s="363" t="s">
        <v>272</v>
      </c>
      <c r="L87" s="64">
        <f>L77*3</f>
        <v>3.3000000000000002E-2</v>
      </c>
      <c r="M87" s="363" t="s">
        <v>57</v>
      </c>
      <c r="N87" s="65">
        <v>30</v>
      </c>
      <c r="O87" s="363" t="s">
        <v>59</v>
      </c>
      <c r="P87" s="65">
        <v>30</v>
      </c>
      <c r="Q87" s="363" t="s">
        <v>60</v>
      </c>
      <c r="R87" s="65">
        <v>70</v>
      </c>
      <c r="S87" s="363" t="s">
        <v>61</v>
      </c>
      <c r="T87" s="65">
        <v>40</v>
      </c>
      <c r="U87" s="363" t="s">
        <v>54</v>
      </c>
      <c r="V87" s="66" t="s">
        <v>117</v>
      </c>
      <c r="W87" s="463" t="s">
        <v>394</v>
      </c>
      <c r="X87" s="465">
        <v>1.7</v>
      </c>
      <c r="Y87" s="463" t="s">
        <v>393</v>
      </c>
      <c r="Z87" s="358">
        <v>3</v>
      </c>
    </row>
    <row r="88" spans="1:26" x14ac:dyDescent="0.2">
      <c r="A88" s="362" t="s">
        <v>33</v>
      </c>
      <c r="B88" s="370">
        <v>0</v>
      </c>
      <c r="C88" s="371">
        <v>0.2</v>
      </c>
      <c r="D88" s="371">
        <v>0.3</v>
      </c>
      <c r="E88" s="371">
        <v>0.6</v>
      </c>
      <c r="F88" s="371">
        <v>0.8</v>
      </c>
      <c r="G88" s="371">
        <v>2</v>
      </c>
      <c r="H88" s="371">
        <v>2.1</v>
      </c>
      <c r="I88" s="371">
        <v>2.1</v>
      </c>
      <c r="J88" s="371">
        <v>2.1</v>
      </c>
      <c r="K88" s="371">
        <v>2.1</v>
      </c>
      <c r="L88" s="371">
        <v>2.1</v>
      </c>
      <c r="M88" s="371">
        <v>2.1</v>
      </c>
      <c r="N88" s="371">
        <v>2.1</v>
      </c>
      <c r="O88" s="371">
        <v>2.1</v>
      </c>
      <c r="P88" s="371">
        <v>2.1</v>
      </c>
      <c r="Q88" s="371">
        <v>2.1</v>
      </c>
      <c r="R88" s="371">
        <v>2.1</v>
      </c>
      <c r="S88" s="371">
        <v>2.1</v>
      </c>
      <c r="T88" s="371">
        <v>2.1</v>
      </c>
      <c r="U88" s="371">
        <v>2.1</v>
      </c>
      <c r="V88" s="371">
        <v>2.1</v>
      </c>
      <c r="W88" s="371">
        <v>2.1</v>
      </c>
      <c r="X88" s="371">
        <v>2.1</v>
      </c>
      <c r="Y88" s="381">
        <v>1000</v>
      </c>
    </row>
    <row r="89" spans="1:26" x14ac:dyDescent="0.2">
      <c r="A89" s="378" t="s">
        <v>34</v>
      </c>
      <c r="B89" s="372">
        <f>B79*3</f>
        <v>0</v>
      </c>
      <c r="C89" s="373">
        <f t="shared" ref="C89:X89" si="16">C79*3</f>
        <v>33</v>
      </c>
      <c r="D89" s="373">
        <f t="shared" si="16"/>
        <v>21</v>
      </c>
      <c r="E89" s="373">
        <f t="shared" si="16"/>
        <v>12</v>
      </c>
      <c r="F89" s="373">
        <f t="shared" si="16"/>
        <v>13.799999999999999</v>
      </c>
      <c r="G89" s="373">
        <f t="shared" si="16"/>
        <v>13.799999999999999</v>
      </c>
      <c r="H89" s="373">
        <f t="shared" si="16"/>
        <v>0</v>
      </c>
      <c r="I89" s="373">
        <f t="shared" si="16"/>
        <v>0</v>
      </c>
      <c r="J89" s="373">
        <f t="shared" si="16"/>
        <v>0</v>
      </c>
      <c r="K89" s="373">
        <f t="shared" si="16"/>
        <v>0</v>
      </c>
      <c r="L89" s="373">
        <f t="shared" si="16"/>
        <v>0</v>
      </c>
      <c r="M89" s="373">
        <f t="shared" si="16"/>
        <v>0</v>
      </c>
      <c r="N89" s="373">
        <f t="shared" si="16"/>
        <v>0</v>
      </c>
      <c r="O89" s="373">
        <f t="shared" si="16"/>
        <v>0</v>
      </c>
      <c r="P89" s="373">
        <f t="shared" si="16"/>
        <v>0</v>
      </c>
      <c r="Q89" s="373">
        <f t="shared" si="16"/>
        <v>0</v>
      </c>
      <c r="R89" s="373">
        <f t="shared" si="16"/>
        <v>0</v>
      </c>
      <c r="S89" s="373">
        <f t="shared" si="16"/>
        <v>0</v>
      </c>
      <c r="T89" s="373">
        <f t="shared" si="16"/>
        <v>0</v>
      </c>
      <c r="U89" s="373">
        <f t="shared" si="16"/>
        <v>0</v>
      </c>
      <c r="V89" s="373">
        <f t="shared" si="16"/>
        <v>0</v>
      </c>
      <c r="W89" s="373">
        <f t="shared" si="16"/>
        <v>0</v>
      </c>
      <c r="X89" s="373">
        <f t="shared" si="16"/>
        <v>0</v>
      </c>
      <c r="Y89" s="382">
        <v>0</v>
      </c>
    </row>
    <row r="90" spans="1:26" ht="13.5" thickBot="1" x14ac:dyDescent="0.25">
      <c r="A90" s="379" t="s">
        <v>116</v>
      </c>
      <c r="B90" s="374">
        <f t="shared" ref="B90:X90" si="17">(C89+B89)*(C88-B88)/2</f>
        <v>3.3000000000000003</v>
      </c>
      <c r="C90" s="375">
        <f t="shared" si="17"/>
        <v>2.6999999999999993</v>
      </c>
      <c r="D90" s="375">
        <f t="shared" si="17"/>
        <v>4.95</v>
      </c>
      <c r="E90" s="375">
        <f t="shared" si="17"/>
        <v>2.5800000000000005</v>
      </c>
      <c r="F90" s="375">
        <f t="shared" si="17"/>
        <v>16.559999999999999</v>
      </c>
      <c r="G90" s="375">
        <f t="shared" si="17"/>
        <v>0.69000000000000061</v>
      </c>
      <c r="H90" s="375">
        <f t="shared" si="17"/>
        <v>0</v>
      </c>
      <c r="I90" s="375">
        <f t="shared" si="17"/>
        <v>0</v>
      </c>
      <c r="J90" s="375">
        <f t="shared" si="17"/>
        <v>0</v>
      </c>
      <c r="K90" s="375">
        <f t="shared" si="17"/>
        <v>0</v>
      </c>
      <c r="L90" s="375">
        <f t="shared" si="17"/>
        <v>0</v>
      </c>
      <c r="M90" s="375">
        <f t="shared" si="17"/>
        <v>0</v>
      </c>
      <c r="N90" s="375">
        <f t="shared" si="17"/>
        <v>0</v>
      </c>
      <c r="O90" s="375">
        <f t="shared" si="17"/>
        <v>0</v>
      </c>
      <c r="P90" s="375">
        <f t="shared" si="17"/>
        <v>0</v>
      </c>
      <c r="Q90" s="375">
        <f t="shared" si="17"/>
        <v>0</v>
      </c>
      <c r="R90" s="375">
        <f t="shared" si="17"/>
        <v>0</v>
      </c>
      <c r="S90" s="375">
        <f t="shared" si="17"/>
        <v>0</v>
      </c>
      <c r="T90" s="375">
        <f t="shared" si="17"/>
        <v>0</v>
      </c>
      <c r="U90" s="375">
        <f t="shared" si="17"/>
        <v>0</v>
      </c>
      <c r="V90" s="375">
        <f t="shared" si="17"/>
        <v>0</v>
      </c>
      <c r="W90" s="375">
        <f t="shared" si="17"/>
        <v>0</v>
      </c>
      <c r="X90" s="375">
        <f t="shared" si="17"/>
        <v>0</v>
      </c>
      <c r="Y90" s="369"/>
    </row>
    <row r="91" spans="1:26" ht="13.5" thickBot="1" x14ac:dyDescent="0.25">
      <c r="B91" s="12"/>
      <c r="C91" s="12"/>
      <c r="D91" s="12"/>
      <c r="E91" s="12"/>
      <c r="F91" s="12"/>
      <c r="G91" s="12"/>
      <c r="H91" s="12"/>
      <c r="I91" s="12"/>
      <c r="J91" s="12"/>
      <c r="K91" s="12"/>
      <c r="L91" s="12"/>
      <c r="M91" s="12"/>
      <c r="N91" s="12"/>
      <c r="O91" s="12"/>
      <c r="P91" s="12"/>
      <c r="Q91" s="12"/>
      <c r="R91" s="12"/>
      <c r="S91" s="12"/>
      <c r="T91" s="12"/>
      <c r="U91" s="12"/>
      <c r="V91" s="12"/>
      <c r="W91" s="12"/>
      <c r="X91" s="12"/>
      <c r="Y91" s="12"/>
    </row>
    <row r="92" spans="1:26" ht="13.5" thickBot="1" x14ac:dyDescent="0.25">
      <c r="A92" s="361" t="s">
        <v>540</v>
      </c>
      <c r="B92" s="359">
        <f>ROW(A92)</f>
        <v>92</v>
      </c>
      <c r="C92" s="363" t="s">
        <v>115</v>
      </c>
      <c r="D92" s="353">
        <f>SUM(B95:Y95)</f>
        <v>19.961989000000003</v>
      </c>
      <c r="E92" s="363" t="s">
        <v>114</v>
      </c>
      <c r="F92" s="354">
        <f>D92/g/J92</f>
        <v>118.30588744280873</v>
      </c>
      <c r="G92" s="363" t="s">
        <v>56</v>
      </c>
      <c r="H92" s="64">
        <v>2.8199999999999999E-2</v>
      </c>
      <c r="I92" s="363" t="s">
        <v>271</v>
      </c>
      <c r="J92" s="355">
        <f>H92-L92</f>
        <v>1.72E-2</v>
      </c>
      <c r="K92" s="363" t="s">
        <v>272</v>
      </c>
      <c r="L92" s="64">
        <v>1.0999999999999999E-2</v>
      </c>
      <c r="M92" s="363" t="s">
        <v>57</v>
      </c>
      <c r="N92" s="65">
        <v>30</v>
      </c>
      <c r="O92" s="363" t="s">
        <v>59</v>
      </c>
      <c r="P92" s="65">
        <v>30</v>
      </c>
      <c r="Q92" s="363" t="s">
        <v>60</v>
      </c>
      <c r="R92" s="65">
        <v>70</v>
      </c>
      <c r="S92" s="363" t="s">
        <v>61</v>
      </c>
      <c r="T92" s="65">
        <v>18</v>
      </c>
      <c r="U92" s="363" t="s">
        <v>54</v>
      </c>
      <c r="V92" s="66" t="s">
        <v>401</v>
      </c>
      <c r="W92" s="463" t="s">
        <v>394</v>
      </c>
      <c r="X92" s="465">
        <v>2.1</v>
      </c>
      <c r="Y92" s="463" t="s">
        <v>393</v>
      </c>
      <c r="Z92" s="358">
        <v>7</v>
      </c>
    </row>
    <row r="93" spans="1:26" x14ac:dyDescent="0.2">
      <c r="A93" s="362" t="s">
        <v>33</v>
      </c>
      <c r="B93" s="370">
        <v>0</v>
      </c>
      <c r="C93" s="471">
        <v>0.04</v>
      </c>
      <c r="D93" s="471">
        <v>0.11600000000000001</v>
      </c>
      <c r="E93" s="471">
        <v>0.21299999999999999</v>
      </c>
      <c r="F93" s="471">
        <v>0.28599999999999998</v>
      </c>
      <c r="G93" s="471">
        <v>0.32900000000000001</v>
      </c>
      <c r="H93" s="471">
        <v>0.36899999999999999</v>
      </c>
      <c r="I93" s="471">
        <v>0.42</v>
      </c>
      <c r="J93" s="471">
        <v>0.495</v>
      </c>
      <c r="K93" s="471">
        <v>0.59699999999999998</v>
      </c>
      <c r="L93" s="471">
        <v>1.7110000000000001</v>
      </c>
      <c r="M93" s="471">
        <v>1.8260000000000001</v>
      </c>
      <c r="N93" s="471">
        <v>1.917</v>
      </c>
      <c r="O93" s="471">
        <v>1.9750000000000001</v>
      </c>
      <c r="P93" s="471">
        <v>2.206</v>
      </c>
      <c r="Q93" s="471">
        <v>2.242</v>
      </c>
      <c r="R93" s="371">
        <v>2.5</v>
      </c>
      <c r="S93" s="371">
        <v>2.5</v>
      </c>
      <c r="T93" s="371">
        <v>2.5</v>
      </c>
      <c r="U93" s="371">
        <v>2.5</v>
      </c>
      <c r="V93" s="371">
        <v>2.5</v>
      </c>
      <c r="W93" s="371">
        <v>2.5</v>
      </c>
      <c r="X93" s="371">
        <v>2.5</v>
      </c>
      <c r="Y93" s="381">
        <v>1000</v>
      </c>
    </row>
    <row r="94" spans="1:26" x14ac:dyDescent="0.2">
      <c r="A94" s="378" t="s">
        <v>34</v>
      </c>
      <c r="B94" s="372">
        <v>0</v>
      </c>
      <c r="C94" s="471">
        <v>2.1110000000000002</v>
      </c>
      <c r="D94" s="471">
        <v>9.6850000000000005</v>
      </c>
      <c r="E94" s="471">
        <v>25</v>
      </c>
      <c r="F94" s="471">
        <v>15.738</v>
      </c>
      <c r="G94" s="471">
        <v>12.472</v>
      </c>
      <c r="H94" s="471">
        <v>10.67</v>
      </c>
      <c r="I94" s="471">
        <v>9.7129999999999992</v>
      </c>
      <c r="J94" s="471">
        <v>9.1780000000000008</v>
      </c>
      <c r="K94" s="471">
        <v>8.8960000000000008</v>
      </c>
      <c r="L94" s="471">
        <v>8.9250000000000007</v>
      </c>
      <c r="M94" s="471">
        <v>8.6989999999999998</v>
      </c>
      <c r="N94" s="471">
        <v>8.0519999999999996</v>
      </c>
      <c r="O94" s="471">
        <v>6.9539999999999997</v>
      </c>
      <c r="P94" s="471">
        <v>1.07</v>
      </c>
      <c r="Q94" s="471">
        <v>0</v>
      </c>
      <c r="R94" s="373">
        <v>0</v>
      </c>
      <c r="S94" s="373">
        <v>0</v>
      </c>
      <c r="T94" s="373">
        <v>0</v>
      </c>
      <c r="U94" s="373">
        <v>0</v>
      </c>
      <c r="V94" s="373">
        <v>0</v>
      </c>
      <c r="W94" s="373">
        <v>0</v>
      </c>
      <c r="X94" s="373">
        <v>0</v>
      </c>
      <c r="Y94" s="382">
        <v>0</v>
      </c>
    </row>
    <row r="95" spans="1:26" ht="13.5" thickBot="1" x14ac:dyDescent="0.25">
      <c r="A95" s="379" t="s">
        <v>116</v>
      </c>
      <c r="B95" s="374">
        <f t="shared" ref="B95:X95" si="18">(C94+B94)*(C93-B93)/2</f>
        <v>4.2220000000000008E-2</v>
      </c>
      <c r="C95" s="375">
        <f t="shared" si="18"/>
        <v>0.44824800000000009</v>
      </c>
      <c r="D95" s="375">
        <f t="shared" si="18"/>
        <v>1.6822225</v>
      </c>
      <c r="E95" s="375">
        <f t="shared" si="18"/>
        <v>1.4869369999999995</v>
      </c>
      <c r="F95" s="375">
        <f t="shared" si="18"/>
        <v>0.60651500000000058</v>
      </c>
      <c r="G95" s="375">
        <f t="shared" si="18"/>
        <v>0.46283999999999975</v>
      </c>
      <c r="H95" s="375">
        <f t="shared" si="18"/>
        <v>0.51976649999999991</v>
      </c>
      <c r="I95" s="375">
        <f t="shared" si="18"/>
        <v>0.7084125</v>
      </c>
      <c r="J95" s="375">
        <f t="shared" si="18"/>
        <v>0.92177399999999987</v>
      </c>
      <c r="K95" s="375">
        <f t="shared" si="18"/>
        <v>9.9262970000000017</v>
      </c>
      <c r="L95" s="375">
        <f t="shared" si="18"/>
        <v>1.0133799999999999</v>
      </c>
      <c r="M95" s="375">
        <f t="shared" si="18"/>
        <v>0.76217049999999964</v>
      </c>
      <c r="N95" s="375">
        <f t="shared" si="18"/>
        <v>0.43517400000000039</v>
      </c>
      <c r="O95" s="375">
        <f t="shared" si="18"/>
        <v>0.92677199999999937</v>
      </c>
      <c r="P95" s="375">
        <f t="shared" si="18"/>
        <v>1.9260000000000017E-2</v>
      </c>
      <c r="Q95" s="375">
        <f t="shared" si="18"/>
        <v>0</v>
      </c>
      <c r="R95" s="375">
        <f t="shared" si="18"/>
        <v>0</v>
      </c>
      <c r="S95" s="375">
        <f t="shared" si="18"/>
        <v>0</v>
      </c>
      <c r="T95" s="375">
        <f t="shared" si="18"/>
        <v>0</v>
      </c>
      <c r="U95" s="375">
        <f t="shared" si="18"/>
        <v>0</v>
      </c>
      <c r="V95" s="375">
        <f t="shared" si="18"/>
        <v>0</v>
      </c>
      <c r="W95" s="375">
        <f t="shared" si="18"/>
        <v>0</v>
      </c>
      <c r="X95" s="375">
        <f t="shared" si="18"/>
        <v>0</v>
      </c>
      <c r="Y95" s="369"/>
    </row>
    <row r="96" spans="1:26" ht="13.5" thickBot="1" x14ac:dyDescent="0.25">
      <c r="A96" s="12"/>
      <c r="L96" s="12"/>
      <c r="M96" s="12"/>
      <c r="N96" s="12"/>
      <c r="O96" s="12"/>
      <c r="P96" s="12"/>
      <c r="Q96" s="12"/>
      <c r="R96" s="12"/>
      <c r="S96" s="12"/>
      <c r="T96" s="12"/>
      <c r="U96" s="12"/>
      <c r="V96" s="12"/>
      <c r="W96" s="12"/>
      <c r="X96" s="12"/>
      <c r="Y96" s="12"/>
    </row>
    <row r="97" spans="1:26" ht="13.5" thickBot="1" x14ac:dyDescent="0.25">
      <c r="A97" s="361" t="s">
        <v>538</v>
      </c>
      <c r="B97" s="359">
        <f>ROW(A97)</f>
        <v>97</v>
      </c>
      <c r="C97" s="363" t="s">
        <v>115</v>
      </c>
      <c r="D97" s="353">
        <f>SUM(B100:Y100)</f>
        <v>39.923978000000005</v>
      </c>
      <c r="E97" s="363" t="s">
        <v>114</v>
      </c>
      <c r="F97" s="354">
        <f>D97/g/J97</f>
        <v>118.30588744280873</v>
      </c>
      <c r="G97" s="363" t="s">
        <v>56</v>
      </c>
      <c r="H97" s="64">
        <f>H92*2</f>
        <v>5.6399999999999999E-2</v>
      </c>
      <c r="I97" s="363" t="s">
        <v>271</v>
      </c>
      <c r="J97" s="355">
        <f>H97-L97</f>
        <v>3.44E-2</v>
      </c>
      <c r="K97" s="363" t="s">
        <v>272</v>
      </c>
      <c r="L97" s="64">
        <f>L92*2</f>
        <v>2.1999999999999999E-2</v>
      </c>
      <c r="M97" s="363" t="s">
        <v>57</v>
      </c>
      <c r="N97" s="65">
        <v>30</v>
      </c>
      <c r="O97" s="363" t="s">
        <v>59</v>
      </c>
      <c r="P97" s="65">
        <v>30</v>
      </c>
      <c r="Q97" s="363" t="s">
        <v>60</v>
      </c>
      <c r="R97" s="65">
        <v>70</v>
      </c>
      <c r="S97" s="363" t="s">
        <v>61</v>
      </c>
      <c r="T97" s="65">
        <v>30</v>
      </c>
      <c r="U97" s="363" t="s">
        <v>54</v>
      </c>
      <c r="V97" s="66" t="s">
        <v>401</v>
      </c>
      <c r="W97" s="463" t="s">
        <v>394</v>
      </c>
      <c r="X97" s="465">
        <v>2.1</v>
      </c>
      <c r="Y97" s="463" t="s">
        <v>393</v>
      </c>
      <c r="Z97" s="358">
        <v>7</v>
      </c>
    </row>
    <row r="98" spans="1:26" x14ac:dyDescent="0.2">
      <c r="A98" s="362" t="s">
        <v>33</v>
      </c>
      <c r="B98" s="370">
        <v>0</v>
      </c>
      <c r="C98" s="371">
        <f>C93</f>
        <v>0.04</v>
      </c>
      <c r="D98" s="371">
        <f t="shared" ref="D98:X98" si="19">D93</f>
        <v>0.11600000000000001</v>
      </c>
      <c r="E98" s="371">
        <f t="shared" si="19"/>
        <v>0.21299999999999999</v>
      </c>
      <c r="F98" s="371">
        <f t="shared" si="19"/>
        <v>0.28599999999999998</v>
      </c>
      <c r="G98" s="371">
        <f t="shared" si="19"/>
        <v>0.32900000000000001</v>
      </c>
      <c r="H98" s="371">
        <f t="shared" si="19"/>
        <v>0.36899999999999999</v>
      </c>
      <c r="I98" s="371">
        <f t="shared" si="19"/>
        <v>0.42</v>
      </c>
      <c r="J98" s="371">
        <f t="shared" si="19"/>
        <v>0.495</v>
      </c>
      <c r="K98" s="371">
        <f t="shared" si="19"/>
        <v>0.59699999999999998</v>
      </c>
      <c r="L98" s="371">
        <f t="shared" si="19"/>
        <v>1.7110000000000001</v>
      </c>
      <c r="M98" s="371">
        <f t="shared" si="19"/>
        <v>1.8260000000000001</v>
      </c>
      <c r="N98" s="371">
        <f t="shared" si="19"/>
        <v>1.917</v>
      </c>
      <c r="O98" s="371">
        <f t="shared" si="19"/>
        <v>1.9750000000000001</v>
      </c>
      <c r="P98" s="371">
        <f t="shared" si="19"/>
        <v>2.206</v>
      </c>
      <c r="Q98" s="371">
        <f t="shared" si="19"/>
        <v>2.242</v>
      </c>
      <c r="R98" s="371">
        <f t="shared" si="19"/>
        <v>2.5</v>
      </c>
      <c r="S98" s="371">
        <f>S93</f>
        <v>2.5</v>
      </c>
      <c r="T98" s="371">
        <f t="shared" si="19"/>
        <v>2.5</v>
      </c>
      <c r="U98" s="371">
        <f t="shared" si="19"/>
        <v>2.5</v>
      </c>
      <c r="V98" s="371">
        <f t="shared" si="19"/>
        <v>2.5</v>
      </c>
      <c r="W98" s="371">
        <f t="shared" si="19"/>
        <v>2.5</v>
      </c>
      <c r="X98" s="371">
        <f t="shared" si="19"/>
        <v>2.5</v>
      </c>
      <c r="Y98" s="381">
        <v>1000</v>
      </c>
    </row>
    <row r="99" spans="1:26" x14ac:dyDescent="0.2">
      <c r="A99" s="378" t="s">
        <v>34</v>
      </c>
      <c r="B99" s="372">
        <f>B94*2</f>
        <v>0</v>
      </c>
      <c r="C99" s="373">
        <f t="shared" ref="C99:X99" si="20">C94*2</f>
        <v>4.2220000000000004</v>
      </c>
      <c r="D99" s="373">
        <f t="shared" si="20"/>
        <v>19.37</v>
      </c>
      <c r="E99" s="373">
        <f t="shared" si="20"/>
        <v>50</v>
      </c>
      <c r="F99" s="373">
        <f t="shared" si="20"/>
        <v>31.475999999999999</v>
      </c>
      <c r="G99" s="373">
        <f t="shared" si="20"/>
        <v>24.943999999999999</v>
      </c>
      <c r="H99" s="373">
        <f t="shared" si="20"/>
        <v>21.34</v>
      </c>
      <c r="I99" s="373">
        <f t="shared" si="20"/>
        <v>19.425999999999998</v>
      </c>
      <c r="J99" s="373">
        <f t="shared" si="20"/>
        <v>18.356000000000002</v>
      </c>
      <c r="K99" s="373">
        <f t="shared" si="20"/>
        <v>17.792000000000002</v>
      </c>
      <c r="L99" s="373">
        <f t="shared" si="20"/>
        <v>17.850000000000001</v>
      </c>
      <c r="M99" s="373">
        <f t="shared" si="20"/>
        <v>17.398</v>
      </c>
      <c r="N99" s="373">
        <f t="shared" si="20"/>
        <v>16.103999999999999</v>
      </c>
      <c r="O99" s="373">
        <f t="shared" si="20"/>
        <v>13.907999999999999</v>
      </c>
      <c r="P99" s="373">
        <f t="shared" si="20"/>
        <v>2.14</v>
      </c>
      <c r="Q99" s="373">
        <f t="shared" si="20"/>
        <v>0</v>
      </c>
      <c r="R99" s="373">
        <f t="shared" si="20"/>
        <v>0</v>
      </c>
      <c r="S99" s="373">
        <f t="shared" si="20"/>
        <v>0</v>
      </c>
      <c r="T99" s="373">
        <f t="shared" si="20"/>
        <v>0</v>
      </c>
      <c r="U99" s="373">
        <f t="shared" si="20"/>
        <v>0</v>
      </c>
      <c r="V99" s="373">
        <f t="shared" si="20"/>
        <v>0</v>
      </c>
      <c r="W99" s="373">
        <f t="shared" si="20"/>
        <v>0</v>
      </c>
      <c r="X99" s="373">
        <f t="shared" si="20"/>
        <v>0</v>
      </c>
      <c r="Y99" s="382">
        <v>0</v>
      </c>
    </row>
    <row r="100" spans="1:26" ht="13.5" thickBot="1" x14ac:dyDescent="0.25">
      <c r="A100" s="379" t="s">
        <v>116</v>
      </c>
      <c r="B100" s="374">
        <f t="shared" ref="B100:X100" si="21">(C99+B99)*(C98-B98)/2</f>
        <v>8.4440000000000015E-2</v>
      </c>
      <c r="C100" s="375">
        <f t="shared" si="21"/>
        <v>0.89649600000000018</v>
      </c>
      <c r="D100" s="375">
        <f t="shared" si="21"/>
        <v>3.3644449999999999</v>
      </c>
      <c r="E100" s="375">
        <f t="shared" si="21"/>
        <v>2.973873999999999</v>
      </c>
      <c r="F100" s="375">
        <f t="shared" si="21"/>
        <v>1.2130300000000012</v>
      </c>
      <c r="G100" s="375">
        <f t="shared" si="21"/>
        <v>0.9256799999999995</v>
      </c>
      <c r="H100" s="375">
        <f t="shared" si="21"/>
        <v>1.0395329999999998</v>
      </c>
      <c r="I100" s="375">
        <f t="shared" si="21"/>
        <v>1.416825</v>
      </c>
      <c r="J100" s="375">
        <f t="shared" si="21"/>
        <v>1.8435479999999997</v>
      </c>
      <c r="K100" s="375">
        <f t="shared" si="21"/>
        <v>19.852594000000003</v>
      </c>
      <c r="L100" s="375">
        <f t="shared" si="21"/>
        <v>2.0267599999999999</v>
      </c>
      <c r="M100" s="375">
        <f t="shared" si="21"/>
        <v>1.5243409999999993</v>
      </c>
      <c r="N100" s="375">
        <f t="shared" si="21"/>
        <v>0.87034800000000079</v>
      </c>
      <c r="O100" s="375">
        <f t="shared" si="21"/>
        <v>1.8535439999999987</v>
      </c>
      <c r="P100" s="375">
        <f t="shared" si="21"/>
        <v>3.8520000000000033E-2</v>
      </c>
      <c r="Q100" s="375">
        <f t="shared" si="21"/>
        <v>0</v>
      </c>
      <c r="R100" s="375">
        <f t="shared" si="21"/>
        <v>0</v>
      </c>
      <c r="S100" s="375">
        <f t="shared" si="21"/>
        <v>0</v>
      </c>
      <c r="T100" s="375">
        <f t="shared" si="21"/>
        <v>0</v>
      </c>
      <c r="U100" s="375">
        <f t="shared" si="21"/>
        <v>0</v>
      </c>
      <c r="V100" s="375">
        <f t="shared" si="21"/>
        <v>0</v>
      </c>
      <c r="W100" s="375">
        <f t="shared" si="21"/>
        <v>0</v>
      </c>
      <c r="X100" s="375">
        <f t="shared" si="21"/>
        <v>0</v>
      </c>
      <c r="Y100" s="369"/>
    </row>
    <row r="101" spans="1:26" ht="13.5" thickBot="1" x14ac:dyDescent="0.25">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row>
    <row r="102" spans="1:26" ht="13.5" thickBot="1" x14ac:dyDescent="0.25">
      <c r="A102" s="361" t="s">
        <v>539</v>
      </c>
      <c r="B102" s="359">
        <f>ROW(A102)</f>
        <v>102</v>
      </c>
      <c r="C102" s="363" t="s">
        <v>115</v>
      </c>
      <c r="D102" s="353">
        <f>SUM(B105:Y105)</f>
        <v>59.885967000000008</v>
      </c>
      <c r="E102" s="363" t="s">
        <v>114</v>
      </c>
      <c r="F102" s="354">
        <f>D102/g/J102</f>
        <v>118.30588744280874</v>
      </c>
      <c r="G102" s="363" t="s">
        <v>56</v>
      </c>
      <c r="H102" s="64">
        <f>H92*3</f>
        <v>8.4599999999999995E-2</v>
      </c>
      <c r="I102" s="363" t="s">
        <v>271</v>
      </c>
      <c r="J102" s="355">
        <f>H102-L102</f>
        <v>5.1599999999999993E-2</v>
      </c>
      <c r="K102" s="363" t="s">
        <v>272</v>
      </c>
      <c r="L102" s="64">
        <f>L92*3</f>
        <v>3.3000000000000002E-2</v>
      </c>
      <c r="M102" s="363" t="s">
        <v>57</v>
      </c>
      <c r="N102" s="65">
        <v>30</v>
      </c>
      <c r="O102" s="363" t="s">
        <v>59</v>
      </c>
      <c r="P102" s="65">
        <v>30</v>
      </c>
      <c r="Q102" s="363" t="s">
        <v>60</v>
      </c>
      <c r="R102" s="65">
        <v>70</v>
      </c>
      <c r="S102" s="363" t="s">
        <v>61</v>
      </c>
      <c r="T102" s="65">
        <v>40</v>
      </c>
      <c r="U102" s="363" t="s">
        <v>54</v>
      </c>
      <c r="V102" s="66" t="s">
        <v>401</v>
      </c>
      <c r="W102" s="463" t="s">
        <v>394</v>
      </c>
      <c r="X102" s="465">
        <v>2.1</v>
      </c>
      <c r="Y102" s="463" t="s">
        <v>393</v>
      </c>
      <c r="Z102" s="358">
        <v>7</v>
      </c>
    </row>
    <row r="103" spans="1:26" x14ac:dyDescent="0.2">
      <c r="A103" s="362" t="s">
        <v>33</v>
      </c>
      <c r="B103" s="370">
        <v>0</v>
      </c>
      <c r="C103" s="371">
        <f>C93</f>
        <v>0.04</v>
      </c>
      <c r="D103" s="371">
        <f t="shared" ref="D103:X103" si="22">D93</f>
        <v>0.11600000000000001</v>
      </c>
      <c r="E103" s="371">
        <f t="shared" si="22"/>
        <v>0.21299999999999999</v>
      </c>
      <c r="F103" s="371">
        <f t="shared" si="22"/>
        <v>0.28599999999999998</v>
      </c>
      <c r="G103" s="371">
        <f t="shared" si="22"/>
        <v>0.32900000000000001</v>
      </c>
      <c r="H103" s="371">
        <f t="shared" si="22"/>
        <v>0.36899999999999999</v>
      </c>
      <c r="I103" s="371">
        <f t="shared" si="22"/>
        <v>0.42</v>
      </c>
      <c r="J103" s="371">
        <f t="shared" si="22"/>
        <v>0.495</v>
      </c>
      <c r="K103" s="371">
        <f t="shared" si="22"/>
        <v>0.59699999999999998</v>
      </c>
      <c r="L103" s="371">
        <f t="shared" si="22"/>
        <v>1.7110000000000001</v>
      </c>
      <c r="M103" s="371">
        <f t="shared" si="22"/>
        <v>1.8260000000000001</v>
      </c>
      <c r="N103" s="371">
        <f t="shared" si="22"/>
        <v>1.917</v>
      </c>
      <c r="O103" s="371">
        <f t="shared" si="22"/>
        <v>1.9750000000000001</v>
      </c>
      <c r="P103" s="371">
        <f t="shared" si="22"/>
        <v>2.206</v>
      </c>
      <c r="Q103" s="371">
        <f t="shared" si="22"/>
        <v>2.242</v>
      </c>
      <c r="R103" s="371">
        <f t="shared" si="22"/>
        <v>2.5</v>
      </c>
      <c r="S103" s="371">
        <f t="shared" si="22"/>
        <v>2.5</v>
      </c>
      <c r="T103" s="371">
        <f t="shared" si="22"/>
        <v>2.5</v>
      </c>
      <c r="U103" s="371">
        <f t="shared" si="22"/>
        <v>2.5</v>
      </c>
      <c r="V103" s="371">
        <f t="shared" si="22"/>
        <v>2.5</v>
      </c>
      <c r="W103" s="371">
        <f t="shared" si="22"/>
        <v>2.5</v>
      </c>
      <c r="X103" s="371">
        <f t="shared" si="22"/>
        <v>2.5</v>
      </c>
      <c r="Y103" s="381">
        <v>1000</v>
      </c>
    </row>
    <row r="104" spans="1:26" x14ac:dyDescent="0.2">
      <c r="A104" s="378" t="s">
        <v>34</v>
      </c>
      <c r="B104" s="372">
        <f>B94*3</f>
        <v>0</v>
      </c>
      <c r="C104" s="373">
        <f t="shared" ref="C104:X104" si="23">C94*3</f>
        <v>6.3330000000000002</v>
      </c>
      <c r="D104" s="373">
        <f t="shared" si="23"/>
        <v>29.055</v>
      </c>
      <c r="E104" s="373">
        <f t="shared" si="23"/>
        <v>75</v>
      </c>
      <c r="F104" s="373">
        <f t="shared" si="23"/>
        <v>47.213999999999999</v>
      </c>
      <c r="G104" s="373">
        <f t="shared" si="23"/>
        <v>37.415999999999997</v>
      </c>
      <c r="H104" s="373">
        <f t="shared" si="23"/>
        <v>32.01</v>
      </c>
      <c r="I104" s="373">
        <f t="shared" si="23"/>
        <v>29.138999999999996</v>
      </c>
      <c r="J104" s="373">
        <f t="shared" si="23"/>
        <v>27.534000000000002</v>
      </c>
      <c r="K104" s="373">
        <f t="shared" si="23"/>
        <v>26.688000000000002</v>
      </c>
      <c r="L104" s="373">
        <f t="shared" si="23"/>
        <v>26.775000000000002</v>
      </c>
      <c r="M104" s="373">
        <f t="shared" si="23"/>
        <v>26.097000000000001</v>
      </c>
      <c r="N104" s="373">
        <f t="shared" si="23"/>
        <v>24.155999999999999</v>
      </c>
      <c r="O104" s="373">
        <f t="shared" si="23"/>
        <v>20.861999999999998</v>
      </c>
      <c r="P104" s="373">
        <f t="shared" si="23"/>
        <v>3.21</v>
      </c>
      <c r="Q104" s="373">
        <f t="shared" si="23"/>
        <v>0</v>
      </c>
      <c r="R104" s="373">
        <f t="shared" si="23"/>
        <v>0</v>
      </c>
      <c r="S104" s="373">
        <f t="shared" si="23"/>
        <v>0</v>
      </c>
      <c r="T104" s="373">
        <f t="shared" si="23"/>
        <v>0</v>
      </c>
      <c r="U104" s="373">
        <f t="shared" si="23"/>
        <v>0</v>
      </c>
      <c r="V104" s="373">
        <f t="shared" si="23"/>
        <v>0</v>
      </c>
      <c r="W104" s="373">
        <f t="shared" si="23"/>
        <v>0</v>
      </c>
      <c r="X104" s="373">
        <f t="shared" si="23"/>
        <v>0</v>
      </c>
      <c r="Y104" s="382">
        <v>0</v>
      </c>
    </row>
    <row r="105" spans="1:26" ht="13.5" thickBot="1" x14ac:dyDescent="0.25">
      <c r="A105" s="379" t="s">
        <v>116</v>
      </c>
      <c r="B105" s="374">
        <f t="shared" ref="B105:X105" si="24">(C104+B104)*(C103-B103)/2</f>
        <v>0.12665999999999999</v>
      </c>
      <c r="C105" s="375">
        <f t="shared" si="24"/>
        <v>1.3447440000000002</v>
      </c>
      <c r="D105" s="375">
        <f t="shared" si="24"/>
        <v>5.0466674999999999</v>
      </c>
      <c r="E105" s="375">
        <f t="shared" si="24"/>
        <v>4.4608109999999987</v>
      </c>
      <c r="F105" s="375">
        <f t="shared" si="24"/>
        <v>1.8195450000000015</v>
      </c>
      <c r="G105" s="375">
        <f t="shared" si="24"/>
        <v>1.3885199999999991</v>
      </c>
      <c r="H105" s="375">
        <f t="shared" si="24"/>
        <v>1.5592994999999996</v>
      </c>
      <c r="I105" s="375">
        <f t="shared" si="24"/>
        <v>2.1252375000000003</v>
      </c>
      <c r="J105" s="375">
        <f t="shared" si="24"/>
        <v>2.7653219999999998</v>
      </c>
      <c r="K105" s="375">
        <f t="shared" si="24"/>
        <v>29.778891000000009</v>
      </c>
      <c r="L105" s="375">
        <f t="shared" si="24"/>
        <v>3.0401399999999996</v>
      </c>
      <c r="M105" s="375">
        <f t="shared" si="24"/>
        <v>2.2865114999999991</v>
      </c>
      <c r="N105" s="375">
        <f t="shared" si="24"/>
        <v>1.3055220000000012</v>
      </c>
      <c r="O105" s="375">
        <f t="shared" si="24"/>
        <v>2.7803159999999982</v>
      </c>
      <c r="P105" s="375">
        <f t="shared" si="24"/>
        <v>5.7780000000000054E-2</v>
      </c>
      <c r="Q105" s="375">
        <f t="shared" si="24"/>
        <v>0</v>
      </c>
      <c r="R105" s="375">
        <f t="shared" si="24"/>
        <v>0</v>
      </c>
      <c r="S105" s="375">
        <f t="shared" si="24"/>
        <v>0</v>
      </c>
      <c r="T105" s="375">
        <f t="shared" si="24"/>
        <v>0</v>
      </c>
      <c r="U105" s="375">
        <f t="shared" si="24"/>
        <v>0</v>
      </c>
      <c r="V105" s="375">
        <f t="shared" si="24"/>
        <v>0</v>
      </c>
      <c r="W105" s="375">
        <f t="shared" si="24"/>
        <v>0</v>
      </c>
      <c r="X105" s="375">
        <f t="shared" si="24"/>
        <v>0</v>
      </c>
      <c r="Y105" s="369"/>
    </row>
    <row r="107" spans="1:26" ht="13.5" thickBot="1" x14ac:dyDescent="0.25">
      <c r="A107" s="6" t="s">
        <v>317</v>
      </c>
    </row>
    <row r="108" spans="1:26" ht="13.5" thickBot="1" x14ac:dyDescent="0.25">
      <c r="A108" s="361" t="s">
        <v>319</v>
      </c>
      <c r="B108" s="359">
        <f>ROW(A108)</f>
        <v>108</v>
      </c>
      <c r="C108" s="363" t="s">
        <v>115</v>
      </c>
      <c r="D108" s="353">
        <f>SUM(B111:Y111)</f>
        <v>24.269519000000003</v>
      </c>
      <c r="E108" s="363" t="s">
        <v>114</v>
      </c>
      <c r="F108" s="354">
        <f>D108/g/J108</f>
        <v>154.62231778797147</v>
      </c>
      <c r="G108" s="363" t="s">
        <v>56</v>
      </c>
      <c r="H108" s="64">
        <v>5.1999999999999998E-2</v>
      </c>
      <c r="I108" s="363" t="s">
        <v>271</v>
      </c>
      <c r="J108" s="355">
        <f>H108-L108</f>
        <v>1.6E-2</v>
      </c>
      <c r="K108" s="363" t="s">
        <v>272</v>
      </c>
      <c r="L108" s="64">
        <v>3.5999999999999997E-2</v>
      </c>
      <c r="M108" s="363" t="s">
        <v>57</v>
      </c>
      <c r="N108" s="396">
        <v>35</v>
      </c>
      <c r="O108" s="363" t="s">
        <v>59</v>
      </c>
      <c r="P108" s="396">
        <v>35</v>
      </c>
      <c r="Q108" s="363" t="s">
        <v>60</v>
      </c>
      <c r="R108" s="65">
        <v>69</v>
      </c>
      <c r="S108" s="363" t="s">
        <v>61</v>
      </c>
      <c r="T108" s="65">
        <v>24</v>
      </c>
      <c r="U108" s="363" t="s">
        <v>54</v>
      </c>
      <c r="V108" s="66" t="s">
        <v>399</v>
      </c>
      <c r="W108" s="463" t="s">
        <v>394</v>
      </c>
      <c r="X108" s="465">
        <v>1</v>
      </c>
      <c r="Y108" s="463" t="s">
        <v>393</v>
      </c>
      <c r="Z108" s="358">
        <v>13</v>
      </c>
    </row>
    <row r="109" spans="1:26" x14ac:dyDescent="0.2">
      <c r="A109" s="362" t="s">
        <v>33</v>
      </c>
      <c r="B109" s="370">
        <v>0</v>
      </c>
      <c r="C109" s="371">
        <v>8.0000000000000002E-3</v>
      </c>
      <c r="D109" s="371">
        <v>2.5999999999999999E-2</v>
      </c>
      <c r="E109" s="371">
        <v>3.7999999999999999E-2</v>
      </c>
      <c r="F109" s="371">
        <v>6.7000000000000004E-2</v>
      </c>
      <c r="G109" s="371">
        <v>0.10100000000000001</v>
      </c>
      <c r="H109" s="371">
        <v>0.33</v>
      </c>
      <c r="I109" s="371">
        <v>0.52800000000000002</v>
      </c>
      <c r="J109" s="371">
        <v>0.71599999999999997</v>
      </c>
      <c r="K109" s="371">
        <v>0.84099999999999997</v>
      </c>
      <c r="L109" s="371">
        <v>0.91200000000000003</v>
      </c>
      <c r="M109" s="371">
        <v>0.98699999999999999</v>
      </c>
      <c r="N109" s="371">
        <v>1.016</v>
      </c>
      <c r="O109" s="371">
        <v>1.0649999999999999</v>
      </c>
      <c r="P109" s="371">
        <v>1.087</v>
      </c>
      <c r="Q109" s="371">
        <v>2</v>
      </c>
      <c r="R109" s="371">
        <v>2</v>
      </c>
      <c r="S109" s="371">
        <v>2</v>
      </c>
      <c r="T109" s="371">
        <v>2</v>
      </c>
      <c r="U109" s="371">
        <v>2</v>
      </c>
      <c r="V109" s="371">
        <v>2</v>
      </c>
      <c r="W109" s="371">
        <v>2</v>
      </c>
      <c r="X109" s="371">
        <v>2</v>
      </c>
      <c r="Y109" s="381">
        <v>1000</v>
      </c>
    </row>
    <row r="110" spans="1:26" x14ac:dyDescent="0.2">
      <c r="A110" s="378" t="s">
        <v>34</v>
      </c>
      <c r="B110" s="372">
        <v>0</v>
      </c>
      <c r="C110" s="373">
        <v>18.292000000000002</v>
      </c>
      <c r="D110" s="373">
        <v>30</v>
      </c>
      <c r="E110" s="373">
        <v>30.792000000000002</v>
      </c>
      <c r="F110" s="373">
        <v>18.707999999999998</v>
      </c>
      <c r="G110" s="373">
        <v>21.875</v>
      </c>
      <c r="H110" s="373">
        <v>26.082999999999998</v>
      </c>
      <c r="I110" s="373">
        <v>28.042000000000002</v>
      </c>
      <c r="J110" s="373">
        <v>27.875</v>
      </c>
      <c r="K110" s="373">
        <v>23.542000000000002</v>
      </c>
      <c r="L110" s="373">
        <v>17.832999999999998</v>
      </c>
      <c r="M110" s="373">
        <v>7</v>
      </c>
      <c r="N110" s="373">
        <v>3.3330000000000002</v>
      </c>
      <c r="O110" s="373">
        <v>1.083</v>
      </c>
      <c r="P110" s="373">
        <v>0</v>
      </c>
      <c r="Q110" s="373">
        <v>0</v>
      </c>
      <c r="R110" s="373">
        <v>0</v>
      </c>
      <c r="S110" s="373">
        <v>0</v>
      </c>
      <c r="T110" s="373">
        <f>S110</f>
        <v>0</v>
      </c>
      <c r="U110" s="373">
        <f>T110</f>
        <v>0</v>
      </c>
      <c r="V110" s="373">
        <f>U110</f>
        <v>0</v>
      </c>
      <c r="W110" s="373">
        <f>V110</f>
        <v>0</v>
      </c>
      <c r="X110" s="373">
        <f>W110</f>
        <v>0</v>
      </c>
      <c r="Y110" s="382">
        <v>0</v>
      </c>
    </row>
    <row r="111" spans="1:26" ht="13.5" thickBot="1" x14ac:dyDescent="0.25">
      <c r="A111" s="379" t="s">
        <v>116</v>
      </c>
      <c r="B111" s="374">
        <f t="shared" ref="B111:V111" si="25">(C110+B110)*(C109-B109)/2</f>
        <v>7.3168000000000011E-2</v>
      </c>
      <c r="C111" s="375">
        <f t="shared" si="25"/>
        <v>0.43462799999999996</v>
      </c>
      <c r="D111" s="375">
        <f t="shared" si="25"/>
        <v>0.36475200000000002</v>
      </c>
      <c r="E111" s="375">
        <f t="shared" si="25"/>
        <v>0.71775000000000011</v>
      </c>
      <c r="F111" s="375">
        <f t="shared" si="25"/>
        <v>0.68991100000000005</v>
      </c>
      <c r="G111" s="375">
        <f t="shared" si="25"/>
        <v>5.4911909999999997</v>
      </c>
      <c r="H111" s="375">
        <f t="shared" si="25"/>
        <v>5.3583750000000006</v>
      </c>
      <c r="I111" s="375">
        <f t="shared" si="25"/>
        <v>5.2561979999999986</v>
      </c>
      <c r="J111" s="375">
        <f>(K110+J110)*(K109-J109)/2</f>
        <v>3.2135625000000001</v>
      </c>
      <c r="K111" s="375">
        <f t="shared" si="25"/>
        <v>1.4688125000000014</v>
      </c>
      <c r="L111" s="375">
        <f t="shared" si="25"/>
        <v>0.93123749999999939</v>
      </c>
      <c r="M111" s="375">
        <f t="shared" si="25"/>
        <v>0.14982850000000014</v>
      </c>
      <c r="N111" s="375">
        <f t="shared" si="25"/>
        <v>0.10819199999999986</v>
      </c>
      <c r="O111" s="375">
        <f t="shared" si="25"/>
        <v>1.191300000000001E-2</v>
      </c>
      <c r="P111" s="375">
        <f t="shared" si="25"/>
        <v>0</v>
      </c>
      <c r="Q111" s="375">
        <f t="shared" si="25"/>
        <v>0</v>
      </c>
      <c r="R111" s="375">
        <f t="shared" si="25"/>
        <v>0</v>
      </c>
      <c r="S111" s="375">
        <f>(T110+S110)*(T109-S109)/2</f>
        <v>0</v>
      </c>
      <c r="T111" s="375">
        <f t="shared" si="25"/>
        <v>0</v>
      </c>
      <c r="U111" s="375">
        <f t="shared" si="25"/>
        <v>0</v>
      </c>
      <c r="V111" s="375">
        <f t="shared" si="25"/>
        <v>0</v>
      </c>
      <c r="W111" s="375">
        <f>(X110+W110)*(X109-W109)/2</f>
        <v>0</v>
      </c>
      <c r="X111" s="375">
        <f>(Y110+X110)*(Y109-X109)/2</f>
        <v>0</v>
      </c>
      <c r="Y111" s="369"/>
    </row>
    <row r="112" spans="1:26" ht="13.5" thickBot="1" x14ac:dyDescent="0.25"/>
    <row r="113" spans="1:26" ht="13.5" thickBot="1" x14ac:dyDescent="0.25">
      <c r="A113" s="361" t="s">
        <v>417</v>
      </c>
      <c r="B113" s="359">
        <f>ROW(A113)</f>
        <v>113</v>
      </c>
      <c r="C113" s="363" t="s">
        <v>115</v>
      </c>
      <c r="D113" s="353">
        <f>SUM(B116:Y116)</f>
        <v>24.488898000000002</v>
      </c>
      <c r="E113" s="363" t="s">
        <v>114</v>
      </c>
      <c r="F113" s="354">
        <f>D113/g/J113</f>
        <v>121.771701350041</v>
      </c>
      <c r="G113" s="363" t="s">
        <v>56</v>
      </c>
      <c r="H113" s="64">
        <v>5.6500000000000002E-2</v>
      </c>
      <c r="I113" s="363" t="s">
        <v>271</v>
      </c>
      <c r="J113" s="355">
        <f>H113-L113</f>
        <v>2.0500000000000004E-2</v>
      </c>
      <c r="K113" s="363" t="s">
        <v>272</v>
      </c>
      <c r="L113" s="64">
        <v>3.5999999999999997E-2</v>
      </c>
      <c r="M113" s="363" t="s">
        <v>57</v>
      </c>
      <c r="N113" s="396">
        <v>35</v>
      </c>
      <c r="O113" s="363" t="s">
        <v>59</v>
      </c>
      <c r="P113" s="396">
        <v>35</v>
      </c>
      <c r="Q113" s="363" t="s">
        <v>60</v>
      </c>
      <c r="R113" s="65">
        <v>69</v>
      </c>
      <c r="S113" s="363" t="s">
        <v>61</v>
      </c>
      <c r="T113" s="65">
        <v>24</v>
      </c>
      <c r="U113" s="363" t="s">
        <v>54</v>
      </c>
      <c r="V113" s="66" t="s">
        <v>400</v>
      </c>
      <c r="W113" s="463" t="s">
        <v>394</v>
      </c>
      <c r="X113" s="465">
        <v>0.33</v>
      </c>
      <c r="Y113" s="463" t="s">
        <v>393</v>
      </c>
      <c r="Z113" s="358">
        <v>17</v>
      </c>
    </row>
    <row r="114" spans="1:26" x14ac:dyDescent="0.2">
      <c r="A114" s="362" t="s">
        <v>33</v>
      </c>
      <c r="B114" s="370">
        <v>0</v>
      </c>
      <c r="C114" s="371">
        <v>8.9999999999999993E-3</v>
      </c>
      <c r="D114" s="371">
        <v>1.2E-2</v>
      </c>
      <c r="E114" s="371">
        <v>2.3E-2</v>
      </c>
      <c r="F114" s="371">
        <v>2.7E-2</v>
      </c>
      <c r="G114" s="371">
        <v>4.7E-2</v>
      </c>
      <c r="H114" s="371">
        <v>9.1999999999999998E-2</v>
      </c>
      <c r="I114" s="371">
        <v>0.11799999999999999</v>
      </c>
      <c r="J114" s="371">
        <v>0.14099999999999999</v>
      </c>
      <c r="K114" s="371">
        <v>0.192</v>
      </c>
      <c r="L114" s="371">
        <v>0.222</v>
      </c>
      <c r="M114" s="371">
        <v>0.25</v>
      </c>
      <c r="N114" s="371">
        <v>0.26</v>
      </c>
      <c r="O114" s="371">
        <v>0.28100000000000003</v>
      </c>
      <c r="P114" s="371">
        <v>0.28699999999999998</v>
      </c>
      <c r="Q114" s="371">
        <v>0.30599999999999999</v>
      </c>
      <c r="R114" s="371">
        <v>0.314</v>
      </c>
      <c r="S114" s="371">
        <v>0.32600000000000001</v>
      </c>
      <c r="T114" s="371">
        <v>0.32900000000000001</v>
      </c>
      <c r="U114" s="371">
        <v>0.5</v>
      </c>
      <c r="V114" s="371">
        <v>1</v>
      </c>
      <c r="W114" s="371">
        <v>2</v>
      </c>
      <c r="X114" s="371">
        <v>2</v>
      </c>
      <c r="Y114" s="381">
        <v>1000</v>
      </c>
    </row>
    <row r="115" spans="1:26" x14ac:dyDescent="0.2">
      <c r="A115" s="378" t="s">
        <v>34</v>
      </c>
      <c r="B115" s="372">
        <v>0</v>
      </c>
      <c r="C115" s="373">
        <v>84.212999999999994</v>
      </c>
      <c r="D115" s="373">
        <v>95.099000000000004</v>
      </c>
      <c r="E115" s="373">
        <v>77.08</v>
      </c>
      <c r="F115" s="373">
        <v>68.697000000000003</v>
      </c>
      <c r="G115" s="373">
        <v>73.451999999999998</v>
      </c>
      <c r="H115" s="373">
        <v>81.834999999999994</v>
      </c>
      <c r="I115" s="373">
        <v>83.837000000000003</v>
      </c>
      <c r="J115" s="373">
        <v>86.465000000000003</v>
      </c>
      <c r="K115" s="373">
        <v>86.965999999999994</v>
      </c>
      <c r="L115" s="373">
        <v>85.338999999999999</v>
      </c>
      <c r="M115" s="373">
        <v>80.082999999999998</v>
      </c>
      <c r="N115" s="373">
        <v>78.331999999999994</v>
      </c>
      <c r="O115" s="373">
        <v>82.960999999999999</v>
      </c>
      <c r="P115" s="373">
        <v>78.206000000000003</v>
      </c>
      <c r="Q115" s="373">
        <v>24.776</v>
      </c>
      <c r="R115" s="373">
        <v>14.14</v>
      </c>
      <c r="S115" s="373">
        <v>8.5090000000000003</v>
      </c>
      <c r="T115" s="373">
        <v>0</v>
      </c>
      <c r="U115" s="373">
        <f>T115</f>
        <v>0</v>
      </c>
      <c r="V115" s="373">
        <f>U115</f>
        <v>0</v>
      </c>
      <c r="W115" s="373">
        <f>V115</f>
        <v>0</v>
      </c>
      <c r="X115" s="373">
        <f>W115</f>
        <v>0</v>
      </c>
      <c r="Y115" s="382">
        <v>0</v>
      </c>
    </row>
    <row r="116" spans="1:26" ht="13.5" thickBot="1" x14ac:dyDescent="0.25">
      <c r="A116" s="379" t="s">
        <v>116</v>
      </c>
      <c r="B116" s="374">
        <f t="shared" ref="B116:V116" si="26">(C115+B115)*(C114-B114)/2</f>
        <v>0.37895849999999992</v>
      </c>
      <c r="C116" s="375">
        <f t="shared" si="26"/>
        <v>0.2689680000000001</v>
      </c>
      <c r="D116" s="375">
        <f t="shared" si="26"/>
        <v>0.94698450000000001</v>
      </c>
      <c r="E116" s="375">
        <f t="shared" si="26"/>
        <v>0.29155399999999998</v>
      </c>
      <c r="F116" s="375">
        <f t="shared" si="26"/>
        <v>1.4214900000000001</v>
      </c>
      <c r="G116" s="375">
        <f t="shared" si="26"/>
        <v>3.4939574999999992</v>
      </c>
      <c r="H116" s="375">
        <f t="shared" si="26"/>
        <v>2.1537359999999994</v>
      </c>
      <c r="I116" s="375">
        <f t="shared" si="26"/>
        <v>1.9584729999999997</v>
      </c>
      <c r="J116" s="375">
        <f>(K115+J115)*(K114-J114)/2</f>
        <v>4.4224905000000012</v>
      </c>
      <c r="K116" s="375">
        <f t="shared" si="26"/>
        <v>2.5845750000000001</v>
      </c>
      <c r="L116" s="375">
        <f t="shared" si="26"/>
        <v>2.3159079999999999</v>
      </c>
      <c r="M116" s="375">
        <f t="shared" si="26"/>
        <v>0.79207500000000064</v>
      </c>
      <c r="N116" s="375">
        <f t="shared" si="26"/>
        <v>1.6935765000000016</v>
      </c>
      <c r="O116" s="375">
        <f t="shared" si="26"/>
        <v>0.48350099999999596</v>
      </c>
      <c r="P116" s="375">
        <f t="shared" si="26"/>
        <v>0.97832900000000089</v>
      </c>
      <c r="Q116" s="375">
        <f t="shared" si="26"/>
        <v>0.15566400000000014</v>
      </c>
      <c r="R116" s="375">
        <f t="shared" si="26"/>
        <v>0.13589400000000013</v>
      </c>
      <c r="S116" s="375">
        <f>(T115+S115)*(T114-S114)/2</f>
        <v>1.2763500000000013E-2</v>
      </c>
      <c r="T116" s="375">
        <f t="shared" si="26"/>
        <v>0</v>
      </c>
      <c r="U116" s="375">
        <f t="shared" si="26"/>
        <v>0</v>
      </c>
      <c r="V116" s="375">
        <f t="shared" si="26"/>
        <v>0</v>
      </c>
      <c r="W116" s="375">
        <f>(X115+W115)*(X114-W114)/2</f>
        <v>0</v>
      </c>
      <c r="X116" s="375">
        <f>(Y115+X115)*(Y114-X114)/2</f>
        <v>0</v>
      </c>
      <c r="Y116" s="369"/>
    </row>
    <row r="117" spans="1:26" ht="13.5" thickBot="1" x14ac:dyDescent="0.25"/>
    <row r="118" spans="1:26" ht="13.5" thickBot="1" x14ac:dyDescent="0.25">
      <c r="A118" s="361" t="s">
        <v>320</v>
      </c>
      <c r="B118" s="359">
        <f>ROW(A118)</f>
        <v>118</v>
      </c>
      <c r="C118" s="363" t="s">
        <v>115</v>
      </c>
      <c r="D118" s="353">
        <f>SUM(B121:Y121)</f>
        <v>26.083982500000001</v>
      </c>
      <c r="E118" s="363" t="s">
        <v>114</v>
      </c>
      <c r="F118" s="354">
        <f>D118/g/J118</f>
        <v>166.18235537716615</v>
      </c>
      <c r="G118" s="363" t="s">
        <v>56</v>
      </c>
      <c r="H118" s="64">
        <v>5.1999999999999998E-2</v>
      </c>
      <c r="I118" s="363" t="s">
        <v>271</v>
      </c>
      <c r="J118" s="355">
        <f>H118-L118</f>
        <v>1.6E-2</v>
      </c>
      <c r="K118" s="363" t="s">
        <v>272</v>
      </c>
      <c r="L118" s="64">
        <v>3.5999999999999997E-2</v>
      </c>
      <c r="M118" s="363" t="s">
        <v>57</v>
      </c>
      <c r="N118" s="396">
        <v>35</v>
      </c>
      <c r="O118" s="363" t="s">
        <v>59</v>
      </c>
      <c r="P118" s="396">
        <v>35</v>
      </c>
      <c r="Q118" s="363" t="s">
        <v>60</v>
      </c>
      <c r="R118" s="65">
        <v>69</v>
      </c>
      <c r="S118" s="363" t="s">
        <v>61</v>
      </c>
      <c r="T118" s="65">
        <v>24</v>
      </c>
      <c r="U118" s="363" t="s">
        <v>54</v>
      </c>
      <c r="V118" s="66" t="s">
        <v>399</v>
      </c>
      <c r="W118" s="463" t="s">
        <v>394</v>
      </c>
      <c r="X118" s="465">
        <v>0.85</v>
      </c>
      <c r="Y118" s="463" t="s">
        <v>393</v>
      </c>
      <c r="Z118" s="358">
        <v>15</v>
      </c>
    </row>
    <row r="119" spans="1:26" x14ac:dyDescent="0.2">
      <c r="A119" s="362" t="s">
        <v>33</v>
      </c>
      <c r="B119" s="370">
        <v>0</v>
      </c>
      <c r="C119" s="371">
        <v>0.02</v>
      </c>
      <c r="D119" s="371">
        <v>2.7E-2</v>
      </c>
      <c r="E119" s="371">
        <v>4.9000000000000002E-2</v>
      </c>
      <c r="F119" s="371">
        <v>0.113</v>
      </c>
      <c r="G119" s="371">
        <v>0.193</v>
      </c>
      <c r="H119" s="371">
        <v>0.28199999999999997</v>
      </c>
      <c r="I119" s="371">
        <v>0.5</v>
      </c>
      <c r="J119" s="371">
        <v>0.72699999999999998</v>
      </c>
      <c r="K119" s="371">
        <v>0.77100000000000002</v>
      </c>
      <c r="L119" s="371">
        <v>0.80700000000000005</v>
      </c>
      <c r="M119" s="371">
        <v>0.84</v>
      </c>
      <c r="N119" s="371">
        <v>0.87</v>
      </c>
      <c r="O119" s="371">
        <v>1</v>
      </c>
      <c r="P119" s="371">
        <v>1</v>
      </c>
      <c r="Q119" s="371">
        <v>1</v>
      </c>
      <c r="R119" s="371">
        <v>1</v>
      </c>
      <c r="S119" s="371">
        <v>1</v>
      </c>
      <c r="T119" s="371">
        <v>1</v>
      </c>
      <c r="U119" s="371">
        <v>1</v>
      </c>
      <c r="V119" s="371">
        <v>1</v>
      </c>
      <c r="W119" s="371">
        <v>1</v>
      </c>
      <c r="X119" s="371">
        <v>2</v>
      </c>
      <c r="Y119" s="381">
        <v>1000</v>
      </c>
    </row>
    <row r="120" spans="1:26" x14ac:dyDescent="0.2">
      <c r="A120" s="378" t="s">
        <v>34</v>
      </c>
      <c r="B120" s="372">
        <v>0</v>
      </c>
      <c r="C120" s="373">
        <v>43.823999999999998</v>
      </c>
      <c r="D120" s="373">
        <v>39.963999999999999</v>
      </c>
      <c r="E120" s="373">
        <v>26.780999999999999</v>
      </c>
      <c r="F120" s="373">
        <v>32.600999999999999</v>
      </c>
      <c r="G120" s="373">
        <v>34.738999999999997</v>
      </c>
      <c r="H120" s="373">
        <v>35.808</v>
      </c>
      <c r="I120" s="373">
        <v>34.442</v>
      </c>
      <c r="J120" s="373">
        <v>29.276</v>
      </c>
      <c r="K120" s="373">
        <v>22.742999999999999</v>
      </c>
      <c r="L120" s="373">
        <v>9.5609999999999999</v>
      </c>
      <c r="M120" s="373">
        <v>3.5630000000000002</v>
      </c>
      <c r="N120" s="373">
        <v>0</v>
      </c>
      <c r="O120" s="373">
        <v>0</v>
      </c>
      <c r="P120" s="373">
        <v>0</v>
      </c>
      <c r="Q120" s="373">
        <v>0</v>
      </c>
      <c r="R120" s="373">
        <v>0</v>
      </c>
      <c r="S120" s="373">
        <v>0</v>
      </c>
      <c r="T120" s="373">
        <f>S120</f>
        <v>0</v>
      </c>
      <c r="U120" s="373">
        <f>T120</f>
        <v>0</v>
      </c>
      <c r="V120" s="373">
        <f>U120</f>
        <v>0</v>
      </c>
      <c r="W120" s="373">
        <f>V120</f>
        <v>0</v>
      </c>
      <c r="X120" s="373">
        <f>W120</f>
        <v>0</v>
      </c>
      <c r="Y120" s="382">
        <v>0</v>
      </c>
    </row>
    <row r="121" spans="1:26" ht="13.5" thickBot="1" x14ac:dyDescent="0.25">
      <c r="A121" s="379" t="s">
        <v>116</v>
      </c>
      <c r="B121" s="374">
        <f t="shared" ref="B121:V121" si="27">(C120+B120)*(C119-B119)/2</f>
        <v>0.43823999999999996</v>
      </c>
      <c r="C121" s="375">
        <f t="shared" si="27"/>
        <v>0.29325799999999996</v>
      </c>
      <c r="D121" s="375">
        <f t="shared" si="27"/>
        <v>0.73419500000000015</v>
      </c>
      <c r="E121" s="375">
        <f t="shared" si="27"/>
        <v>1.9002239999999999</v>
      </c>
      <c r="F121" s="375">
        <f t="shared" si="27"/>
        <v>2.6936</v>
      </c>
      <c r="G121" s="375">
        <f t="shared" si="27"/>
        <v>3.1393414999999987</v>
      </c>
      <c r="H121" s="375">
        <f t="shared" si="27"/>
        <v>7.6572500000000012</v>
      </c>
      <c r="I121" s="375">
        <f t="shared" si="27"/>
        <v>7.2319930000000001</v>
      </c>
      <c r="J121" s="375">
        <f>(K120+J120)*(K119-J119)/2</f>
        <v>1.144418000000001</v>
      </c>
      <c r="K121" s="375">
        <f t="shared" si="27"/>
        <v>0.58147200000000054</v>
      </c>
      <c r="L121" s="375">
        <f t="shared" si="27"/>
        <v>0.21654599999999946</v>
      </c>
      <c r="M121" s="375">
        <f t="shared" si="27"/>
        <v>5.3445000000000048E-2</v>
      </c>
      <c r="N121" s="375">
        <f t="shared" si="27"/>
        <v>0</v>
      </c>
      <c r="O121" s="375">
        <f t="shared" si="27"/>
        <v>0</v>
      </c>
      <c r="P121" s="375">
        <f t="shared" si="27"/>
        <v>0</v>
      </c>
      <c r="Q121" s="375">
        <f t="shared" si="27"/>
        <v>0</v>
      </c>
      <c r="R121" s="375">
        <f t="shared" si="27"/>
        <v>0</v>
      </c>
      <c r="S121" s="375">
        <f>(T120+S120)*(T119-S119)/2</f>
        <v>0</v>
      </c>
      <c r="T121" s="375">
        <f t="shared" si="27"/>
        <v>0</v>
      </c>
      <c r="U121" s="375">
        <f t="shared" si="27"/>
        <v>0</v>
      </c>
      <c r="V121" s="375">
        <f t="shared" si="27"/>
        <v>0</v>
      </c>
      <c r="W121" s="375">
        <f>(X120+W120)*(X119-W119)/2</f>
        <v>0</v>
      </c>
      <c r="X121" s="375">
        <f>(Y120+X120)*(Y119-X119)/2</f>
        <v>0</v>
      </c>
      <c r="Y121" s="369"/>
    </row>
    <row r="122" spans="1:26" ht="13.5" thickBot="1" x14ac:dyDescent="0.25">
      <c r="A122" s="6" t="s">
        <v>389</v>
      </c>
    </row>
    <row r="123" spans="1:26" ht="13.5" thickBot="1" x14ac:dyDescent="0.25">
      <c r="A123" s="361" t="s">
        <v>390</v>
      </c>
      <c r="B123" s="359">
        <f>ROW(A123)</f>
        <v>123</v>
      </c>
      <c r="C123" s="363" t="s">
        <v>115</v>
      </c>
      <c r="D123" s="353">
        <f>SUM(B126:Y126)</f>
        <v>49.788765499999997</v>
      </c>
      <c r="E123" s="363" t="s">
        <v>114</v>
      </c>
      <c r="F123" s="354">
        <v>231</v>
      </c>
      <c r="G123" s="363" t="s">
        <v>56</v>
      </c>
      <c r="H123" s="64">
        <v>7.2999999999999995E-2</v>
      </c>
      <c r="I123" s="363" t="s">
        <v>271</v>
      </c>
      <c r="J123" s="355">
        <f>H123-L123</f>
        <v>2.7999999999999997E-2</v>
      </c>
      <c r="K123" s="363" t="s">
        <v>272</v>
      </c>
      <c r="L123" s="64">
        <v>4.4999999999999998E-2</v>
      </c>
      <c r="M123" s="363" t="s">
        <v>57</v>
      </c>
      <c r="N123" s="396">
        <v>50</v>
      </c>
      <c r="O123" s="363" t="s">
        <v>59</v>
      </c>
      <c r="P123" s="396">
        <v>50</v>
      </c>
      <c r="Q123" s="363" t="s">
        <v>60</v>
      </c>
      <c r="R123" s="65">
        <v>101</v>
      </c>
      <c r="S123" s="363" t="s">
        <v>61</v>
      </c>
      <c r="T123" s="65">
        <v>24</v>
      </c>
      <c r="U123" s="363" t="s">
        <v>54</v>
      </c>
      <c r="V123" s="66" t="s">
        <v>119</v>
      </c>
      <c r="W123" s="463" t="s">
        <v>394</v>
      </c>
      <c r="X123" s="465">
        <v>1</v>
      </c>
      <c r="Y123" s="463" t="s">
        <v>393</v>
      </c>
      <c r="Z123" s="358">
        <v>13</v>
      </c>
    </row>
    <row r="124" spans="1:26" x14ac:dyDescent="0.2">
      <c r="A124" s="362" t="s">
        <v>33</v>
      </c>
      <c r="B124" s="470">
        <v>0</v>
      </c>
      <c r="C124" s="470">
        <v>1E-3</v>
      </c>
      <c r="D124" s="470">
        <v>2.7E-2</v>
      </c>
      <c r="E124" s="470">
        <v>5.0999999999999997E-2</v>
      </c>
      <c r="F124" s="470">
        <v>0.06</v>
      </c>
      <c r="G124" s="470">
        <v>9.1999999999999998E-2</v>
      </c>
      <c r="H124" s="470">
        <v>0.11899999999999999</v>
      </c>
      <c r="I124" s="470">
        <v>0.17</v>
      </c>
      <c r="J124" s="470">
        <v>0.3</v>
      </c>
      <c r="K124" s="470">
        <v>0.46200000000000002</v>
      </c>
      <c r="L124" s="470">
        <v>0.56899999999999995</v>
      </c>
      <c r="M124" s="470">
        <v>0.67500000000000004</v>
      </c>
      <c r="N124" s="470">
        <v>0.77800000000000002</v>
      </c>
      <c r="O124" s="470">
        <v>0.84599999999999997</v>
      </c>
      <c r="P124" s="470">
        <v>0.91700000000000004</v>
      </c>
      <c r="Q124" s="470">
        <v>1.0089999999999999</v>
      </c>
      <c r="R124" s="470">
        <v>1.032</v>
      </c>
      <c r="S124" s="470">
        <v>1.0449999999999999</v>
      </c>
      <c r="T124" s="371">
        <v>2</v>
      </c>
      <c r="U124" s="371">
        <v>2</v>
      </c>
      <c r="V124" s="371">
        <v>2</v>
      </c>
      <c r="W124" s="371">
        <v>2</v>
      </c>
      <c r="X124" s="371">
        <v>2</v>
      </c>
      <c r="Y124" s="381">
        <v>1000</v>
      </c>
    </row>
    <row r="125" spans="1:26" x14ac:dyDescent="0.2">
      <c r="A125" s="378" t="s">
        <v>34</v>
      </c>
      <c r="B125" s="470">
        <v>0</v>
      </c>
      <c r="C125" s="470">
        <v>5.1449999999999996</v>
      </c>
      <c r="D125" s="470">
        <v>67.975999999999999</v>
      </c>
      <c r="E125" s="470">
        <v>53.807000000000002</v>
      </c>
      <c r="F125" s="470">
        <v>52.88</v>
      </c>
      <c r="G125" s="470">
        <v>55.915999999999997</v>
      </c>
      <c r="H125" s="470">
        <v>57.94</v>
      </c>
      <c r="I125" s="470">
        <v>59.710999999999999</v>
      </c>
      <c r="J125" s="470">
        <v>61.145000000000003</v>
      </c>
      <c r="K125" s="470">
        <v>58.951999999999998</v>
      </c>
      <c r="L125" s="470">
        <v>55.578000000000003</v>
      </c>
      <c r="M125" s="470">
        <v>52.204999999999998</v>
      </c>
      <c r="N125" s="470">
        <v>46.386000000000003</v>
      </c>
      <c r="O125" s="470">
        <v>38.119999999999997</v>
      </c>
      <c r="P125" s="470">
        <v>20.324999999999999</v>
      </c>
      <c r="Q125" s="470">
        <v>3.5419999999999998</v>
      </c>
      <c r="R125" s="470">
        <v>1.6020000000000001</v>
      </c>
      <c r="S125" s="470">
        <v>0</v>
      </c>
      <c r="T125" s="373">
        <f>S125</f>
        <v>0</v>
      </c>
      <c r="U125" s="373">
        <f>T125</f>
        <v>0</v>
      </c>
      <c r="V125" s="373">
        <f>U125</f>
        <v>0</v>
      </c>
      <c r="W125" s="373">
        <f>V125</f>
        <v>0</v>
      </c>
      <c r="X125" s="373">
        <f>W125</f>
        <v>0</v>
      </c>
      <c r="Y125" s="382">
        <v>0</v>
      </c>
    </row>
    <row r="126" spans="1:26" ht="13.5" thickBot="1" x14ac:dyDescent="0.25">
      <c r="A126" s="379" t="s">
        <v>116</v>
      </c>
      <c r="B126" s="374">
        <f t="shared" ref="B126:X126" si="28">(C125+B125)*(C124-B124)/2</f>
        <v>2.5724999999999997E-3</v>
      </c>
      <c r="C126" s="375">
        <f t="shared" si="28"/>
        <v>0.95057299999999989</v>
      </c>
      <c r="D126" s="375">
        <f t="shared" si="28"/>
        <v>1.4613959999999999</v>
      </c>
      <c r="E126" s="375">
        <f t="shared" si="28"/>
        <v>0.48009150000000012</v>
      </c>
      <c r="F126" s="375">
        <f t="shared" si="28"/>
        <v>1.7407359999999998</v>
      </c>
      <c r="G126" s="375">
        <f t="shared" si="28"/>
        <v>1.5370559999999998</v>
      </c>
      <c r="H126" s="375">
        <f t="shared" si="28"/>
        <v>3.0001005000000007</v>
      </c>
      <c r="I126" s="375">
        <f t="shared" si="28"/>
        <v>7.8556399999999984</v>
      </c>
      <c r="J126" s="375">
        <f t="shared" si="28"/>
        <v>9.727857000000002</v>
      </c>
      <c r="K126" s="375">
        <f t="shared" si="28"/>
        <v>6.1273549999999961</v>
      </c>
      <c r="L126" s="375">
        <f t="shared" si="28"/>
        <v>5.7124990000000055</v>
      </c>
      <c r="M126" s="375">
        <f t="shared" si="28"/>
        <v>5.0774364999999992</v>
      </c>
      <c r="N126" s="375">
        <f t="shared" si="28"/>
        <v>2.8732039999999976</v>
      </c>
      <c r="O126" s="375">
        <f t="shared" si="28"/>
        <v>2.0747975000000016</v>
      </c>
      <c r="P126" s="375">
        <f t="shared" si="28"/>
        <v>1.0978819999999982</v>
      </c>
      <c r="Q126" s="375">
        <f t="shared" si="28"/>
        <v>5.915600000000034E-2</v>
      </c>
      <c r="R126" s="375">
        <f t="shared" si="28"/>
        <v>1.0412999999999921E-2</v>
      </c>
      <c r="S126" s="375">
        <f t="shared" si="28"/>
        <v>0</v>
      </c>
      <c r="T126" s="375">
        <f t="shared" si="28"/>
        <v>0</v>
      </c>
      <c r="U126" s="375">
        <f t="shared" si="28"/>
        <v>0</v>
      </c>
      <c r="V126" s="375">
        <f t="shared" si="28"/>
        <v>0</v>
      </c>
      <c r="W126" s="375">
        <f t="shared" si="28"/>
        <v>0</v>
      </c>
      <c r="X126" s="375">
        <f t="shared" si="28"/>
        <v>0</v>
      </c>
      <c r="Y126" s="369"/>
    </row>
    <row r="127" spans="1:26" ht="13.5" thickBot="1" x14ac:dyDescent="0.25"/>
    <row r="128" spans="1:26" ht="13.5" thickBot="1" x14ac:dyDescent="0.25">
      <c r="A128" s="361" t="s">
        <v>391</v>
      </c>
      <c r="B128" s="359">
        <f>ROW(A128)</f>
        <v>128</v>
      </c>
      <c r="C128" s="363" t="s">
        <v>115</v>
      </c>
      <c r="D128" s="353">
        <f>SUM(B131:Y131)</f>
        <v>52.815674000000008</v>
      </c>
      <c r="E128" s="363" t="s">
        <v>114</v>
      </c>
      <c r="F128" s="354">
        <v>239</v>
      </c>
      <c r="G128" s="363" t="s">
        <v>56</v>
      </c>
      <c r="H128" s="64">
        <v>7.2999999999999995E-2</v>
      </c>
      <c r="I128" s="363" t="s">
        <v>271</v>
      </c>
      <c r="J128" s="355">
        <f>H128-L128</f>
        <v>2.8999999999999998E-2</v>
      </c>
      <c r="K128" s="363" t="s">
        <v>272</v>
      </c>
      <c r="L128" s="64">
        <v>4.3999999999999997E-2</v>
      </c>
      <c r="M128" s="363" t="s">
        <v>57</v>
      </c>
      <c r="N128" s="396">
        <v>50</v>
      </c>
      <c r="O128" s="363" t="s">
        <v>59</v>
      </c>
      <c r="P128" s="396">
        <v>50</v>
      </c>
      <c r="Q128" s="363" t="s">
        <v>60</v>
      </c>
      <c r="R128" s="65">
        <v>101</v>
      </c>
      <c r="S128" s="363" t="s">
        <v>61</v>
      </c>
      <c r="T128" s="65">
        <v>24</v>
      </c>
      <c r="U128" s="363" t="s">
        <v>54</v>
      </c>
      <c r="V128" s="66" t="s">
        <v>119</v>
      </c>
      <c r="W128" s="463" t="s">
        <v>394</v>
      </c>
      <c r="X128" s="465">
        <v>0.77</v>
      </c>
      <c r="Y128" s="463" t="s">
        <v>393</v>
      </c>
      <c r="Z128" s="358">
        <v>14</v>
      </c>
    </row>
    <row r="129" spans="1:26" x14ac:dyDescent="0.2">
      <c r="A129" s="362" t="s">
        <v>33</v>
      </c>
      <c r="B129" s="470">
        <v>0</v>
      </c>
      <c r="C129" s="470">
        <v>1E-3</v>
      </c>
      <c r="D129" s="470">
        <v>1.2999999999999999E-2</v>
      </c>
      <c r="E129" s="470">
        <v>2.3E-2</v>
      </c>
      <c r="F129" s="470">
        <v>5.1999999999999998E-2</v>
      </c>
      <c r="G129" s="470">
        <v>0.1</v>
      </c>
      <c r="H129" s="470">
        <v>0.379</v>
      </c>
      <c r="I129" s="470">
        <v>0.64100000000000001</v>
      </c>
      <c r="J129" s="470">
        <v>0.66500000000000004</v>
      </c>
      <c r="K129" s="470">
        <v>0.70599999999999996</v>
      </c>
      <c r="L129" s="470">
        <v>0.74399999999999999</v>
      </c>
      <c r="M129" s="470">
        <v>0.78700000000000003</v>
      </c>
      <c r="N129" s="470">
        <v>0.81599999999999995</v>
      </c>
      <c r="O129" s="371">
        <v>1</v>
      </c>
      <c r="P129" s="371">
        <v>1</v>
      </c>
      <c r="Q129" s="371">
        <v>1</v>
      </c>
      <c r="R129" s="371">
        <v>1</v>
      </c>
      <c r="S129" s="371">
        <v>1</v>
      </c>
      <c r="T129" s="371">
        <v>1</v>
      </c>
      <c r="U129" s="371">
        <v>1</v>
      </c>
      <c r="V129" s="371">
        <v>1</v>
      </c>
      <c r="W129" s="371">
        <v>2</v>
      </c>
      <c r="X129" s="371">
        <v>2</v>
      </c>
      <c r="Y129" s="381">
        <v>1000</v>
      </c>
    </row>
    <row r="130" spans="1:26" x14ac:dyDescent="0.2">
      <c r="A130" s="378" t="s">
        <v>34</v>
      </c>
      <c r="B130" s="470">
        <v>0</v>
      </c>
      <c r="C130" s="470">
        <v>8.3030000000000008</v>
      </c>
      <c r="D130" s="470">
        <v>85.68</v>
      </c>
      <c r="E130" s="470">
        <v>96.149000000000001</v>
      </c>
      <c r="F130" s="470">
        <v>78.820999999999998</v>
      </c>
      <c r="G130" s="470">
        <v>83.634</v>
      </c>
      <c r="H130" s="470">
        <v>77.858000000000004</v>
      </c>
      <c r="I130" s="470">
        <v>62.575000000000003</v>
      </c>
      <c r="J130" s="470">
        <v>55.716000000000001</v>
      </c>
      <c r="K130" s="470">
        <v>23.946999999999999</v>
      </c>
      <c r="L130" s="470">
        <v>9.1460000000000008</v>
      </c>
      <c r="M130" s="470">
        <v>2.7679999999999998</v>
      </c>
      <c r="N130" s="470">
        <v>0</v>
      </c>
      <c r="O130" s="373">
        <v>0</v>
      </c>
      <c r="P130" s="373">
        <v>0</v>
      </c>
      <c r="Q130" s="373">
        <v>0</v>
      </c>
      <c r="R130" s="373">
        <v>0</v>
      </c>
      <c r="S130" s="373">
        <v>0</v>
      </c>
      <c r="T130" s="373">
        <v>0</v>
      </c>
      <c r="U130" s="373">
        <v>0</v>
      </c>
      <c r="V130" s="373">
        <f>U130</f>
        <v>0</v>
      </c>
      <c r="W130" s="373">
        <f>V130</f>
        <v>0</v>
      </c>
      <c r="X130" s="373">
        <f>W130</f>
        <v>0</v>
      </c>
      <c r="Y130" s="382">
        <v>0</v>
      </c>
    </row>
    <row r="131" spans="1:26" ht="13.5" thickBot="1" x14ac:dyDescent="0.25">
      <c r="A131" s="379" t="s">
        <v>116</v>
      </c>
      <c r="B131" s="374">
        <f t="shared" ref="B131:X131" si="29">(C130+B130)*(C129-B129)/2</f>
        <v>4.1515000000000007E-3</v>
      </c>
      <c r="C131" s="375">
        <f t="shared" si="29"/>
        <v>0.56389800000000001</v>
      </c>
      <c r="D131" s="375">
        <f t="shared" si="29"/>
        <v>0.90914500000000009</v>
      </c>
      <c r="E131" s="375">
        <f t="shared" si="29"/>
        <v>2.5370649999999997</v>
      </c>
      <c r="F131" s="375">
        <f t="shared" si="29"/>
        <v>3.8989200000000004</v>
      </c>
      <c r="G131" s="375">
        <f t="shared" si="29"/>
        <v>22.528134000000005</v>
      </c>
      <c r="H131" s="375">
        <f t="shared" si="29"/>
        <v>18.396723000000001</v>
      </c>
      <c r="I131" s="375">
        <f t="shared" si="29"/>
        <v>1.4194920000000013</v>
      </c>
      <c r="J131" s="375">
        <f t="shared" si="29"/>
        <v>1.633091499999997</v>
      </c>
      <c r="K131" s="375">
        <f t="shared" si="29"/>
        <v>0.62876700000000063</v>
      </c>
      <c r="L131" s="375">
        <f t="shared" si="29"/>
        <v>0.25615100000000024</v>
      </c>
      <c r="M131" s="375">
        <f t="shared" si="29"/>
        <v>4.013599999999988E-2</v>
      </c>
      <c r="N131" s="375">
        <f t="shared" si="29"/>
        <v>0</v>
      </c>
      <c r="O131" s="375">
        <f t="shared" si="29"/>
        <v>0</v>
      </c>
      <c r="P131" s="375">
        <f t="shared" si="29"/>
        <v>0</v>
      </c>
      <c r="Q131" s="375">
        <f t="shared" si="29"/>
        <v>0</v>
      </c>
      <c r="R131" s="375">
        <f t="shared" si="29"/>
        <v>0</v>
      </c>
      <c r="S131" s="375">
        <f t="shared" si="29"/>
        <v>0</v>
      </c>
      <c r="T131" s="375">
        <f t="shared" si="29"/>
        <v>0</v>
      </c>
      <c r="U131" s="375">
        <f t="shared" si="29"/>
        <v>0</v>
      </c>
      <c r="V131" s="375">
        <f t="shared" si="29"/>
        <v>0</v>
      </c>
      <c r="W131" s="375">
        <f t="shared" si="29"/>
        <v>0</v>
      </c>
      <c r="X131" s="375">
        <f t="shared" si="29"/>
        <v>0</v>
      </c>
      <c r="Y131" s="369"/>
    </row>
    <row r="132" spans="1:26" ht="13.5" thickBot="1" x14ac:dyDescent="0.25">
      <c r="A132" s="6" t="s">
        <v>314</v>
      </c>
    </row>
    <row r="133" spans="1:26" ht="13.5" thickBot="1" x14ac:dyDescent="0.25">
      <c r="A133" s="361" t="s">
        <v>381</v>
      </c>
      <c r="B133" s="359">
        <f>ROW(A133)</f>
        <v>133</v>
      </c>
      <c r="C133" s="363" t="s">
        <v>115</v>
      </c>
      <c r="D133" s="353">
        <f>SUM(B136:Y136)</f>
        <v>41.835000000000015</v>
      </c>
      <c r="E133" s="363" t="s">
        <v>114</v>
      </c>
      <c r="F133" s="354">
        <f>D133/g/J133</f>
        <v>121.84359982525126</v>
      </c>
      <c r="G133" s="363" t="s">
        <v>56</v>
      </c>
      <c r="H133" s="64">
        <v>0.104</v>
      </c>
      <c r="I133" s="363" t="s">
        <v>271</v>
      </c>
      <c r="J133" s="355">
        <f>H133-L133</f>
        <v>3.4999999999999989E-2</v>
      </c>
      <c r="K133" s="363" t="s">
        <v>272</v>
      </c>
      <c r="L133" s="64">
        <v>6.9000000000000006E-2</v>
      </c>
      <c r="M133" s="363" t="s">
        <v>57</v>
      </c>
      <c r="N133" s="65">
        <v>49</v>
      </c>
      <c r="O133" s="363" t="s">
        <v>59</v>
      </c>
      <c r="P133" s="65">
        <v>49</v>
      </c>
      <c r="Q133" s="363" t="s">
        <v>60</v>
      </c>
      <c r="R133" s="65">
        <v>98</v>
      </c>
      <c r="S133" s="363" t="s">
        <v>61</v>
      </c>
      <c r="T133" s="65">
        <v>29</v>
      </c>
      <c r="U133" s="363" t="s">
        <v>54</v>
      </c>
      <c r="V133" s="66" t="s">
        <v>399</v>
      </c>
      <c r="W133" s="463" t="s">
        <v>394</v>
      </c>
      <c r="X133" s="465">
        <v>1.07</v>
      </c>
      <c r="Y133" s="463" t="s">
        <v>393</v>
      </c>
      <c r="Z133" s="358">
        <v>11</v>
      </c>
    </row>
    <row r="134" spans="1:26" x14ac:dyDescent="0.2">
      <c r="A134" s="362" t="s">
        <v>33</v>
      </c>
      <c r="B134" s="370">
        <v>0</v>
      </c>
      <c r="C134" s="371">
        <v>0.01</v>
      </c>
      <c r="D134" s="371">
        <v>0.02</v>
      </c>
      <c r="E134" s="371">
        <v>0.03</v>
      </c>
      <c r="F134" s="371">
        <v>0.04</v>
      </c>
      <c r="G134" s="371">
        <v>0.06</v>
      </c>
      <c r="H134" s="371">
        <v>7.0000000000000007E-2</v>
      </c>
      <c r="I134" s="371">
        <v>0.08</v>
      </c>
      <c r="J134" s="371">
        <v>0.1</v>
      </c>
      <c r="K134" s="371">
        <v>0.2</v>
      </c>
      <c r="L134" s="371">
        <v>0.3</v>
      </c>
      <c r="M134" s="371">
        <v>0.4</v>
      </c>
      <c r="N134" s="371">
        <v>0.5</v>
      </c>
      <c r="O134" s="371">
        <v>0.6</v>
      </c>
      <c r="P134" s="371">
        <v>0.7</v>
      </c>
      <c r="Q134" s="371">
        <v>0.8</v>
      </c>
      <c r="R134" s="371">
        <v>0.85</v>
      </c>
      <c r="S134" s="371">
        <v>0.92</v>
      </c>
      <c r="T134" s="371">
        <v>0.95</v>
      </c>
      <c r="U134" s="371">
        <v>0.99</v>
      </c>
      <c r="V134" s="371">
        <v>1.05</v>
      </c>
      <c r="W134" s="371">
        <v>1.05</v>
      </c>
      <c r="X134" s="371">
        <v>2</v>
      </c>
      <c r="Y134" s="381">
        <v>1000</v>
      </c>
    </row>
    <row r="135" spans="1:26" x14ac:dyDescent="0.2">
      <c r="A135" s="378" t="s">
        <v>34</v>
      </c>
      <c r="B135" s="372">
        <v>0</v>
      </c>
      <c r="C135" s="373">
        <v>12</v>
      </c>
      <c r="D135" s="373">
        <v>46</v>
      </c>
      <c r="E135" s="373">
        <v>75</v>
      </c>
      <c r="F135" s="373">
        <v>79</v>
      </c>
      <c r="G135" s="373">
        <v>77</v>
      </c>
      <c r="H135" s="373">
        <v>62</v>
      </c>
      <c r="I135" s="373">
        <v>32</v>
      </c>
      <c r="J135" s="373">
        <v>35</v>
      </c>
      <c r="K135" s="373">
        <v>38</v>
      </c>
      <c r="L135" s="373">
        <v>39</v>
      </c>
      <c r="M135" s="373">
        <v>41</v>
      </c>
      <c r="N135" s="373">
        <v>43</v>
      </c>
      <c r="O135" s="373">
        <v>43</v>
      </c>
      <c r="P135" s="373">
        <v>43</v>
      </c>
      <c r="Q135" s="373">
        <v>43</v>
      </c>
      <c r="R135" s="373">
        <v>47</v>
      </c>
      <c r="S135" s="373">
        <v>54</v>
      </c>
      <c r="T135" s="373">
        <v>32</v>
      </c>
      <c r="U135" s="373">
        <v>8</v>
      </c>
      <c r="V135" s="373">
        <v>0</v>
      </c>
      <c r="W135" s="373">
        <v>0</v>
      </c>
      <c r="X135" s="373">
        <v>0</v>
      </c>
      <c r="Y135" s="382">
        <v>0</v>
      </c>
    </row>
    <row r="136" spans="1:26" ht="13.5" thickBot="1" x14ac:dyDescent="0.25">
      <c r="A136" s="379" t="s">
        <v>116</v>
      </c>
      <c r="B136" s="374">
        <f t="shared" ref="B136:X136" si="30">(C135+B135)*(C134-B134)/2</f>
        <v>0.06</v>
      </c>
      <c r="C136" s="375">
        <f t="shared" si="30"/>
        <v>0.28999999999999998</v>
      </c>
      <c r="D136" s="375">
        <f t="shared" si="30"/>
        <v>0.60499999999999987</v>
      </c>
      <c r="E136" s="375">
        <f t="shared" si="30"/>
        <v>0.77000000000000013</v>
      </c>
      <c r="F136" s="375">
        <f t="shared" si="30"/>
        <v>1.5599999999999998</v>
      </c>
      <c r="G136" s="375">
        <f t="shared" si="30"/>
        <v>0.69500000000000062</v>
      </c>
      <c r="H136" s="375">
        <f t="shared" si="30"/>
        <v>0.46999999999999975</v>
      </c>
      <c r="I136" s="375">
        <f t="shared" si="30"/>
        <v>0.67000000000000015</v>
      </c>
      <c r="J136" s="375">
        <f t="shared" si="30"/>
        <v>3.6500000000000004</v>
      </c>
      <c r="K136" s="375">
        <f t="shared" si="30"/>
        <v>3.8499999999999992</v>
      </c>
      <c r="L136" s="375">
        <f t="shared" si="30"/>
        <v>4.0000000000000018</v>
      </c>
      <c r="M136" s="375">
        <f t="shared" si="30"/>
        <v>4.1999999999999993</v>
      </c>
      <c r="N136" s="375">
        <f t="shared" si="30"/>
        <v>4.2999999999999989</v>
      </c>
      <c r="O136" s="375">
        <f t="shared" si="30"/>
        <v>4.2999999999999989</v>
      </c>
      <c r="P136" s="375">
        <f t="shared" si="30"/>
        <v>4.3000000000000043</v>
      </c>
      <c r="Q136" s="375">
        <f t="shared" si="30"/>
        <v>2.2499999999999969</v>
      </c>
      <c r="R136" s="375">
        <f t="shared" si="30"/>
        <v>3.5350000000000033</v>
      </c>
      <c r="S136" s="375">
        <f t="shared" si="30"/>
        <v>1.2899999999999965</v>
      </c>
      <c r="T136" s="375">
        <f t="shared" si="30"/>
        <v>0.80000000000000071</v>
      </c>
      <c r="U136" s="375">
        <f t="shared" si="30"/>
        <v>0.24000000000000021</v>
      </c>
      <c r="V136" s="375">
        <f t="shared" si="30"/>
        <v>0</v>
      </c>
      <c r="W136" s="375">
        <f t="shared" si="30"/>
        <v>0</v>
      </c>
      <c r="X136" s="375">
        <f t="shared" si="30"/>
        <v>0</v>
      </c>
      <c r="Y136" s="369"/>
    </row>
    <row r="137" spans="1:26" ht="13.5" thickBot="1" x14ac:dyDescent="0.25">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row>
    <row r="138" spans="1:26" ht="13.5" thickBot="1" x14ac:dyDescent="0.25">
      <c r="A138" s="361" t="s">
        <v>382</v>
      </c>
      <c r="B138" s="359">
        <f>ROW(A138)</f>
        <v>138</v>
      </c>
      <c r="C138" s="363" t="s">
        <v>115</v>
      </c>
      <c r="D138" s="353">
        <f>SUM(B141:Y141)</f>
        <v>52.564999999999998</v>
      </c>
      <c r="E138" s="363" t="s">
        <v>114</v>
      </c>
      <c r="F138" s="354">
        <f>D138/g/J138</f>
        <v>167.44712028542301</v>
      </c>
      <c r="G138" s="363" t="s">
        <v>56</v>
      </c>
      <c r="H138" s="64">
        <v>0.10100000000000001</v>
      </c>
      <c r="I138" s="363" t="s">
        <v>271</v>
      </c>
      <c r="J138" s="355">
        <f>H138-L138</f>
        <v>3.2000000000000001E-2</v>
      </c>
      <c r="K138" s="363" t="s">
        <v>272</v>
      </c>
      <c r="L138" s="64">
        <v>6.9000000000000006E-2</v>
      </c>
      <c r="M138" s="363" t="s">
        <v>57</v>
      </c>
      <c r="N138" s="65">
        <v>49</v>
      </c>
      <c r="O138" s="363" t="s">
        <v>59</v>
      </c>
      <c r="P138" s="65">
        <v>49</v>
      </c>
      <c r="Q138" s="363" t="s">
        <v>60</v>
      </c>
      <c r="R138" s="65">
        <v>98</v>
      </c>
      <c r="S138" s="363" t="s">
        <v>61</v>
      </c>
      <c r="T138" s="65">
        <v>29</v>
      </c>
      <c r="U138" s="363" t="s">
        <v>54</v>
      </c>
      <c r="V138" s="66" t="s">
        <v>400</v>
      </c>
      <c r="W138" s="463" t="s">
        <v>394</v>
      </c>
      <c r="X138" s="465">
        <v>1.8</v>
      </c>
      <c r="Y138" s="463" t="s">
        <v>393</v>
      </c>
      <c r="Z138" s="358">
        <v>12</v>
      </c>
    </row>
    <row r="139" spans="1:26" x14ac:dyDescent="0.2">
      <c r="A139" s="362" t="s">
        <v>33</v>
      </c>
      <c r="B139" s="370">
        <v>0</v>
      </c>
      <c r="C139" s="371">
        <v>0.01</v>
      </c>
      <c r="D139" s="371">
        <v>0.03</v>
      </c>
      <c r="E139" s="371">
        <v>0.04</v>
      </c>
      <c r="F139" s="371">
        <v>0.05</v>
      </c>
      <c r="G139" s="371">
        <v>0.06</v>
      </c>
      <c r="H139" s="371">
        <v>7.0000000000000007E-2</v>
      </c>
      <c r="I139" s="371">
        <v>0.08</v>
      </c>
      <c r="J139" s="371">
        <v>0.09</v>
      </c>
      <c r="K139" s="371">
        <v>0.1</v>
      </c>
      <c r="L139" s="371">
        <v>0.2</v>
      </c>
      <c r="M139" s="371">
        <v>0.3</v>
      </c>
      <c r="N139" s="371">
        <v>0.4</v>
      </c>
      <c r="O139" s="371">
        <v>0.5</v>
      </c>
      <c r="P139" s="371">
        <v>0.7</v>
      </c>
      <c r="Q139" s="371">
        <v>0.8</v>
      </c>
      <c r="R139" s="371">
        <v>0.9</v>
      </c>
      <c r="S139" s="371">
        <v>1</v>
      </c>
      <c r="T139" s="371">
        <v>1.1000000000000001</v>
      </c>
      <c r="U139" s="371">
        <v>1.24</v>
      </c>
      <c r="V139" s="371">
        <v>1.3</v>
      </c>
      <c r="W139" s="371">
        <v>1.5</v>
      </c>
      <c r="X139" s="371">
        <v>2</v>
      </c>
      <c r="Y139" s="381">
        <v>1000</v>
      </c>
    </row>
    <row r="140" spans="1:26" x14ac:dyDescent="0.2">
      <c r="A140" s="378" t="s">
        <v>34</v>
      </c>
      <c r="B140" s="372">
        <v>0</v>
      </c>
      <c r="C140" s="373">
        <v>12</v>
      </c>
      <c r="D140" s="373">
        <v>41</v>
      </c>
      <c r="E140" s="373">
        <v>42</v>
      </c>
      <c r="F140" s="373">
        <v>42</v>
      </c>
      <c r="G140" s="373">
        <v>40</v>
      </c>
      <c r="H140" s="373">
        <v>34</v>
      </c>
      <c r="I140" s="373">
        <v>34</v>
      </c>
      <c r="J140" s="373">
        <v>35</v>
      </c>
      <c r="K140" s="373">
        <v>36</v>
      </c>
      <c r="L140" s="373">
        <v>40</v>
      </c>
      <c r="M140" s="373">
        <v>42</v>
      </c>
      <c r="N140" s="373">
        <v>43</v>
      </c>
      <c r="O140" s="373">
        <v>43</v>
      </c>
      <c r="P140" s="373">
        <v>43</v>
      </c>
      <c r="Q140" s="373">
        <v>42</v>
      </c>
      <c r="R140" s="373">
        <v>41</v>
      </c>
      <c r="S140" s="373">
        <v>40</v>
      </c>
      <c r="T140" s="373">
        <v>38</v>
      </c>
      <c r="U140" s="373">
        <v>37</v>
      </c>
      <c r="V140" s="373">
        <v>12</v>
      </c>
      <c r="W140" s="373">
        <v>0</v>
      </c>
      <c r="X140" s="373">
        <v>0</v>
      </c>
      <c r="Y140" s="382">
        <v>0</v>
      </c>
    </row>
    <row r="141" spans="1:26" ht="13.5" thickBot="1" x14ac:dyDescent="0.25">
      <c r="A141" s="379" t="s">
        <v>116</v>
      </c>
      <c r="B141" s="374">
        <f t="shared" ref="B141:X141" si="31">(C140+B140)*(C139-B139)/2</f>
        <v>0.06</v>
      </c>
      <c r="C141" s="375">
        <f t="shared" si="31"/>
        <v>0.52999999999999992</v>
      </c>
      <c r="D141" s="375">
        <f t="shared" si="31"/>
        <v>0.41500000000000009</v>
      </c>
      <c r="E141" s="375">
        <f t="shared" si="31"/>
        <v>0.4200000000000001</v>
      </c>
      <c r="F141" s="375">
        <f t="shared" si="31"/>
        <v>0.40999999999999981</v>
      </c>
      <c r="G141" s="375">
        <f t="shared" si="31"/>
        <v>0.37000000000000033</v>
      </c>
      <c r="H141" s="375">
        <f t="shared" si="31"/>
        <v>0.33999999999999986</v>
      </c>
      <c r="I141" s="375">
        <f t="shared" si="31"/>
        <v>0.34499999999999981</v>
      </c>
      <c r="J141" s="375">
        <f t="shared" si="31"/>
        <v>0.35500000000000032</v>
      </c>
      <c r="K141" s="375">
        <f t="shared" si="31"/>
        <v>3.8000000000000003</v>
      </c>
      <c r="L141" s="375">
        <f t="shared" si="31"/>
        <v>4.0999999999999988</v>
      </c>
      <c r="M141" s="375">
        <f t="shared" si="31"/>
        <v>4.2500000000000018</v>
      </c>
      <c r="N141" s="375">
        <f t="shared" si="31"/>
        <v>4.2999999999999989</v>
      </c>
      <c r="O141" s="375">
        <f t="shared" si="31"/>
        <v>8.5999999999999979</v>
      </c>
      <c r="P141" s="375">
        <f t="shared" si="31"/>
        <v>4.2500000000000036</v>
      </c>
      <c r="Q141" s="375">
        <f t="shared" si="31"/>
        <v>4.1499999999999995</v>
      </c>
      <c r="R141" s="375">
        <f t="shared" si="31"/>
        <v>4.0499999999999989</v>
      </c>
      <c r="S141" s="375">
        <f t="shared" si="31"/>
        <v>3.9000000000000035</v>
      </c>
      <c r="T141" s="375">
        <f t="shared" si="31"/>
        <v>5.2499999999999964</v>
      </c>
      <c r="U141" s="375">
        <f t="shared" si="31"/>
        <v>1.4700000000000013</v>
      </c>
      <c r="V141" s="375">
        <f t="shared" si="31"/>
        <v>1.1999999999999997</v>
      </c>
      <c r="W141" s="375">
        <f t="shared" si="31"/>
        <v>0</v>
      </c>
      <c r="X141" s="375">
        <f t="shared" si="31"/>
        <v>0</v>
      </c>
      <c r="Y141" s="369"/>
    </row>
    <row r="142" spans="1:26" ht="13.5" thickBot="1" x14ac:dyDescent="0.25">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row>
    <row r="143" spans="1:26" ht="13.5" thickBot="1" x14ac:dyDescent="0.25">
      <c r="A143" s="361" t="s">
        <v>383</v>
      </c>
      <c r="B143" s="359">
        <f>ROW(A143)</f>
        <v>143</v>
      </c>
      <c r="C143" s="363" t="s">
        <v>115</v>
      </c>
      <c r="D143" s="353">
        <f>SUM(B146:Y146)</f>
        <v>54.110016122119539</v>
      </c>
      <c r="E143" s="363" t="s">
        <v>114</v>
      </c>
      <c r="F143" s="354">
        <f>D143/g/J143</f>
        <v>146.69685764124625</v>
      </c>
      <c r="G143" s="363" t="s">
        <v>56</v>
      </c>
      <c r="H143" s="64">
        <v>0.10580000000000001</v>
      </c>
      <c r="I143" s="363" t="s">
        <v>271</v>
      </c>
      <c r="J143" s="355">
        <f>H143-L143</f>
        <v>3.7600000000000008E-2</v>
      </c>
      <c r="K143" s="363" t="s">
        <v>272</v>
      </c>
      <c r="L143" s="64">
        <v>6.8199999999999997E-2</v>
      </c>
      <c r="M143" s="363" t="s">
        <v>57</v>
      </c>
      <c r="N143" s="65">
        <v>49</v>
      </c>
      <c r="O143" s="363" t="s">
        <v>59</v>
      </c>
      <c r="P143" s="65">
        <v>49</v>
      </c>
      <c r="Q143" s="363" t="s">
        <v>60</v>
      </c>
      <c r="R143" s="65">
        <v>98</v>
      </c>
      <c r="S143" s="363" t="s">
        <v>61</v>
      </c>
      <c r="T143" s="65">
        <v>29</v>
      </c>
      <c r="U143" s="363" t="s">
        <v>54</v>
      </c>
      <c r="V143" s="66" t="s">
        <v>399</v>
      </c>
      <c r="W143" s="463" t="s">
        <v>394</v>
      </c>
      <c r="X143" s="465">
        <v>1.9</v>
      </c>
      <c r="Y143" s="463" t="s">
        <v>393</v>
      </c>
      <c r="Z143" s="358">
        <v>12</v>
      </c>
    </row>
    <row r="144" spans="1:26" x14ac:dyDescent="0.2">
      <c r="A144" s="362" t="s">
        <v>33</v>
      </c>
      <c r="B144" s="370">
        <v>0</v>
      </c>
      <c r="C144" s="371">
        <v>2.5000000000000001E-2</v>
      </c>
      <c r="D144" s="371">
        <v>0.05</v>
      </c>
      <c r="E144" s="371">
        <v>7.4999999999999997E-2</v>
      </c>
      <c r="F144" s="371">
        <v>0.1</v>
      </c>
      <c r="G144" s="371">
        <v>0.15</v>
      </c>
      <c r="H144" s="371">
        <v>0.17499999999999999</v>
      </c>
      <c r="I144" s="371">
        <v>0.2</v>
      </c>
      <c r="J144" s="371">
        <v>0.3</v>
      </c>
      <c r="K144" s="371">
        <v>0.4</v>
      </c>
      <c r="L144" s="371">
        <v>0.5</v>
      </c>
      <c r="M144" s="371">
        <v>0.6</v>
      </c>
      <c r="N144" s="371">
        <v>0.7</v>
      </c>
      <c r="O144" s="371">
        <v>0.8</v>
      </c>
      <c r="P144" s="371">
        <v>0.9</v>
      </c>
      <c r="Q144" s="371">
        <v>1.1000000000000001</v>
      </c>
      <c r="R144" s="371">
        <v>1.2</v>
      </c>
      <c r="S144" s="371">
        <v>1.6</v>
      </c>
      <c r="T144" s="371">
        <v>1.7</v>
      </c>
      <c r="U144" s="371">
        <v>1.8</v>
      </c>
      <c r="V144" s="371">
        <v>1.9</v>
      </c>
      <c r="W144" s="371">
        <v>1.9999</v>
      </c>
      <c r="X144" s="371">
        <v>2</v>
      </c>
      <c r="Y144" s="381">
        <v>1000</v>
      </c>
    </row>
    <row r="145" spans="1:26" x14ac:dyDescent="0.2">
      <c r="A145" s="378" t="s">
        <v>34</v>
      </c>
      <c r="B145" s="372">
        <v>0</v>
      </c>
      <c r="C145" s="376">
        <v>15.2574001848975</v>
      </c>
      <c r="D145" s="376">
        <v>26.377954255522496</v>
      </c>
      <c r="E145" s="376">
        <v>21.484910464447498</v>
      </c>
      <c r="F145" s="376">
        <v>24.020396792549999</v>
      </c>
      <c r="G145" s="376">
        <v>28.11276069054</v>
      </c>
      <c r="H145" s="376">
        <v>28.691029502212498</v>
      </c>
      <c r="I145" s="376">
        <v>29.180333881319996</v>
      </c>
      <c r="J145" s="376">
        <v>31.493409128009997</v>
      </c>
      <c r="K145" s="376">
        <v>32.560982318789996</v>
      </c>
      <c r="L145" s="376">
        <v>32.827875616484995</v>
      </c>
      <c r="M145" s="376">
        <v>32.649946751354996</v>
      </c>
      <c r="N145" s="376">
        <v>32.383053453659997</v>
      </c>
      <c r="O145" s="376">
        <v>32.249606804812501</v>
      </c>
      <c r="P145" s="376">
        <v>31.804784641987499</v>
      </c>
      <c r="Q145" s="376">
        <v>30.559282586077497</v>
      </c>
      <c r="R145" s="376">
        <v>30.069978206969999</v>
      </c>
      <c r="S145" s="376">
        <v>26.377954255522496</v>
      </c>
      <c r="T145" s="376">
        <v>24.865558901917499</v>
      </c>
      <c r="U145" s="376">
        <v>18.4601197572375</v>
      </c>
      <c r="V145" s="376">
        <v>7.5174945517424998</v>
      </c>
      <c r="W145" s="376">
        <v>1.3789487047575</v>
      </c>
      <c r="X145" s="373">
        <v>0</v>
      </c>
      <c r="Y145" s="382">
        <v>0</v>
      </c>
    </row>
    <row r="146" spans="1:26" ht="13.5" thickBot="1" x14ac:dyDescent="0.25">
      <c r="A146" s="379" t="s">
        <v>116</v>
      </c>
      <c r="B146" s="374">
        <f t="shared" ref="B146:V146" si="32">(C145+B145)*(C144-B144)/2</f>
        <v>0.19071750231121876</v>
      </c>
      <c r="C146" s="375">
        <f t="shared" si="32"/>
        <v>0.52044193050525001</v>
      </c>
      <c r="D146" s="375">
        <f t="shared" si="32"/>
        <v>0.5982858089996248</v>
      </c>
      <c r="E146" s="375">
        <f t="shared" si="32"/>
        <v>0.56881634071246889</v>
      </c>
      <c r="F146" s="375">
        <f t="shared" si="32"/>
        <v>1.3033289370772498</v>
      </c>
      <c r="G146" s="375">
        <f t="shared" si="32"/>
        <v>0.71004737740940616</v>
      </c>
      <c r="H146" s="375">
        <f t="shared" si="32"/>
        <v>0.72339204229415688</v>
      </c>
      <c r="I146" s="375">
        <f t="shared" si="32"/>
        <v>3.0336871504664993</v>
      </c>
      <c r="J146" s="375">
        <f>(K145+J145)*(K144-J144)/2</f>
        <v>3.2027195723400008</v>
      </c>
      <c r="K146" s="375">
        <f t="shared" si="32"/>
        <v>3.2694428967637483</v>
      </c>
      <c r="L146" s="375">
        <f t="shared" si="32"/>
        <v>3.2738911183919988</v>
      </c>
      <c r="M146" s="375">
        <f t="shared" si="32"/>
        <v>3.2516500102507484</v>
      </c>
      <c r="N146" s="375">
        <f t="shared" si="32"/>
        <v>3.2316330129236279</v>
      </c>
      <c r="O146" s="375">
        <f t="shared" si="32"/>
        <v>3.202719572339999</v>
      </c>
      <c r="P146" s="375">
        <f t="shared" si="32"/>
        <v>6.2364067228065014</v>
      </c>
      <c r="Q146" s="375">
        <f t="shared" si="32"/>
        <v>3.0314630396523707</v>
      </c>
      <c r="R146" s="375">
        <f t="shared" si="32"/>
        <v>11.289586492498502</v>
      </c>
      <c r="S146" s="375">
        <f>(T145+S145)*(T144-S144)/2</f>
        <v>2.5621756578719963</v>
      </c>
      <c r="T146" s="375">
        <f t="shared" si="32"/>
        <v>2.1662839329577519</v>
      </c>
      <c r="U146" s="375">
        <f t="shared" si="32"/>
        <v>1.2988807154489983</v>
      </c>
      <c r="V146" s="375">
        <f t="shared" si="32"/>
        <v>0.44437734066217544</v>
      </c>
      <c r="W146" s="375">
        <f>(X145+W145)*(X144-W144)/2</f>
        <v>6.894743523786741E-5</v>
      </c>
      <c r="X146" s="375">
        <f>(Y145+X145)*(Y144-X144)/2</f>
        <v>0</v>
      </c>
      <c r="Y146" s="369"/>
    </row>
    <row r="147" spans="1:26" ht="13.5" thickBot="1" x14ac:dyDescent="0.25">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row>
    <row r="148" spans="1:26" ht="13.5" thickBot="1" x14ac:dyDescent="0.25">
      <c r="A148" s="361" t="s">
        <v>543</v>
      </c>
      <c r="B148" s="359">
        <f>ROW(A148)</f>
        <v>148</v>
      </c>
      <c r="C148" s="363" t="s">
        <v>115</v>
      </c>
      <c r="D148" s="353">
        <f>SUM(B151:Y151)</f>
        <v>55.589492</v>
      </c>
      <c r="E148" s="363" t="s">
        <v>114</v>
      </c>
      <c r="F148" s="354">
        <f>D148/g/J148</f>
        <v>177.08171508664634</v>
      </c>
      <c r="G148" s="363" t="s">
        <v>56</v>
      </c>
      <c r="H148" s="64">
        <v>0.10199999999999999</v>
      </c>
      <c r="I148" s="363" t="s">
        <v>271</v>
      </c>
      <c r="J148" s="355">
        <f>H148-L148</f>
        <v>3.1999999999999987E-2</v>
      </c>
      <c r="K148" s="363" t="s">
        <v>272</v>
      </c>
      <c r="L148" s="64">
        <v>7.0000000000000007E-2</v>
      </c>
      <c r="M148" s="363" t="s">
        <v>57</v>
      </c>
      <c r="N148" s="65">
        <v>49</v>
      </c>
      <c r="O148" s="363" t="s">
        <v>59</v>
      </c>
      <c r="P148" s="65">
        <v>49</v>
      </c>
      <c r="Q148" s="363" t="s">
        <v>60</v>
      </c>
      <c r="R148" s="65">
        <v>98</v>
      </c>
      <c r="S148" s="363" t="s">
        <v>61</v>
      </c>
      <c r="T148" s="65">
        <v>29</v>
      </c>
      <c r="U148" s="363" t="s">
        <v>54</v>
      </c>
      <c r="V148" s="66" t="s">
        <v>400</v>
      </c>
      <c r="W148" s="463" t="s">
        <v>394</v>
      </c>
      <c r="X148" s="465">
        <v>0.45</v>
      </c>
      <c r="Y148" s="463" t="s">
        <v>393</v>
      </c>
      <c r="Z148" s="358">
        <v>12</v>
      </c>
    </row>
    <row r="149" spans="1:26" x14ac:dyDescent="0.2">
      <c r="A149" s="362" t="s">
        <v>33</v>
      </c>
      <c r="B149" s="370">
        <v>0</v>
      </c>
      <c r="C149" s="371">
        <v>1E-3</v>
      </c>
      <c r="D149" s="371">
        <v>2.3E-2</v>
      </c>
      <c r="E149" s="371">
        <v>0.05</v>
      </c>
      <c r="F149" s="371">
        <v>5.8999999999999997E-2</v>
      </c>
      <c r="G149" s="371">
        <v>9.5000000000000001E-2</v>
      </c>
      <c r="H149" s="371">
        <v>0.21199999999999999</v>
      </c>
      <c r="I149" s="371">
        <v>0.34399999999999997</v>
      </c>
      <c r="J149" s="371">
        <v>1.5669999999999999</v>
      </c>
      <c r="K149" s="371">
        <v>1.631</v>
      </c>
      <c r="L149" s="371">
        <v>1.663</v>
      </c>
      <c r="M149" s="371">
        <v>1.7849999999999999</v>
      </c>
      <c r="N149" s="371">
        <v>1.8280000000000001</v>
      </c>
      <c r="O149" s="371">
        <v>2</v>
      </c>
      <c r="P149" s="371">
        <v>2</v>
      </c>
      <c r="Q149" s="371">
        <v>2</v>
      </c>
      <c r="R149" s="371">
        <v>2</v>
      </c>
      <c r="S149" s="371">
        <v>2</v>
      </c>
      <c r="T149" s="371">
        <v>2</v>
      </c>
      <c r="U149" s="371">
        <v>2</v>
      </c>
      <c r="V149" s="371">
        <v>2</v>
      </c>
      <c r="W149" s="371">
        <v>2</v>
      </c>
      <c r="X149" s="371">
        <v>2</v>
      </c>
      <c r="Y149" s="381">
        <v>1000</v>
      </c>
    </row>
    <row r="150" spans="1:26" x14ac:dyDescent="0.2">
      <c r="A150" s="378" t="s">
        <v>34</v>
      </c>
      <c r="B150" s="372">
        <v>0</v>
      </c>
      <c r="C150" s="373">
        <v>3.4830000000000001</v>
      </c>
      <c r="D150" s="373">
        <v>64.052999999999997</v>
      </c>
      <c r="E150" s="373">
        <v>31.347000000000001</v>
      </c>
      <c r="F150" s="373">
        <v>28.459</v>
      </c>
      <c r="G150" s="373">
        <v>32.027000000000001</v>
      </c>
      <c r="H150" s="373">
        <v>36.189</v>
      </c>
      <c r="I150" s="373">
        <v>37.548999999999999</v>
      </c>
      <c r="J150" s="373">
        <v>26.164999999999999</v>
      </c>
      <c r="K150" s="373">
        <v>26.93</v>
      </c>
      <c r="L150" s="373">
        <v>25.315999999999999</v>
      </c>
      <c r="M150" s="373">
        <v>3.653</v>
      </c>
      <c r="N150" s="373">
        <v>0</v>
      </c>
      <c r="O150" s="373">
        <v>0</v>
      </c>
      <c r="P150" s="373">
        <v>0</v>
      </c>
      <c r="Q150" s="373">
        <v>0</v>
      </c>
      <c r="R150" s="373">
        <v>0</v>
      </c>
      <c r="S150" s="373">
        <v>0</v>
      </c>
      <c r="T150" s="373">
        <v>0</v>
      </c>
      <c r="U150" s="373">
        <v>0</v>
      </c>
      <c r="V150" s="373">
        <v>0</v>
      </c>
      <c r="W150" s="373">
        <v>0</v>
      </c>
      <c r="X150" s="373">
        <v>0</v>
      </c>
      <c r="Y150" s="382">
        <v>0</v>
      </c>
    </row>
    <row r="151" spans="1:26" ht="13.5" thickBot="1" x14ac:dyDescent="0.25">
      <c r="A151" s="379" t="s">
        <v>116</v>
      </c>
      <c r="B151" s="374">
        <f t="shared" ref="B151" si="33">(C150+B150)*(C149-B149)/2</f>
        <v>1.7415E-3</v>
      </c>
      <c r="C151" s="375">
        <f t="shared" ref="C151" si="34">(D150+C150)*(D149-C149)/2</f>
        <v>0.742896</v>
      </c>
      <c r="D151" s="375">
        <f t="shared" ref="D151" si="35">(E150+D150)*(E149-D149)/2</f>
        <v>1.2879000000000003</v>
      </c>
      <c r="E151" s="375">
        <f t="shared" ref="E151" si="36">(F150+E150)*(F149-E149)/2</f>
        <v>0.26912699999999984</v>
      </c>
      <c r="F151" s="375">
        <f t="shared" ref="F151" si="37">(G150+F150)*(G149-F149)/2</f>
        <v>1.0887480000000003</v>
      </c>
      <c r="G151" s="375">
        <f t="shared" ref="G151" si="38">(H150+G150)*(H149-G149)/2</f>
        <v>3.9906360000000003</v>
      </c>
      <c r="H151" s="375">
        <f t="shared" ref="H151" si="39">(I150+H150)*(I149-H149)/2</f>
        <v>4.8667079999999991</v>
      </c>
      <c r="I151" s="375">
        <f t="shared" ref="I151" si="40">(J150+I150)*(J149-I149)/2</f>
        <v>38.961110999999995</v>
      </c>
      <c r="J151" s="375">
        <f t="shared" ref="J151" si="41">(K150+J150)*(K149-J149)/2</f>
        <v>1.6990400000000014</v>
      </c>
      <c r="K151" s="375">
        <f t="shared" ref="K151" si="42">(L150+K150)*(L149-K149)/2</f>
        <v>0.83593600000000068</v>
      </c>
      <c r="L151" s="375">
        <f t="shared" ref="L151" si="43">(M150+L150)*(M149-L149)/2</f>
        <v>1.7671089999999983</v>
      </c>
      <c r="M151" s="375">
        <f t="shared" ref="M151" si="44">(N150+M150)*(N149-M149)/2</f>
        <v>7.8539500000000276E-2</v>
      </c>
      <c r="N151" s="375">
        <f t="shared" ref="N151" si="45">(O150+N150)*(O149-N149)/2</f>
        <v>0</v>
      </c>
      <c r="O151" s="375">
        <f t="shared" ref="O151" si="46">(P150+O150)*(P149-O149)/2</f>
        <v>0</v>
      </c>
      <c r="P151" s="375">
        <f t="shared" ref="P151" si="47">(Q150+P150)*(Q149-P149)/2</f>
        <v>0</v>
      </c>
      <c r="Q151" s="375">
        <f t="shared" ref="Q151" si="48">(R150+Q150)*(R149-Q149)/2</f>
        <v>0</v>
      </c>
      <c r="R151" s="375">
        <f t="shared" ref="R151" si="49">(S150+R150)*(S149-R149)/2</f>
        <v>0</v>
      </c>
      <c r="S151" s="375">
        <f t="shared" ref="S151" si="50">(T150+S150)*(T149-S149)/2</f>
        <v>0</v>
      </c>
      <c r="T151" s="375">
        <f t="shared" ref="T151" si="51">(U150+T150)*(U149-T149)/2</f>
        <v>0</v>
      </c>
      <c r="U151" s="375">
        <f t="shared" ref="U151" si="52">(V150+U150)*(V149-U149)/2</f>
        <v>0</v>
      </c>
      <c r="V151" s="375">
        <f t="shared" ref="V151" si="53">(W150+V150)*(W149-V149)/2</f>
        <v>0</v>
      </c>
      <c r="W151" s="375">
        <f t="shared" ref="W151" si="54">(X150+W150)*(X149-W149)/2</f>
        <v>0</v>
      </c>
      <c r="X151" s="375">
        <f t="shared" ref="X151" si="55">(Y150+X150)*(Y149-X149)/2</f>
        <v>0</v>
      </c>
      <c r="Y151" s="369"/>
    </row>
    <row r="152" spans="1:26" ht="13.5" thickBot="1" x14ac:dyDescent="0.25">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row>
    <row r="153" spans="1:26" ht="13.5" thickBot="1" x14ac:dyDescent="0.25">
      <c r="A153" s="361" t="s">
        <v>384</v>
      </c>
      <c r="B153" s="359">
        <f>ROW(A153)</f>
        <v>153</v>
      </c>
      <c r="C153" s="363" t="s">
        <v>115</v>
      </c>
      <c r="D153" s="353">
        <f>SUM(B156:Y156)</f>
        <v>55.705884500000003</v>
      </c>
      <c r="E153" s="363" t="s">
        <v>114</v>
      </c>
      <c r="F153" s="354">
        <f>D153/g/J153</f>
        <v>180.84329814241278</v>
      </c>
      <c r="G153" s="363" t="s">
        <v>56</v>
      </c>
      <c r="H153" s="64">
        <v>0.1062</v>
      </c>
      <c r="I153" s="363" t="s">
        <v>271</v>
      </c>
      <c r="J153" s="355">
        <f>H153-L153</f>
        <v>3.1400000000000011E-2</v>
      </c>
      <c r="K153" s="363" t="s">
        <v>272</v>
      </c>
      <c r="L153" s="64">
        <v>7.4799999999999991E-2</v>
      </c>
      <c r="M153" s="363" t="s">
        <v>57</v>
      </c>
      <c r="N153" s="65">
        <v>49</v>
      </c>
      <c r="O153" s="363" t="s">
        <v>59</v>
      </c>
      <c r="P153" s="65">
        <v>49</v>
      </c>
      <c r="Q153" s="363" t="s">
        <v>60</v>
      </c>
      <c r="R153" s="65">
        <v>98</v>
      </c>
      <c r="S153" s="363" t="s">
        <v>61</v>
      </c>
      <c r="T153" s="65">
        <v>29</v>
      </c>
      <c r="U153" s="363" t="s">
        <v>54</v>
      </c>
      <c r="V153" s="66" t="s">
        <v>400</v>
      </c>
      <c r="W153" s="463" t="s">
        <v>394</v>
      </c>
      <c r="X153" s="465">
        <v>0.45</v>
      </c>
      <c r="Y153" s="463" t="s">
        <v>393</v>
      </c>
      <c r="Z153" s="358">
        <v>14</v>
      </c>
    </row>
    <row r="154" spans="1:26" x14ac:dyDescent="0.2">
      <c r="A154" s="362" t="s">
        <v>33</v>
      </c>
      <c r="B154" s="370">
        <v>0</v>
      </c>
      <c r="C154" s="371">
        <v>1.2999999999999999E-2</v>
      </c>
      <c r="D154" s="371">
        <v>1.7000000000000001E-2</v>
      </c>
      <c r="E154" s="371">
        <v>0.04</v>
      </c>
      <c r="F154" s="371">
        <v>0.125</v>
      </c>
      <c r="G154" s="371">
        <v>0.17899999999999999</v>
      </c>
      <c r="H154" s="371">
        <v>0.222</v>
      </c>
      <c r="I154" s="371">
        <v>0.28899999999999998</v>
      </c>
      <c r="J154" s="371">
        <v>0.35399999999999998</v>
      </c>
      <c r="K154" s="371">
        <v>0.39400000000000002</v>
      </c>
      <c r="L154" s="371">
        <v>0.40600000000000003</v>
      </c>
      <c r="M154" s="371">
        <v>0.41599999999999998</v>
      </c>
      <c r="N154" s="371">
        <v>0.42299999999999999</v>
      </c>
      <c r="O154" s="371">
        <v>0.43099999999999999</v>
      </c>
      <c r="P154" s="371">
        <v>0.44700000000000001</v>
      </c>
      <c r="Q154" s="371">
        <v>0.45300000000000001</v>
      </c>
      <c r="R154" s="371">
        <v>0.45500000000000002</v>
      </c>
      <c r="S154" s="371">
        <v>0.45500000000000002</v>
      </c>
      <c r="T154" s="371">
        <v>0.45500000000000002</v>
      </c>
      <c r="U154" s="371">
        <v>0.45500000000000002</v>
      </c>
      <c r="V154" s="371">
        <v>0.45500000000000002</v>
      </c>
      <c r="W154" s="371">
        <v>0.45500000000000002</v>
      </c>
      <c r="X154" s="371">
        <v>2</v>
      </c>
      <c r="Y154" s="381">
        <v>1000</v>
      </c>
    </row>
    <row r="155" spans="1:26" x14ac:dyDescent="0.2">
      <c r="A155" s="378" t="s">
        <v>34</v>
      </c>
      <c r="B155" s="372">
        <v>0</v>
      </c>
      <c r="C155" s="373">
        <v>79.242000000000004</v>
      </c>
      <c r="D155" s="373">
        <v>90.427000000000007</v>
      </c>
      <c r="E155" s="373">
        <v>101.422</v>
      </c>
      <c r="F155" s="373">
        <v>127.583</v>
      </c>
      <c r="G155" s="373">
        <v>136.114</v>
      </c>
      <c r="H155" s="373">
        <v>139.905</v>
      </c>
      <c r="I155" s="373">
        <v>143.50700000000001</v>
      </c>
      <c r="J155" s="373">
        <v>138.578</v>
      </c>
      <c r="K155" s="373">
        <v>125.498</v>
      </c>
      <c r="L155" s="373">
        <v>123.602</v>
      </c>
      <c r="M155" s="373">
        <v>125.11799999999999</v>
      </c>
      <c r="N155" s="373">
        <v>130.047</v>
      </c>
      <c r="O155" s="373">
        <v>120.569</v>
      </c>
      <c r="P155" s="373">
        <v>25.591999999999999</v>
      </c>
      <c r="Q155" s="373">
        <v>8.7200000000000006</v>
      </c>
      <c r="R155" s="373">
        <v>0</v>
      </c>
      <c r="S155" s="373">
        <v>0</v>
      </c>
      <c r="T155" s="373">
        <v>0</v>
      </c>
      <c r="U155" s="373">
        <v>0</v>
      </c>
      <c r="V155" s="373">
        <v>0</v>
      </c>
      <c r="W155" s="373">
        <v>0</v>
      </c>
      <c r="X155" s="373">
        <v>0</v>
      </c>
      <c r="Y155" s="382">
        <v>0</v>
      </c>
    </row>
    <row r="156" spans="1:26" ht="13.5" thickBot="1" x14ac:dyDescent="0.25">
      <c r="A156" s="379" t="s">
        <v>116</v>
      </c>
      <c r="B156" s="374">
        <f t="shared" ref="B156:X156" si="56">(C155+B155)*(C154-B154)/2</f>
        <v>0.515073</v>
      </c>
      <c r="C156" s="375">
        <f t="shared" si="56"/>
        <v>0.3393380000000002</v>
      </c>
      <c r="D156" s="375">
        <f t="shared" si="56"/>
        <v>2.2062634999999999</v>
      </c>
      <c r="E156" s="375">
        <f t="shared" si="56"/>
        <v>9.7327124999999981</v>
      </c>
      <c r="F156" s="375">
        <f t="shared" si="56"/>
        <v>7.1198189999999988</v>
      </c>
      <c r="G156" s="375">
        <f t="shared" si="56"/>
        <v>5.9344085000000018</v>
      </c>
      <c r="H156" s="375">
        <f t="shared" si="56"/>
        <v>9.4943019999999976</v>
      </c>
      <c r="I156" s="375">
        <f t="shared" si="56"/>
        <v>9.167762500000002</v>
      </c>
      <c r="J156" s="375">
        <f t="shared" si="56"/>
        <v>5.2815200000000049</v>
      </c>
      <c r="K156" s="375">
        <f t="shared" si="56"/>
        <v>1.4946000000000015</v>
      </c>
      <c r="L156" s="375">
        <f t="shared" si="56"/>
        <v>1.2435999999999943</v>
      </c>
      <c r="M156" s="375">
        <f t="shared" si="56"/>
        <v>0.89307750000000075</v>
      </c>
      <c r="N156" s="375">
        <f t="shared" si="56"/>
        <v>1.0024640000000009</v>
      </c>
      <c r="O156" s="375">
        <f t="shared" si="56"/>
        <v>1.169288000000001</v>
      </c>
      <c r="P156" s="375">
        <f t="shared" si="56"/>
        <v>0.10293600000000008</v>
      </c>
      <c r="Q156" s="375">
        <f t="shared" si="56"/>
        <v>8.720000000000009E-3</v>
      </c>
      <c r="R156" s="375">
        <f t="shared" si="56"/>
        <v>0</v>
      </c>
      <c r="S156" s="375">
        <f t="shared" si="56"/>
        <v>0</v>
      </c>
      <c r="T156" s="375">
        <f t="shared" si="56"/>
        <v>0</v>
      </c>
      <c r="U156" s="375">
        <f t="shared" si="56"/>
        <v>0</v>
      </c>
      <c r="V156" s="375">
        <f t="shared" si="56"/>
        <v>0</v>
      </c>
      <c r="W156" s="375">
        <f t="shared" si="56"/>
        <v>0</v>
      </c>
      <c r="X156" s="375">
        <f t="shared" si="56"/>
        <v>0</v>
      </c>
      <c r="Y156" s="369"/>
    </row>
    <row r="157" spans="1:26" ht="13.5" thickBot="1" x14ac:dyDescent="0.25">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row>
    <row r="158" spans="1:26" ht="13.5" thickBot="1" x14ac:dyDescent="0.25">
      <c r="A158" s="361" t="s">
        <v>385</v>
      </c>
      <c r="B158" s="359">
        <f>ROW(A158)</f>
        <v>158</v>
      </c>
      <c r="C158" s="363" t="s">
        <v>115</v>
      </c>
      <c r="D158" s="353">
        <f>SUM(B161:Y161)</f>
        <v>57.190000000000005</v>
      </c>
      <c r="E158" s="363" t="s">
        <v>114</v>
      </c>
      <c r="F158" s="354">
        <f>D158/g/J158</f>
        <v>188.05695307618953</v>
      </c>
      <c r="G158" s="363" t="s">
        <v>56</v>
      </c>
      <c r="H158" s="64">
        <v>9.9000000000000005E-2</v>
      </c>
      <c r="I158" s="363" t="s">
        <v>271</v>
      </c>
      <c r="J158" s="355">
        <f>H158-L158</f>
        <v>3.1E-2</v>
      </c>
      <c r="K158" s="363" t="s">
        <v>272</v>
      </c>
      <c r="L158" s="64">
        <v>6.8000000000000005E-2</v>
      </c>
      <c r="M158" s="363" t="s">
        <v>57</v>
      </c>
      <c r="N158" s="65">
        <v>49</v>
      </c>
      <c r="O158" s="363" t="s">
        <v>59</v>
      </c>
      <c r="P158" s="65">
        <v>49</v>
      </c>
      <c r="Q158" s="363" t="s">
        <v>60</v>
      </c>
      <c r="R158" s="65">
        <v>98</v>
      </c>
      <c r="S158" s="363" t="s">
        <v>61</v>
      </c>
      <c r="T158" s="65">
        <v>29</v>
      </c>
      <c r="U158" s="363" t="s">
        <v>54</v>
      </c>
      <c r="V158" s="66" t="s">
        <v>400</v>
      </c>
      <c r="W158" s="463" t="s">
        <v>394</v>
      </c>
      <c r="X158" s="465">
        <v>0.96</v>
      </c>
      <c r="Y158" s="463" t="s">
        <v>393</v>
      </c>
      <c r="Z158" s="358">
        <v>12</v>
      </c>
    </row>
    <row r="159" spans="1:26" x14ac:dyDescent="0.2">
      <c r="A159" s="362" t="s">
        <v>33</v>
      </c>
      <c r="B159" s="370">
        <v>0</v>
      </c>
      <c r="C159" s="371">
        <v>0.01</v>
      </c>
      <c r="D159" s="371">
        <v>0.02</v>
      </c>
      <c r="E159" s="371">
        <v>0.03</v>
      </c>
      <c r="F159" s="371">
        <v>0.04</v>
      </c>
      <c r="G159" s="371">
        <v>7.0000000000000007E-2</v>
      </c>
      <c r="H159" s="371">
        <v>0.1</v>
      </c>
      <c r="I159" s="371">
        <v>0.2</v>
      </c>
      <c r="J159" s="371">
        <v>0.3</v>
      </c>
      <c r="K159" s="371">
        <v>0.4</v>
      </c>
      <c r="L159" s="371">
        <v>0.5</v>
      </c>
      <c r="M159" s="371">
        <v>0.6</v>
      </c>
      <c r="N159" s="371">
        <v>0.7</v>
      </c>
      <c r="O159" s="371">
        <v>0.87</v>
      </c>
      <c r="P159" s="371">
        <v>0.9</v>
      </c>
      <c r="Q159" s="371">
        <v>0.97</v>
      </c>
      <c r="R159" s="371">
        <v>0.97</v>
      </c>
      <c r="S159" s="371">
        <v>0.97</v>
      </c>
      <c r="T159" s="371">
        <v>0.97</v>
      </c>
      <c r="U159" s="371">
        <v>0.97</v>
      </c>
      <c r="V159" s="371">
        <v>0.97</v>
      </c>
      <c r="W159" s="371">
        <v>0.97</v>
      </c>
      <c r="X159" s="371">
        <v>2</v>
      </c>
      <c r="Y159" s="381">
        <v>1000</v>
      </c>
    </row>
    <row r="160" spans="1:26" x14ac:dyDescent="0.2">
      <c r="A160" s="378" t="s">
        <v>34</v>
      </c>
      <c r="B160" s="372">
        <v>0</v>
      </c>
      <c r="C160" s="373">
        <v>16</v>
      </c>
      <c r="D160" s="373">
        <v>62</v>
      </c>
      <c r="E160" s="373">
        <v>67</v>
      </c>
      <c r="F160" s="373">
        <v>71</v>
      </c>
      <c r="G160" s="373">
        <v>58</v>
      </c>
      <c r="H160" s="373">
        <v>63</v>
      </c>
      <c r="I160" s="373">
        <v>67</v>
      </c>
      <c r="J160" s="373">
        <v>69</v>
      </c>
      <c r="K160" s="373">
        <v>67</v>
      </c>
      <c r="L160" s="373">
        <v>65</v>
      </c>
      <c r="M160" s="373">
        <v>63</v>
      </c>
      <c r="N160" s="373">
        <v>61</v>
      </c>
      <c r="O160" s="373">
        <v>60</v>
      </c>
      <c r="P160" s="373">
        <v>23</v>
      </c>
      <c r="Q160" s="373">
        <v>0</v>
      </c>
      <c r="R160" s="373">
        <v>0</v>
      </c>
      <c r="S160" s="373">
        <v>0</v>
      </c>
      <c r="T160" s="373">
        <v>0</v>
      </c>
      <c r="U160" s="373">
        <v>0</v>
      </c>
      <c r="V160" s="373">
        <v>0</v>
      </c>
      <c r="W160" s="373">
        <v>0</v>
      </c>
      <c r="X160" s="373">
        <v>0</v>
      </c>
      <c r="Y160" s="382">
        <v>0</v>
      </c>
    </row>
    <row r="161" spans="1:26" ht="13.5" thickBot="1" x14ac:dyDescent="0.25">
      <c r="A161" s="379" t="s">
        <v>116</v>
      </c>
      <c r="B161" s="374">
        <f t="shared" ref="B161:X161" si="57">(C160+B160)*(C159-B159)/2</f>
        <v>0.08</v>
      </c>
      <c r="C161" s="375">
        <f t="shared" si="57"/>
        <v>0.39</v>
      </c>
      <c r="D161" s="375">
        <f t="shared" si="57"/>
        <v>0.64499999999999991</v>
      </c>
      <c r="E161" s="375">
        <f t="shared" si="57"/>
        <v>0.69000000000000017</v>
      </c>
      <c r="F161" s="375">
        <f t="shared" si="57"/>
        <v>1.9350000000000003</v>
      </c>
      <c r="G161" s="375">
        <f t="shared" si="57"/>
        <v>1.8149999999999999</v>
      </c>
      <c r="H161" s="375">
        <f t="shared" si="57"/>
        <v>6.5</v>
      </c>
      <c r="I161" s="375">
        <f t="shared" si="57"/>
        <v>6.7999999999999989</v>
      </c>
      <c r="J161" s="375">
        <f t="shared" si="57"/>
        <v>6.8000000000000025</v>
      </c>
      <c r="K161" s="375">
        <f t="shared" si="57"/>
        <v>6.5999999999999988</v>
      </c>
      <c r="L161" s="375">
        <f t="shared" si="57"/>
        <v>6.3999999999999986</v>
      </c>
      <c r="M161" s="375">
        <f t="shared" si="57"/>
        <v>6.1999999999999984</v>
      </c>
      <c r="N161" s="375">
        <f t="shared" si="57"/>
        <v>10.285000000000002</v>
      </c>
      <c r="O161" s="375">
        <f t="shared" si="57"/>
        <v>1.245000000000001</v>
      </c>
      <c r="P161" s="375">
        <f t="shared" si="57"/>
        <v>0.80499999999999949</v>
      </c>
      <c r="Q161" s="375">
        <f t="shared" si="57"/>
        <v>0</v>
      </c>
      <c r="R161" s="375">
        <f t="shared" si="57"/>
        <v>0</v>
      </c>
      <c r="S161" s="375">
        <f t="shared" si="57"/>
        <v>0</v>
      </c>
      <c r="T161" s="375">
        <f t="shared" si="57"/>
        <v>0</v>
      </c>
      <c r="U161" s="375">
        <f t="shared" si="57"/>
        <v>0</v>
      </c>
      <c r="V161" s="375">
        <f t="shared" si="57"/>
        <v>0</v>
      </c>
      <c r="W161" s="375">
        <f t="shared" si="57"/>
        <v>0</v>
      </c>
      <c r="X161" s="375">
        <f t="shared" si="57"/>
        <v>0</v>
      </c>
      <c r="Y161" s="369"/>
    </row>
    <row r="162" spans="1:26" ht="13.5" thickBot="1" x14ac:dyDescent="0.25">
      <c r="A162" s="6" t="s">
        <v>315</v>
      </c>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row>
    <row r="163" spans="1:26" ht="13.5" thickBot="1" x14ac:dyDescent="0.25">
      <c r="A163" s="361" t="s">
        <v>321</v>
      </c>
      <c r="B163" s="359">
        <f>ROW(A163)</f>
        <v>163</v>
      </c>
      <c r="C163" s="363" t="s">
        <v>115</v>
      </c>
      <c r="D163" s="353">
        <f>SUM(B166:Y166)</f>
        <v>59.702267000000006</v>
      </c>
      <c r="E163" s="363" t="s">
        <v>114</v>
      </c>
      <c r="F163" s="354">
        <f>D163/g/J163</f>
        <v>190.77924771281306</v>
      </c>
      <c r="G163" s="363" t="s">
        <v>56</v>
      </c>
      <c r="H163" s="64">
        <v>9.3899999999999997E-2</v>
      </c>
      <c r="I163" s="363" t="s">
        <v>271</v>
      </c>
      <c r="J163" s="355">
        <f>H163-L163</f>
        <v>3.1899999999999998E-2</v>
      </c>
      <c r="K163" s="363" t="s">
        <v>272</v>
      </c>
      <c r="L163" s="64">
        <f>0.095-0.033</f>
        <v>6.2E-2</v>
      </c>
      <c r="M163" s="363" t="s">
        <v>57</v>
      </c>
      <c r="N163" s="396">
        <v>66.5</v>
      </c>
      <c r="O163" s="363" t="s">
        <v>59</v>
      </c>
      <c r="P163" s="396">
        <v>66.5</v>
      </c>
      <c r="Q163" s="363" t="s">
        <v>60</v>
      </c>
      <c r="R163" s="65">
        <v>133</v>
      </c>
      <c r="S163" s="363" t="s">
        <v>61</v>
      </c>
      <c r="T163" s="65">
        <v>24</v>
      </c>
      <c r="U163" s="363" t="s">
        <v>54</v>
      </c>
      <c r="V163" s="66" t="s">
        <v>399</v>
      </c>
      <c r="W163" s="463" t="s">
        <v>394</v>
      </c>
      <c r="X163" s="465">
        <v>1.2</v>
      </c>
      <c r="Y163" s="463" t="s">
        <v>393</v>
      </c>
      <c r="Z163" s="358">
        <v>13</v>
      </c>
    </row>
    <row r="164" spans="1:26" x14ac:dyDescent="0.2">
      <c r="A164" s="362" t="s">
        <v>33</v>
      </c>
      <c r="B164" s="370">
        <v>0</v>
      </c>
      <c r="C164" s="371">
        <v>1.4999999999999999E-2</v>
      </c>
      <c r="D164" s="371">
        <v>2.1999999999999999E-2</v>
      </c>
      <c r="E164" s="371">
        <v>6.4000000000000001E-2</v>
      </c>
      <c r="F164" s="371">
        <v>0.11799999999999999</v>
      </c>
      <c r="G164" s="371">
        <v>0.34200000000000003</v>
      </c>
      <c r="H164" s="371">
        <v>0.53600000000000003</v>
      </c>
      <c r="I164" s="371">
        <v>0.74299999999999999</v>
      </c>
      <c r="J164" s="371">
        <v>0.88400000000000001</v>
      </c>
      <c r="K164" s="371">
        <v>0.97599999999999998</v>
      </c>
      <c r="L164" s="371">
        <v>1.0960000000000001</v>
      </c>
      <c r="M164" s="371">
        <v>1.246</v>
      </c>
      <c r="N164" s="371">
        <v>1.298</v>
      </c>
      <c r="O164" s="371">
        <v>2</v>
      </c>
      <c r="P164" s="371">
        <v>2</v>
      </c>
      <c r="Q164" s="371">
        <v>2</v>
      </c>
      <c r="R164" s="371">
        <v>2</v>
      </c>
      <c r="S164" s="371">
        <v>2</v>
      </c>
      <c r="T164" s="371">
        <v>2</v>
      </c>
      <c r="U164" s="371">
        <v>2</v>
      </c>
      <c r="V164" s="371">
        <v>2</v>
      </c>
      <c r="W164" s="371">
        <v>2</v>
      </c>
      <c r="X164" s="371">
        <f t="shared" ref="T164:X165" si="58">W164</f>
        <v>2</v>
      </c>
      <c r="Y164" s="381">
        <v>1000</v>
      </c>
    </row>
    <row r="165" spans="1:26" x14ac:dyDescent="0.2">
      <c r="A165" s="378" t="s">
        <v>34</v>
      </c>
      <c r="B165" s="372">
        <v>0</v>
      </c>
      <c r="C165" s="373">
        <v>64.981999999999999</v>
      </c>
      <c r="D165" s="373">
        <v>69.516000000000005</v>
      </c>
      <c r="E165" s="373">
        <v>55.536999999999999</v>
      </c>
      <c r="F165" s="373">
        <v>62.81</v>
      </c>
      <c r="G165" s="373">
        <v>62.149000000000001</v>
      </c>
      <c r="H165" s="373">
        <v>59.41</v>
      </c>
      <c r="I165" s="373">
        <v>53.837000000000003</v>
      </c>
      <c r="J165" s="373">
        <v>46.942</v>
      </c>
      <c r="K165" s="373">
        <v>40.046999999999997</v>
      </c>
      <c r="L165" s="373">
        <v>12.561999999999999</v>
      </c>
      <c r="M165" s="373">
        <v>2.0779999999999998</v>
      </c>
      <c r="N165" s="373">
        <v>0</v>
      </c>
      <c r="O165" s="373">
        <v>0</v>
      </c>
      <c r="P165" s="373">
        <v>0</v>
      </c>
      <c r="Q165" s="373">
        <v>0</v>
      </c>
      <c r="R165" s="373">
        <v>0</v>
      </c>
      <c r="S165" s="373">
        <v>0</v>
      </c>
      <c r="T165" s="373">
        <f t="shared" si="58"/>
        <v>0</v>
      </c>
      <c r="U165" s="373">
        <f t="shared" si="58"/>
        <v>0</v>
      </c>
      <c r="V165" s="373">
        <f t="shared" si="58"/>
        <v>0</v>
      </c>
      <c r="W165" s="373">
        <f t="shared" si="58"/>
        <v>0</v>
      </c>
      <c r="X165" s="373">
        <f t="shared" si="58"/>
        <v>0</v>
      </c>
      <c r="Y165" s="382">
        <v>0</v>
      </c>
    </row>
    <row r="166" spans="1:26" ht="13.5" thickBot="1" x14ac:dyDescent="0.25">
      <c r="A166" s="379" t="s">
        <v>116</v>
      </c>
      <c r="B166" s="374">
        <f t="shared" ref="B166:V166" si="59">(C165+B165)*(C164-B164)/2</f>
        <v>0.48736499999999999</v>
      </c>
      <c r="C166" s="375">
        <f t="shared" si="59"/>
        <v>0.47074299999999991</v>
      </c>
      <c r="D166" s="375">
        <f t="shared" si="59"/>
        <v>2.6261130000000001</v>
      </c>
      <c r="E166" s="375">
        <f t="shared" si="59"/>
        <v>3.1953689999999999</v>
      </c>
      <c r="F166" s="375">
        <f t="shared" si="59"/>
        <v>13.995408000000003</v>
      </c>
      <c r="G166" s="375">
        <f t="shared" si="59"/>
        <v>11.791223</v>
      </c>
      <c r="H166" s="375">
        <f t="shared" si="59"/>
        <v>11.721064499999997</v>
      </c>
      <c r="I166" s="375">
        <f t="shared" si="59"/>
        <v>7.1049195000000003</v>
      </c>
      <c r="J166" s="375">
        <f>(K165+J165)*(K164-J164)/2</f>
        <v>4.0014939999999992</v>
      </c>
      <c r="K166" s="375">
        <f t="shared" si="59"/>
        <v>3.1565400000000023</v>
      </c>
      <c r="L166" s="375">
        <f t="shared" si="59"/>
        <v>1.0979999999999992</v>
      </c>
      <c r="M166" s="375">
        <f t="shared" si="59"/>
        <v>5.4028000000000041E-2</v>
      </c>
      <c r="N166" s="375">
        <f t="shared" si="59"/>
        <v>0</v>
      </c>
      <c r="O166" s="375">
        <f t="shared" si="59"/>
        <v>0</v>
      </c>
      <c r="P166" s="375">
        <f t="shared" si="59"/>
        <v>0</v>
      </c>
      <c r="Q166" s="375">
        <f t="shared" si="59"/>
        <v>0</v>
      </c>
      <c r="R166" s="375">
        <f t="shared" si="59"/>
        <v>0</v>
      </c>
      <c r="S166" s="375">
        <f>(T165+S165)*(T164-S164)/2</f>
        <v>0</v>
      </c>
      <c r="T166" s="375">
        <f t="shared" si="59"/>
        <v>0</v>
      </c>
      <c r="U166" s="375">
        <f t="shared" si="59"/>
        <v>0</v>
      </c>
      <c r="V166" s="375">
        <f t="shared" si="59"/>
        <v>0</v>
      </c>
      <c r="W166" s="375">
        <f>(X165+W165)*(X164-W164)/2</f>
        <v>0</v>
      </c>
      <c r="X166" s="375">
        <f>(Y165+X165)*(Y164-X164)/2</f>
        <v>0</v>
      </c>
      <c r="Y166" s="369"/>
    </row>
    <row r="167" spans="1:26" ht="13.5" thickBot="1" x14ac:dyDescent="0.25"/>
    <row r="168" spans="1:26" ht="13.5" thickBot="1" x14ac:dyDescent="0.25">
      <c r="A168" s="361" t="s">
        <v>322</v>
      </c>
      <c r="B168" s="359">
        <f>ROW(A168)</f>
        <v>168</v>
      </c>
      <c r="C168" s="363" t="s">
        <v>115</v>
      </c>
      <c r="D168" s="353">
        <f>SUM(B171:Y171)</f>
        <v>68.380602999999994</v>
      </c>
      <c r="E168" s="363" t="s">
        <v>114</v>
      </c>
      <c r="F168" s="354">
        <f>D168/g/J168</f>
        <v>134.04807300243078</v>
      </c>
      <c r="G168" s="363" t="s">
        <v>56</v>
      </c>
      <c r="H168" s="64">
        <v>0.1075</v>
      </c>
      <c r="I168" s="363" t="s">
        <v>271</v>
      </c>
      <c r="J168" s="355">
        <f>H168-L168</f>
        <v>5.1999999999999998E-2</v>
      </c>
      <c r="K168" s="363" t="s">
        <v>272</v>
      </c>
      <c r="L168" s="64">
        <v>5.5500000000000001E-2</v>
      </c>
      <c r="M168" s="363" t="s">
        <v>57</v>
      </c>
      <c r="N168" s="396">
        <v>66.5</v>
      </c>
      <c r="O168" s="363" t="s">
        <v>59</v>
      </c>
      <c r="P168" s="396">
        <v>66.5</v>
      </c>
      <c r="Q168" s="363" t="s">
        <v>60</v>
      </c>
      <c r="R168" s="65">
        <v>133</v>
      </c>
      <c r="S168" s="363" t="s">
        <v>61</v>
      </c>
      <c r="T168" s="65">
        <v>24</v>
      </c>
      <c r="U168" s="363" t="s">
        <v>54</v>
      </c>
      <c r="V168" s="66" t="s">
        <v>399</v>
      </c>
      <c r="W168" s="463" t="s">
        <v>394</v>
      </c>
      <c r="X168" s="465">
        <v>0.86</v>
      </c>
      <c r="Y168" s="463" t="s">
        <v>393</v>
      </c>
      <c r="Z168" s="358">
        <v>13</v>
      </c>
    </row>
    <row r="169" spans="1:26" x14ac:dyDescent="0.2">
      <c r="A169" s="362" t="s">
        <v>33</v>
      </c>
      <c r="B169" s="370">
        <v>0</v>
      </c>
      <c r="C169" s="371">
        <v>5.0000000000000001E-3</v>
      </c>
      <c r="D169" s="371">
        <v>1.2999999999999999E-2</v>
      </c>
      <c r="E169" s="371">
        <v>2.1999999999999999E-2</v>
      </c>
      <c r="F169" s="371">
        <v>4.2999999999999997E-2</v>
      </c>
      <c r="G169" s="371">
        <v>0.11899999999999999</v>
      </c>
      <c r="H169" s="371">
        <v>0.19800000000000001</v>
      </c>
      <c r="I169" s="371">
        <v>0.26700000000000002</v>
      </c>
      <c r="J169" s="371">
        <v>0.34300000000000003</v>
      </c>
      <c r="K169" s="371">
        <v>0.40400000000000003</v>
      </c>
      <c r="L169" s="371">
        <v>0.498</v>
      </c>
      <c r="M169" s="371">
        <v>0.55500000000000005</v>
      </c>
      <c r="N169" s="371">
        <v>0.622</v>
      </c>
      <c r="O169" s="371">
        <v>0.66300000000000003</v>
      </c>
      <c r="P169" s="371">
        <v>0.70399999999999996</v>
      </c>
      <c r="Q169" s="371">
        <v>0.72899999999999998</v>
      </c>
      <c r="R169" s="371">
        <v>0.747</v>
      </c>
      <c r="S169" s="371">
        <v>0.76800000000000002</v>
      </c>
      <c r="T169" s="371">
        <v>0.82099999999999995</v>
      </c>
      <c r="U169" s="371">
        <v>0.85199999999999998</v>
      </c>
      <c r="V169" s="371">
        <v>0.89200000000000002</v>
      </c>
      <c r="W169" s="371">
        <v>1</v>
      </c>
      <c r="X169" s="371">
        <v>2</v>
      </c>
      <c r="Y169" s="381">
        <v>1000</v>
      </c>
    </row>
    <row r="170" spans="1:26" x14ac:dyDescent="0.2">
      <c r="A170" s="378" t="s">
        <v>34</v>
      </c>
      <c r="B170" s="372">
        <v>0</v>
      </c>
      <c r="C170" s="373">
        <v>60</v>
      </c>
      <c r="D170" s="373">
        <v>89.007000000000005</v>
      </c>
      <c r="E170" s="373">
        <v>96.290999999999997</v>
      </c>
      <c r="F170" s="373">
        <v>81.721999999999994</v>
      </c>
      <c r="G170" s="373">
        <v>85.563000000000002</v>
      </c>
      <c r="H170" s="373">
        <v>87.947000000000003</v>
      </c>
      <c r="I170" s="373">
        <v>89.272000000000006</v>
      </c>
      <c r="J170" s="373">
        <v>89.933999999999997</v>
      </c>
      <c r="K170" s="373">
        <v>90.861000000000004</v>
      </c>
      <c r="L170" s="373">
        <v>91.522999999999996</v>
      </c>
      <c r="M170" s="373">
        <v>89.668999999999997</v>
      </c>
      <c r="N170" s="373">
        <v>83.974000000000004</v>
      </c>
      <c r="O170" s="373">
        <v>80.53</v>
      </c>
      <c r="P170" s="373">
        <v>78.94</v>
      </c>
      <c r="Q170" s="373">
        <v>74.171999999999997</v>
      </c>
      <c r="R170" s="373">
        <v>66.887</v>
      </c>
      <c r="S170" s="373">
        <v>53.774999999999999</v>
      </c>
      <c r="T170" s="373">
        <v>18.542999999999999</v>
      </c>
      <c r="U170" s="373">
        <v>7.8150000000000004</v>
      </c>
      <c r="V170" s="373">
        <v>2.1190000000000002</v>
      </c>
      <c r="W170" s="373">
        <v>0</v>
      </c>
      <c r="X170" s="373">
        <v>0</v>
      </c>
      <c r="Y170" s="382">
        <v>0</v>
      </c>
    </row>
    <row r="171" spans="1:26" ht="13.5" thickBot="1" x14ac:dyDescent="0.25">
      <c r="A171" s="379" t="s">
        <v>116</v>
      </c>
      <c r="B171" s="374">
        <f t="shared" ref="B171:X171" si="60">(C170+B170)*(C169-B169)/2</f>
        <v>0.15</v>
      </c>
      <c r="C171" s="375">
        <f t="shared" si="60"/>
        <v>0.596028</v>
      </c>
      <c r="D171" s="375">
        <f t="shared" si="60"/>
        <v>0.83384099999999994</v>
      </c>
      <c r="E171" s="375">
        <f t="shared" si="60"/>
        <v>1.8691364999999995</v>
      </c>
      <c r="F171" s="375">
        <f t="shared" si="60"/>
        <v>6.3568299999999995</v>
      </c>
      <c r="G171" s="375">
        <f t="shared" si="60"/>
        <v>6.8536450000000011</v>
      </c>
      <c r="H171" s="375">
        <f t="shared" si="60"/>
        <v>6.1140555000000001</v>
      </c>
      <c r="I171" s="375">
        <f t="shared" si="60"/>
        <v>6.8098280000000013</v>
      </c>
      <c r="J171" s="375">
        <f t="shared" si="60"/>
        <v>5.5142475000000006</v>
      </c>
      <c r="K171" s="375">
        <f t="shared" si="60"/>
        <v>8.5720479999999988</v>
      </c>
      <c r="L171" s="375">
        <f t="shared" si="60"/>
        <v>5.1639720000000047</v>
      </c>
      <c r="M171" s="375">
        <f t="shared" si="60"/>
        <v>5.8170404999999956</v>
      </c>
      <c r="N171" s="375">
        <f t="shared" si="60"/>
        <v>3.3723320000000032</v>
      </c>
      <c r="O171" s="375">
        <f t="shared" si="60"/>
        <v>3.2691349999999941</v>
      </c>
      <c r="P171" s="375">
        <f t="shared" si="60"/>
        <v>1.9139000000000017</v>
      </c>
      <c r="Q171" s="375">
        <f t="shared" si="60"/>
        <v>1.2695310000000011</v>
      </c>
      <c r="R171" s="375">
        <f t="shared" si="60"/>
        <v>1.2669510000000013</v>
      </c>
      <c r="S171" s="375">
        <f t="shared" si="60"/>
        <v>1.9164269999999977</v>
      </c>
      <c r="T171" s="375">
        <f t="shared" si="60"/>
        <v>0.40854900000000038</v>
      </c>
      <c r="U171" s="375">
        <f t="shared" si="60"/>
        <v>0.19868000000000019</v>
      </c>
      <c r="V171" s="375">
        <f t="shared" si="60"/>
        <v>0.114426</v>
      </c>
      <c r="W171" s="375">
        <f t="shared" si="60"/>
        <v>0</v>
      </c>
      <c r="X171" s="375">
        <f t="shared" si="60"/>
        <v>0</v>
      </c>
      <c r="Y171" s="369"/>
    </row>
    <row r="172" spans="1:26" ht="13.5" thickBot="1" x14ac:dyDescent="0.25">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row>
    <row r="173" spans="1:26" ht="13.5" thickBot="1" x14ac:dyDescent="0.25">
      <c r="A173" s="361" t="s">
        <v>323</v>
      </c>
      <c r="B173" s="359">
        <f>ROW(A173)</f>
        <v>173</v>
      </c>
      <c r="C173" s="363" t="s">
        <v>115</v>
      </c>
      <c r="D173" s="353">
        <f>SUM(B176:Y176)</f>
        <v>67.985428500000012</v>
      </c>
      <c r="E173" s="363" t="s">
        <v>114</v>
      </c>
      <c r="F173" s="354">
        <f>D173/g/J173</f>
        <v>181.89545859519862</v>
      </c>
      <c r="G173" s="363" t="s">
        <v>56</v>
      </c>
      <c r="H173" s="64">
        <v>9.1799999999999993E-2</v>
      </c>
      <c r="I173" s="363" t="s">
        <v>271</v>
      </c>
      <c r="J173" s="355">
        <f>H173-L173</f>
        <v>3.8099999999999988E-2</v>
      </c>
      <c r="K173" s="363" t="s">
        <v>272</v>
      </c>
      <c r="L173" s="64">
        <v>5.3700000000000005E-2</v>
      </c>
      <c r="M173" s="363" t="s">
        <v>57</v>
      </c>
      <c r="N173" s="396">
        <v>66.5</v>
      </c>
      <c r="O173" s="363" t="s">
        <v>59</v>
      </c>
      <c r="P173" s="396">
        <v>66.5</v>
      </c>
      <c r="Q173" s="363" t="s">
        <v>60</v>
      </c>
      <c r="R173" s="65">
        <v>133</v>
      </c>
      <c r="S173" s="363" t="s">
        <v>61</v>
      </c>
      <c r="T173" s="65">
        <v>24</v>
      </c>
      <c r="U173" s="363" t="s">
        <v>54</v>
      </c>
      <c r="V173" s="66" t="s">
        <v>399</v>
      </c>
      <c r="W173" s="463" t="s">
        <v>394</v>
      </c>
      <c r="X173" s="465">
        <v>0.33</v>
      </c>
      <c r="Y173" s="463" t="s">
        <v>393</v>
      </c>
      <c r="Z173" s="358">
        <v>15</v>
      </c>
    </row>
    <row r="174" spans="1:26" x14ac:dyDescent="0.2">
      <c r="A174" s="362" t="s">
        <v>33</v>
      </c>
      <c r="B174" s="370">
        <v>0</v>
      </c>
      <c r="C174" s="371">
        <v>4.0000000000000001E-3</v>
      </c>
      <c r="D174" s="371">
        <v>7.0000000000000001E-3</v>
      </c>
      <c r="E174" s="371">
        <v>0.01</v>
      </c>
      <c r="F174" s="371">
        <v>2.1999999999999999E-2</v>
      </c>
      <c r="G174" s="371">
        <v>2.8000000000000001E-2</v>
      </c>
      <c r="H174" s="371">
        <v>4.1000000000000002E-2</v>
      </c>
      <c r="I174" s="371">
        <v>5.8000000000000003E-2</v>
      </c>
      <c r="J174" s="371">
        <v>7.6999999999999999E-2</v>
      </c>
      <c r="K174" s="371">
        <v>8.8999999999999996E-2</v>
      </c>
      <c r="L174" s="371">
        <v>9.7000000000000003E-2</v>
      </c>
      <c r="M174" s="371">
        <v>0.11899999999999999</v>
      </c>
      <c r="N174" s="371">
        <v>0.14699999999999999</v>
      </c>
      <c r="O174" s="371">
        <v>0.17699999999999999</v>
      </c>
      <c r="P174" s="371">
        <v>0.20699999999999999</v>
      </c>
      <c r="Q174" s="371">
        <v>0.253</v>
      </c>
      <c r="R174" s="371">
        <v>0.25900000000000001</v>
      </c>
      <c r="S174" s="371">
        <v>0.27200000000000002</v>
      </c>
      <c r="T174" s="371">
        <v>0.28000000000000003</v>
      </c>
      <c r="U174" s="371">
        <v>0.28599999999999998</v>
      </c>
      <c r="V174" s="371">
        <v>0.29399999999999998</v>
      </c>
      <c r="W174" s="371">
        <v>0.32800000000000001</v>
      </c>
      <c r="X174" s="371">
        <v>2</v>
      </c>
      <c r="Y174" s="381">
        <v>1000</v>
      </c>
    </row>
    <row r="175" spans="1:26" x14ac:dyDescent="0.2">
      <c r="A175" s="378" t="s">
        <v>34</v>
      </c>
      <c r="B175" s="372">
        <v>0</v>
      </c>
      <c r="C175" s="376">
        <v>100.52800000000001</v>
      </c>
      <c r="D175" s="376">
        <v>197.49299999999999</v>
      </c>
      <c r="E175" s="376">
        <v>222.03200000000001</v>
      </c>
      <c r="F175" s="376">
        <v>241.42500000000001</v>
      </c>
      <c r="G175" s="376">
        <v>237.863</v>
      </c>
      <c r="H175" s="376">
        <v>239.446</v>
      </c>
      <c r="I175" s="376">
        <v>252.50700000000001</v>
      </c>
      <c r="J175" s="376">
        <v>263.98399999999998</v>
      </c>
      <c r="K175" s="376">
        <v>275.46199999999999</v>
      </c>
      <c r="L175" s="376">
        <v>271.50400000000002</v>
      </c>
      <c r="M175" s="376">
        <v>278.62799999999999</v>
      </c>
      <c r="N175" s="376">
        <v>281.39800000000002</v>
      </c>
      <c r="O175" s="376">
        <v>272.29599999999999</v>
      </c>
      <c r="P175" s="376">
        <v>258.44299999999998</v>
      </c>
      <c r="Q175" s="376">
        <v>218.47</v>
      </c>
      <c r="R175" s="376">
        <v>188.786</v>
      </c>
      <c r="S175" s="376">
        <v>74.802000000000007</v>
      </c>
      <c r="T175" s="376">
        <v>31.265999999999998</v>
      </c>
      <c r="U175" s="376">
        <v>15.831</v>
      </c>
      <c r="V175" s="376">
        <v>8.7070000000000007</v>
      </c>
      <c r="W175" s="376">
        <v>0</v>
      </c>
      <c r="X175" s="373">
        <v>0</v>
      </c>
      <c r="Y175" s="382">
        <v>0</v>
      </c>
    </row>
    <row r="176" spans="1:26" ht="13.5" thickBot="1" x14ac:dyDescent="0.25">
      <c r="A176" s="379" t="s">
        <v>116</v>
      </c>
      <c r="B176" s="374">
        <f t="shared" ref="B176:X176" si="61">(C175+B175)*(C174-B174)/2</f>
        <v>0.20105600000000001</v>
      </c>
      <c r="C176" s="375">
        <f t="shared" si="61"/>
        <v>0.44703150000000003</v>
      </c>
      <c r="D176" s="375">
        <f t="shared" si="61"/>
        <v>0.6292875</v>
      </c>
      <c r="E176" s="375">
        <f t="shared" si="61"/>
        <v>2.7807419999999996</v>
      </c>
      <c r="F176" s="375">
        <f t="shared" si="61"/>
        <v>1.4378640000000005</v>
      </c>
      <c r="G176" s="375">
        <f t="shared" si="61"/>
        <v>3.1025084999999999</v>
      </c>
      <c r="H176" s="375">
        <f t="shared" si="61"/>
        <v>4.1816005000000001</v>
      </c>
      <c r="I176" s="375">
        <f t="shared" si="61"/>
        <v>4.9066644999999989</v>
      </c>
      <c r="J176" s="375">
        <f t="shared" si="61"/>
        <v>3.2366759999999988</v>
      </c>
      <c r="K176" s="375">
        <f t="shared" si="61"/>
        <v>2.187864000000002</v>
      </c>
      <c r="L176" s="375">
        <f t="shared" si="61"/>
        <v>6.0514519999999985</v>
      </c>
      <c r="M176" s="375">
        <f t="shared" si="61"/>
        <v>7.8403640000000001</v>
      </c>
      <c r="N176" s="375">
        <f t="shared" si="61"/>
        <v>8.3054099999999984</v>
      </c>
      <c r="O176" s="375">
        <f t="shared" si="61"/>
        <v>7.9610850000000006</v>
      </c>
      <c r="P176" s="375">
        <f t="shared" si="61"/>
        <v>10.968999000000004</v>
      </c>
      <c r="Q176" s="375">
        <f t="shared" si="61"/>
        <v>1.2217680000000011</v>
      </c>
      <c r="R176" s="375">
        <f t="shared" si="61"/>
        <v>1.7133220000000016</v>
      </c>
      <c r="S176" s="375">
        <f t="shared" si="61"/>
        <v>0.42427200000000043</v>
      </c>
      <c r="T176" s="375">
        <f t="shared" si="61"/>
        <v>0.14129099999999881</v>
      </c>
      <c r="U176" s="375">
        <f t="shared" si="61"/>
        <v>9.8152000000000086E-2</v>
      </c>
      <c r="V176" s="375">
        <f t="shared" si="61"/>
        <v>0.14801900000000015</v>
      </c>
      <c r="W176" s="375">
        <f t="shared" si="61"/>
        <v>0</v>
      </c>
      <c r="X176" s="375">
        <f t="shared" si="61"/>
        <v>0</v>
      </c>
      <c r="Y176" s="369"/>
    </row>
    <row r="177" spans="1:26" ht="13.5" thickBot="1" x14ac:dyDescent="0.25">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row>
    <row r="178" spans="1:26" ht="13.5" thickBot="1" x14ac:dyDescent="0.25">
      <c r="A178" s="361" t="s">
        <v>324</v>
      </c>
      <c r="B178" s="359">
        <f>ROW(A178)</f>
        <v>178</v>
      </c>
      <c r="C178" s="363" t="s">
        <v>115</v>
      </c>
      <c r="D178" s="353">
        <f>SUM(B181:Y181)</f>
        <v>73.557381500000005</v>
      </c>
      <c r="E178" s="363" t="s">
        <v>114</v>
      </c>
      <c r="F178" s="354">
        <f>D178/g/J178</f>
        <v>156.86619302308719</v>
      </c>
      <c r="G178" s="363" t="s">
        <v>56</v>
      </c>
      <c r="H178" s="64">
        <v>0.1022</v>
      </c>
      <c r="I178" s="363" t="s">
        <v>271</v>
      </c>
      <c r="J178" s="355">
        <f>H178-L178</f>
        <v>4.7800000000000002E-2</v>
      </c>
      <c r="K178" s="363" t="s">
        <v>272</v>
      </c>
      <c r="L178" s="64">
        <v>5.4399999999999997E-2</v>
      </c>
      <c r="M178" s="363" t="s">
        <v>57</v>
      </c>
      <c r="N178" s="396">
        <v>66.5</v>
      </c>
      <c r="O178" s="363" t="s">
        <v>59</v>
      </c>
      <c r="P178" s="396">
        <v>66.5</v>
      </c>
      <c r="Q178" s="363" t="s">
        <v>60</v>
      </c>
      <c r="R178" s="65">
        <v>133</v>
      </c>
      <c r="S178" s="363" t="s">
        <v>61</v>
      </c>
      <c r="T178" s="65">
        <v>24</v>
      </c>
      <c r="U178" s="363" t="s">
        <v>54</v>
      </c>
      <c r="V178" s="66" t="s">
        <v>399</v>
      </c>
      <c r="W178" s="463" t="s">
        <v>394</v>
      </c>
      <c r="X178" s="465">
        <v>2.36</v>
      </c>
      <c r="Y178" s="463" t="s">
        <v>393</v>
      </c>
      <c r="Z178" s="358">
        <v>6</v>
      </c>
    </row>
    <row r="179" spans="1:26" x14ac:dyDescent="0.2">
      <c r="A179" s="362" t="s">
        <v>33</v>
      </c>
      <c r="B179" s="370">
        <v>0</v>
      </c>
      <c r="C179" s="371">
        <v>1.4E-2</v>
      </c>
      <c r="D179" s="371">
        <v>5.6000000000000001E-2</v>
      </c>
      <c r="E179" s="371">
        <v>9.1999999999999998E-2</v>
      </c>
      <c r="F179" s="371">
        <v>0.16</v>
      </c>
      <c r="G179" s="371">
        <v>0.23200000000000001</v>
      </c>
      <c r="H179" s="371">
        <v>0.36299999999999999</v>
      </c>
      <c r="I179" s="371">
        <v>0.499</v>
      </c>
      <c r="J179" s="371">
        <v>0.65500000000000003</v>
      </c>
      <c r="K179" s="371">
        <v>0.84299999999999997</v>
      </c>
      <c r="L179" s="371">
        <v>1.216</v>
      </c>
      <c r="M179" s="371">
        <v>1.3680000000000001</v>
      </c>
      <c r="N179" s="371">
        <v>1.54</v>
      </c>
      <c r="O179" s="371">
        <v>1.675</v>
      </c>
      <c r="P179" s="371">
        <v>1.861</v>
      </c>
      <c r="Q179" s="371">
        <v>2.0129999999999999</v>
      </c>
      <c r="R179" s="371">
        <v>2.1589999999999998</v>
      </c>
      <c r="S179" s="371">
        <v>2.302</v>
      </c>
      <c r="T179" s="371">
        <v>2.4620000000000002</v>
      </c>
      <c r="U179" s="371">
        <v>2.5979999999999999</v>
      </c>
      <c r="V179" s="371">
        <v>2.5979999999999999</v>
      </c>
      <c r="W179" s="371">
        <v>2.5979999999999999</v>
      </c>
      <c r="X179" s="371">
        <v>2.5979999999999999</v>
      </c>
      <c r="Y179" s="381">
        <v>1000</v>
      </c>
    </row>
    <row r="180" spans="1:26" x14ac:dyDescent="0.2">
      <c r="A180" s="378" t="s">
        <v>34</v>
      </c>
      <c r="B180" s="372">
        <v>0</v>
      </c>
      <c r="C180" s="376">
        <v>54.222000000000001</v>
      </c>
      <c r="D180" s="376">
        <v>43.456000000000003</v>
      </c>
      <c r="E180" s="376">
        <v>50.185000000000002</v>
      </c>
      <c r="F180" s="376">
        <v>54.063000000000002</v>
      </c>
      <c r="G180" s="376">
        <v>48.363999999999997</v>
      </c>
      <c r="H180" s="376">
        <v>45.752000000000002</v>
      </c>
      <c r="I180" s="376">
        <v>43.14</v>
      </c>
      <c r="J180" s="376">
        <v>40.29</v>
      </c>
      <c r="K180" s="376">
        <v>37.835999999999999</v>
      </c>
      <c r="L180" s="376">
        <v>32.612000000000002</v>
      </c>
      <c r="M180" s="376">
        <v>30.317</v>
      </c>
      <c r="N180" s="376">
        <v>26.359000000000002</v>
      </c>
      <c r="O180" s="376">
        <v>23.509</v>
      </c>
      <c r="P180" s="376">
        <v>19.077000000000002</v>
      </c>
      <c r="Q180" s="376">
        <v>14.565</v>
      </c>
      <c r="R180" s="376">
        <v>10.053000000000001</v>
      </c>
      <c r="S180" s="376">
        <v>4.8280000000000003</v>
      </c>
      <c r="T180" s="376">
        <v>1.504</v>
      </c>
      <c r="U180" s="373">
        <v>0</v>
      </c>
      <c r="V180" s="373">
        <v>0</v>
      </c>
      <c r="W180" s="373">
        <v>0</v>
      </c>
      <c r="X180" s="373">
        <v>0</v>
      </c>
      <c r="Y180" s="382">
        <v>0</v>
      </c>
    </row>
    <row r="181" spans="1:26" ht="13.5" thickBot="1" x14ac:dyDescent="0.25">
      <c r="A181" s="379" t="s">
        <v>116</v>
      </c>
      <c r="B181" s="374">
        <f t="shared" ref="B181:X181" si="62">(C180+B180)*(C179-B179)/2</f>
        <v>0.379554</v>
      </c>
      <c r="C181" s="375">
        <f t="shared" si="62"/>
        <v>2.0512380000000001</v>
      </c>
      <c r="D181" s="375">
        <f t="shared" si="62"/>
        <v>1.685538</v>
      </c>
      <c r="E181" s="375">
        <f t="shared" si="62"/>
        <v>3.5444320000000005</v>
      </c>
      <c r="F181" s="375">
        <f t="shared" si="62"/>
        <v>3.6873720000000003</v>
      </c>
      <c r="G181" s="375">
        <f t="shared" si="62"/>
        <v>6.1645979999999989</v>
      </c>
      <c r="H181" s="375">
        <f t="shared" si="62"/>
        <v>6.0446559999999998</v>
      </c>
      <c r="I181" s="375">
        <f t="shared" si="62"/>
        <v>6.5075400000000014</v>
      </c>
      <c r="J181" s="375">
        <f t="shared" si="62"/>
        <v>7.343843999999998</v>
      </c>
      <c r="K181" s="375">
        <f t="shared" si="62"/>
        <v>13.138552000000001</v>
      </c>
      <c r="L181" s="375">
        <f t="shared" si="62"/>
        <v>4.7826040000000045</v>
      </c>
      <c r="M181" s="375">
        <f t="shared" si="62"/>
        <v>4.8741359999999982</v>
      </c>
      <c r="N181" s="375">
        <f t="shared" si="62"/>
        <v>3.3660900000000002</v>
      </c>
      <c r="O181" s="375">
        <f t="shared" si="62"/>
        <v>3.9604979999999985</v>
      </c>
      <c r="P181" s="375">
        <f t="shared" si="62"/>
        <v>2.5567919999999988</v>
      </c>
      <c r="Q181" s="375">
        <f t="shared" si="62"/>
        <v>1.797113999999999</v>
      </c>
      <c r="R181" s="375">
        <f t="shared" si="62"/>
        <v>1.0639915000000018</v>
      </c>
      <c r="S181" s="375">
        <f t="shared" si="62"/>
        <v>0.50656000000000045</v>
      </c>
      <c r="T181" s="375">
        <f t="shared" si="62"/>
        <v>0.10227199999999975</v>
      </c>
      <c r="U181" s="375">
        <f t="shared" si="62"/>
        <v>0</v>
      </c>
      <c r="V181" s="375">
        <f t="shared" si="62"/>
        <v>0</v>
      </c>
      <c r="W181" s="375">
        <f t="shared" si="62"/>
        <v>0</v>
      </c>
      <c r="X181" s="375">
        <f t="shared" si="62"/>
        <v>0</v>
      </c>
      <c r="Y181" s="369"/>
    </row>
    <row r="182" spans="1:26" ht="13.5" thickBot="1" x14ac:dyDescent="0.25">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row>
    <row r="183" spans="1:26" ht="13.5" thickBot="1" x14ac:dyDescent="0.25">
      <c r="A183" s="361" t="s">
        <v>325</v>
      </c>
      <c r="B183" s="359">
        <f>ROW(A183)</f>
        <v>183</v>
      </c>
      <c r="C183" s="363" t="s">
        <v>115</v>
      </c>
      <c r="D183" s="353">
        <f>SUM(B186:Y186)</f>
        <v>73.169517999999997</v>
      </c>
      <c r="E183" s="363" t="s">
        <v>114</v>
      </c>
      <c r="F183" s="354">
        <f>D183/g/J183</f>
        <v>177.58729673316827</v>
      </c>
      <c r="G183" s="363" t="s">
        <v>56</v>
      </c>
      <c r="H183" s="64">
        <v>9.6000000000000002E-2</v>
      </c>
      <c r="I183" s="363" t="s">
        <v>271</v>
      </c>
      <c r="J183" s="355">
        <f>H183-L183</f>
        <v>4.2000000000000003E-2</v>
      </c>
      <c r="K183" s="363" t="s">
        <v>272</v>
      </c>
      <c r="L183" s="64">
        <v>5.3999999999999999E-2</v>
      </c>
      <c r="M183" s="363" t="s">
        <v>57</v>
      </c>
      <c r="N183" s="396">
        <v>66.5</v>
      </c>
      <c r="O183" s="363" t="s">
        <v>59</v>
      </c>
      <c r="P183" s="396">
        <v>66.5</v>
      </c>
      <c r="Q183" s="363" t="s">
        <v>60</v>
      </c>
      <c r="R183" s="65">
        <v>133</v>
      </c>
      <c r="S183" s="363" t="s">
        <v>61</v>
      </c>
      <c r="T183" s="65">
        <v>24</v>
      </c>
      <c r="U183" s="363" t="s">
        <v>54</v>
      </c>
      <c r="V183" s="66" t="s">
        <v>400</v>
      </c>
      <c r="W183" s="463" t="s">
        <v>394</v>
      </c>
      <c r="X183" s="465">
        <v>0.87</v>
      </c>
      <c r="Y183" s="463" t="s">
        <v>393</v>
      </c>
      <c r="Z183" s="358">
        <v>15</v>
      </c>
    </row>
    <row r="184" spans="1:26" x14ac:dyDescent="0.2">
      <c r="A184" s="362" t="s">
        <v>33</v>
      </c>
      <c r="B184" s="370">
        <v>0</v>
      </c>
      <c r="C184" s="371">
        <v>0.01</v>
      </c>
      <c r="D184" s="371">
        <v>2.3E-2</v>
      </c>
      <c r="E184" s="371">
        <v>0.04</v>
      </c>
      <c r="F184" s="371">
        <v>0.11799999999999999</v>
      </c>
      <c r="G184" s="371">
        <v>0.28299999999999997</v>
      </c>
      <c r="H184" s="371">
        <v>0.51</v>
      </c>
      <c r="I184" s="371">
        <v>0.68799999999999994</v>
      </c>
      <c r="J184" s="371">
        <v>0.78700000000000003</v>
      </c>
      <c r="K184" s="371">
        <v>0.85199999999999998</v>
      </c>
      <c r="L184" s="371">
        <v>0.873</v>
      </c>
      <c r="M184" s="371">
        <v>0.873</v>
      </c>
      <c r="N184" s="371">
        <v>0.873</v>
      </c>
      <c r="O184" s="371">
        <v>0.873</v>
      </c>
      <c r="P184" s="371">
        <v>0.873</v>
      </c>
      <c r="Q184" s="371">
        <v>0.873</v>
      </c>
      <c r="R184" s="371">
        <v>0.873</v>
      </c>
      <c r="S184" s="371">
        <v>0.873</v>
      </c>
      <c r="T184" s="371">
        <v>0.873</v>
      </c>
      <c r="U184" s="371">
        <v>0.873</v>
      </c>
      <c r="V184" s="371">
        <v>0.873</v>
      </c>
      <c r="W184" s="371">
        <v>0.873</v>
      </c>
      <c r="X184" s="371">
        <v>2</v>
      </c>
      <c r="Y184" s="381">
        <v>1000</v>
      </c>
    </row>
    <row r="185" spans="1:26" x14ac:dyDescent="0.2">
      <c r="A185" s="378" t="s">
        <v>34</v>
      </c>
      <c r="B185" s="372">
        <v>0</v>
      </c>
      <c r="C185" s="376">
        <v>76.073999999999998</v>
      </c>
      <c r="D185" s="376">
        <v>100.185</v>
      </c>
      <c r="E185" s="376">
        <v>92.424999999999997</v>
      </c>
      <c r="F185" s="376">
        <v>100.878</v>
      </c>
      <c r="G185" s="376">
        <v>102.402</v>
      </c>
      <c r="H185" s="376">
        <v>96.442999999999998</v>
      </c>
      <c r="I185" s="376">
        <v>87.436000000000007</v>
      </c>
      <c r="J185" s="376">
        <v>25.911999999999999</v>
      </c>
      <c r="K185" s="376">
        <v>7.2060000000000004</v>
      </c>
      <c r="L185" s="373">
        <v>0</v>
      </c>
      <c r="M185" s="373">
        <v>0</v>
      </c>
      <c r="N185" s="373">
        <v>0</v>
      </c>
      <c r="O185" s="373">
        <v>0</v>
      </c>
      <c r="P185" s="373">
        <v>0</v>
      </c>
      <c r="Q185" s="373">
        <v>0</v>
      </c>
      <c r="R185" s="373">
        <v>0</v>
      </c>
      <c r="S185" s="373">
        <v>0</v>
      </c>
      <c r="T185" s="373">
        <v>0</v>
      </c>
      <c r="U185" s="373">
        <v>0</v>
      </c>
      <c r="V185" s="373">
        <v>0</v>
      </c>
      <c r="W185" s="373">
        <v>0</v>
      </c>
      <c r="X185" s="373">
        <v>0</v>
      </c>
      <c r="Y185" s="382">
        <v>0</v>
      </c>
    </row>
    <row r="186" spans="1:26" ht="13.5" thickBot="1" x14ac:dyDescent="0.25">
      <c r="A186" s="379" t="s">
        <v>116</v>
      </c>
      <c r="B186" s="374">
        <f t="shared" ref="B186:X186" si="63">(C185+B185)*(C184-B184)/2</f>
        <v>0.38036999999999999</v>
      </c>
      <c r="C186" s="375">
        <f t="shared" si="63"/>
        <v>1.1456835000000001</v>
      </c>
      <c r="D186" s="375">
        <f t="shared" si="63"/>
        <v>1.6371850000000003</v>
      </c>
      <c r="E186" s="375">
        <f t="shared" si="63"/>
        <v>7.5388169999999981</v>
      </c>
      <c r="F186" s="375">
        <f t="shared" si="63"/>
        <v>16.770599999999998</v>
      </c>
      <c r="G186" s="375">
        <f t="shared" si="63"/>
        <v>22.568907500000002</v>
      </c>
      <c r="H186" s="375">
        <f t="shared" si="63"/>
        <v>16.365230999999994</v>
      </c>
      <c r="I186" s="375">
        <f t="shared" si="63"/>
        <v>5.6107260000000059</v>
      </c>
      <c r="J186" s="375">
        <f t="shared" si="63"/>
        <v>1.0763349999999992</v>
      </c>
      <c r="K186" s="375">
        <f t="shared" si="63"/>
        <v>7.5663000000000077E-2</v>
      </c>
      <c r="L186" s="375">
        <f t="shared" si="63"/>
        <v>0</v>
      </c>
      <c r="M186" s="375">
        <f t="shared" si="63"/>
        <v>0</v>
      </c>
      <c r="N186" s="375">
        <f t="shared" si="63"/>
        <v>0</v>
      </c>
      <c r="O186" s="375">
        <f t="shared" si="63"/>
        <v>0</v>
      </c>
      <c r="P186" s="375">
        <f t="shared" si="63"/>
        <v>0</v>
      </c>
      <c r="Q186" s="375">
        <f t="shared" si="63"/>
        <v>0</v>
      </c>
      <c r="R186" s="375">
        <f t="shared" si="63"/>
        <v>0</v>
      </c>
      <c r="S186" s="375">
        <f t="shared" si="63"/>
        <v>0</v>
      </c>
      <c r="T186" s="375">
        <f t="shared" si="63"/>
        <v>0</v>
      </c>
      <c r="U186" s="375">
        <f t="shared" si="63"/>
        <v>0</v>
      </c>
      <c r="V186" s="375">
        <f t="shared" si="63"/>
        <v>0</v>
      </c>
      <c r="W186" s="375">
        <f t="shared" si="63"/>
        <v>0</v>
      </c>
      <c r="X186" s="375">
        <f t="shared" si="63"/>
        <v>0</v>
      </c>
      <c r="Y186" s="369"/>
    </row>
    <row r="187" spans="1:26" ht="13.5" thickBot="1" x14ac:dyDescent="0.25">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row>
    <row r="188" spans="1:26" ht="13.5" thickBot="1" x14ac:dyDescent="0.25">
      <c r="A188" s="361" t="s">
        <v>326</v>
      </c>
      <c r="B188" s="359">
        <f>ROW(A188)</f>
        <v>188</v>
      </c>
      <c r="C188" s="363" t="s">
        <v>115</v>
      </c>
      <c r="D188" s="353">
        <f>SUM(B191:Y191)</f>
        <v>75.254384000000016</v>
      </c>
      <c r="E188" s="363" t="s">
        <v>114</v>
      </c>
      <c r="F188" s="354">
        <f>D188/g/J188</f>
        <v>232.46033422914161</v>
      </c>
      <c r="G188" s="363" t="s">
        <v>56</v>
      </c>
      <c r="H188" s="64">
        <v>9.5000000000000001E-2</v>
      </c>
      <c r="I188" s="363" t="s">
        <v>271</v>
      </c>
      <c r="J188" s="355">
        <f>H188-L188</f>
        <v>3.3000000000000002E-2</v>
      </c>
      <c r="K188" s="363" t="s">
        <v>272</v>
      </c>
      <c r="L188" s="64">
        <f>0.095-0.033</f>
        <v>6.2E-2</v>
      </c>
      <c r="M188" s="363" t="s">
        <v>57</v>
      </c>
      <c r="N188" s="396">
        <v>66.5</v>
      </c>
      <c r="O188" s="363" t="s">
        <v>59</v>
      </c>
      <c r="P188" s="396">
        <v>66.5</v>
      </c>
      <c r="Q188" s="363" t="s">
        <v>60</v>
      </c>
      <c r="R188" s="65">
        <v>133</v>
      </c>
      <c r="S188" s="363" t="s">
        <v>61</v>
      </c>
      <c r="T188" s="65">
        <v>24</v>
      </c>
      <c r="U188" s="363" t="s">
        <v>54</v>
      </c>
      <c r="V188" s="66" t="s">
        <v>400</v>
      </c>
      <c r="W188" s="463" t="s">
        <v>394</v>
      </c>
      <c r="X188" s="465">
        <v>1.5</v>
      </c>
      <c r="Y188" s="463" t="s">
        <v>393</v>
      </c>
      <c r="Z188" s="358">
        <v>12</v>
      </c>
    </row>
    <row r="189" spans="1:26" x14ac:dyDescent="0.2">
      <c r="A189" s="362" t="s">
        <v>33</v>
      </c>
      <c r="B189" s="370">
        <v>0</v>
      </c>
      <c r="C189" s="371">
        <v>0.02</v>
      </c>
      <c r="D189" s="371">
        <v>3.1E-2</v>
      </c>
      <c r="E189" s="371">
        <v>6.2E-2</v>
      </c>
      <c r="F189" s="371">
        <v>0.11700000000000001</v>
      </c>
      <c r="G189" s="371">
        <v>1.2110000000000001</v>
      </c>
      <c r="H189" s="371">
        <v>1.3759999999999999</v>
      </c>
      <c r="I189" s="371">
        <v>1.456</v>
      </c>
      <c r="J189" s="371">
        <v>1.532</v>
      </c>
      <c r="K189" s="371">
        <v>1.577</v>
      </c>
      <c r="L189" s="371">
        <v>2</v>
      </c>
      <c r="M189" s="371">
        <v>2</v>
      </c>
      <c r="N189" s="371">
        <v>2</v>
      </c>
      <c r="O189" s="371">
        <v>2</v>
      </c>
      <c r="P189" s="371">
        <v>2</v>
      </c>
      <c r="Q189" s="371">
        <v>2</v>
      </c>
      <c r="R189" s="371">
        <v>2</v>
      </c>
      <c r="S189" s="371">
        <v>2</v>
      </c>
      <c r="T189" s="371">
        <v>2</v>
      </c>
      <c r="U189" s="371">
        <v>2</v>
      </c>
      <c r="V189" s="371">
        <v>2</v>
      </c>
      <c r="W189" s="371">
        <v>2</v>
      </c>
      <c r="X189" s="371">
        <f t="shared" ref="T189:X190" si="64">W189</f>
        <v>2</v>
      </c>
      <c r="Y189" s="381">
        <v>1000</v>
      </c>
    </row>
    <row r="190" spans="1:26" x14ac:dyDescent="0.2">
      <c r="A190" s="378" t="s">
        <v>34</v>
      </c>
      <c r="B190" s="372">
        <v>0</v>
      </c>
      <c r="C190" s="373">
        <v>75.924000000000007</v>
      </c>
      <c r="D190" s="373">
        <v>84.147999999999996</v>
      </c>
      <c r="E190" s="373">
        <v>70.441000000000003</v>
      </c>
      <c r="F190" s="373">
        <v>73.659000000000006</v>
      </c>
      <c r="G190" s="373">
        <v>38.737000000000002</v>
      </c>
      <c r="H190" s="373">
        <v>14.779</v>
      </c>
      <c r="I190" s="373">
        <v>7.2709999999999999</v>
      </c>
      <c r="J190" s="373">
        <v>3.3370000000000002</v>
      </c>
      <c r="K190" s="373">
        <v>0</v>
      </c>
      <c r="L190" s="373">
        <v>0</v>
      </c>
      <c r="M190" s="373">
        <v>0</v>
      </c>
      <c r="N190" s="373">
        <v>0</v>
      </c>
      <c r="O190" s="373">
        <v>0</v>
      </c>
      <c r="P190" s="373">
        <v>0</v>
      </c>
      <c r="Q190" s="373">
        <v>0</v>
      </c>
      <c r="R190" s="373">
        <v>0</v>
      </c>
      <c r="S190" s="373">
        <v>0</v>
      </c>
      <c r="T190" s="373">
        <f t="shared" si="64"/>
        <v>0</v>
      </c>
      <c r="U190" s="373">
        <f t="shared" si="64"/>
        <v>0</v>
      </c>
      <c r="V190" s="373">
        <f t="shared" si="64"/>
        <v>0</v>
      </c>
      <c r="W190" s="373">
        <f t="shared" si="64"/>
        <v>0</v>
      </c>
      <c r="X190" s="373">
        <f t="shared" si="64"/>
        <v>0</v>
      </c>
      <c r="Y190" s="382">
        <v>0</v>
      </c>
    </row>
    <row r="191" spans="1:26" ht="13.5" thickBot="1" x14ac:dyDescent="0.25">
      <c r="A191" s="379" t="s">
        <v>116</v>
      </c>
      <c r="B191" s="374">
        <f t="shared" ref="B191:V191" si="65">(C190+B190)*(C189-B189)/2</f>
        <v>0.75924000000000014</v>
      </c>
      <c r="C191" s="375">
        <f t="shared" si="65"/>
        <v>0.88039599999999996</v>
      </c>
      <c r="D191" s="375">
        <f t="shared" si="65"/>
        <v>2.3961294999999998</v>
      </c>
      <c r="E191" s="375">
        <f t="shared" si="65"/>
        <v>3.9627500000000011</v>
      </c>
      <c r="F191" s="375">
        <f t="shared" si="65"/>
        <v>61.480612000000015</v>
      </c>
      <c r="G191" s="375">
        <f t="shared" si="65"/>
        <v>4.4150699999999956</v>
      </c>
      <c r="H191" s="375">
        <f t="shared" si="65"/>
        <v>0.88200000000000078</v>
      </c>
      <c r="I191" s="375">
        <f t="shared" si="65"/>
        <v>0.40310400000000035</v>
      </c>
      <c r="J191" s="375">
        <f>(K190+J190)*(K189-J189)/2</f>
        <v>7.5082499999999885E-2</v>
      </c>
      <c r="K191" s="375">
        <f t="shared" si="65"/>
        <v>0</v>
      </c>
      <c r="L191" s="375">
        <f t="shared" si="65"/>
        <v>0</v>
      </c>
      <c r="M191" s="375">
        <f t="shared" si="65"/>
        <v>0</v>
      </c>
      <c r="N191" s="375">
        <f t="shared" si="65"/>
        <v>0</v>
      </c>
      <c r="O191" s="375">
        <f t="shared" si="65"/>
        <v>0</v>
      </c>
      <c r="P191" s="375">
        <f t="shared" si="65"/>
        <v>0</v>
      </c>
      <c r="Q191" s="375">
        <f t="shared" si="65"/>
        <v>0</v>
      </c>
      <c r="R191" s="375">
        <f t="shared" si="65"/>
        <v>0</v>
      </c>
      <c r="S191" s="375">
        <f>(T190+S190)*(T189-S189)/2</f>
        <v>0</v>
      </c>
      <c r="T191" s="375">
        <f t="shared" si="65"/>
        <v>0</v>
      </c>
      <c r="U191" s="375">
        <f t="shared" si="65"/>
        <v>0</v>
      </c>
      <c r="V191" s="375">
        <f t="shared" si="65"/>
        <v>0</v>
      </c>
      <c r="W191" s="375">
        <f>(X190+W190)*(X189-W189)/2</f>
        <v>0</v>
      </c>
      <c r="X191" s="375">
        <f>(Y190+X190)*(Y189-X189)/2</f>
        <v>0</v>
      </c>
      <c r="Y191" s="369"/>
    </row>
    <row r="192" spans="1:26" ht="13.5" thickBot="1" x14ac:dyDescent="0.25">
      <c r="A192" s="6" t="s">
        <v>373</v>
      </c>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row>
    <row r="193" spans="1:26" ht="13.5" thickBot="1" x14ac:dyDescent="0.25">
      <c r="A193" s="361" t="s">
        <v>535</v>
      </c>
      <c r="B193" s="359">
        <f>ROW(A193)</f>
        <v>193</v>
      </c>
      <c r="C193" s="363" t="s">
        <v>115</v>
      </c>
      <c r="D193" s="353">
        <f>SUM(B196:Y196)</f>
        <v>141.04999999999998</v>
      </c>
      <c r="E193" s="363" t="s">
        <v>114</v>
      </c>
      <c r="F193" s="354">
        <f>D193/g/J193</f>
        <v>186.24592648930721</v>
      </c>
      <c r="G193" s="363" t="s">
        <v>56</v>
      </c>
      <c r="H193" s="64">
        <v>0.16189999999999999</v>
      </c>
      <c r="I193" s="363" t="s">
        <v>271</v>
      </c>
      <c r="J193" s="355">
        <f>H193-L193</f>
        <v>7.7199999999999991E-2</v>
      </c>
      <c r="K193" s="363" t="s">
        <v>272</v>
      </c>
      <c r="L193" s="64">
        <v>8.4699999999999998E-2</v>
      </c>
      <c r="M193" s="363" t="s">
        <v>57</v>
      </c>
      <c r="N193" s="65">
        <v>114</v>
      </c>
      <c r="O193" s="363" t="s">
        <v>59</v>
      </c>
      <c r="P193" s="65">
        <v>114</v>
      </c>
      <c r="Q193" s="363" t="s">
        <v>60</v>
      </c>
      <c r="R193" s="65">
        <v>228</v>
      </c>
      <c r="S193" s="363" t="s">
        <v>61</v>
      </c>
      <c r="T193" s="65">
        <v>24</v>
      </c>
      <c r="U193" s="363" t="s">
        <v>54</v>
      </c>
      <c r="V193" s="66" t="s">
        <v>119</v>
      </c>
      <c r="W193" s="463" t="s">
        <v>394</v>
      </c>
      <c r="X193" s="465">
        <v>0.96</v>
      </c>
      <c r="Y193" s="463" t="s">
        <v>393</v>
      </c>
      <c r="Z193" s="358">
        <v>15</v>
      </c>
    </row>
    <row r="194" spans="1:26" x14ac:dyDescent="0.2">
      <c r="A194" s="362" t="s">
        <v>33</v>
      </c>
      <c r="B194" s="370">
        <v>0</v>
      </c>
      <c r="C194" s="371">
        <v>0.02</v>
      </c>
      <c r="D194" s="371">
        <v>0.03</v>
      </c>
      <c r="E194" s="371">
        <v>0.05</v>
      </c>
      <c r="F194" s="371">
        <v>0.6</v>
      </c>
      <c r="G194" s="371">
        <v>0.67</v>
      </c>
      <c r="H194" s="371">
        <v>0.7</v>
      </c>
      <c r="I194" s="371">
        <v>0.8</v>
      </c>
      <c r="J194" s="371">
        <v>0.9</v>
      </c>
      <c r="K194" s="371">
        <v>1.05</v>
      </c>
      <c r="L194" s="371">
        <f t="shared" ref="L194:W194" si="66">K194</f>
        <v>1.05</v>
      </c>
      <c r="M194" s="371">
        <f t="shared" si="66"/>
        <v>1.05</v>
      </c>
      <c r="N194" s="371">
        <f t="shared" si="66"/>
        <v>1.05</v>
      </c>
      <c r="O194" s="371">
        <f t="shared" si="66"/>
        <v>1.05</v>
      </c>
      <c r="P194" s="371">
        <f t="shared" si="66"/>
        <v>1.05</v>
      </c>
      <c r="Q194" s="371">
        <f t="shared" si="66"/>
        <v>1.05</v>
      </c>
      <c r="R194" s="371">
        <f t="shared" si="66"/>
        <v>1.05</v>
      </c>
      <c r="S194" s="371">
        <f t="shared" si="66"/>
        <v>1.05</v>
      </c>
      <c r="T194" s="371">
        <f t="shared" si="66"/>
        <v>1.05</v>
      </c>
      <c r="U194" s="371">
        <f t="shared" si="66"/>
        <v>1.05</v>
      </c>
      <c r="V194" s="371">
        <f t="shared" si="66"/>
        <v>1.05</v>
      </c>
      <c r="W194" s="371">
        <f t="shared" si="66"/>
        <v>1.05</v>
      </c>
      <c r="X194" s="371">
        <v>2</v>
      </c>
      <c r="Y194" s="381">
        <v>1000</v>
      </c>
    </row>
    <row r="195" spans="1:26" x14ac:dyDescent="0.2">
      <c r="A195" s="378" t="s">
        <v>34</v>
      </c>
      <c r="B195" s="372">
        <v>0</v>
      </c>
      <c r="C195" s="373">
        <v>350</v>
      </c>
      <c r="D195" s="373">
        <v>250</v>
      </c>
      <c r="E195" s="373">
        <v>210</v>
      </c>
      <c r="F195" s="373">
        <v>150</v>
      </c>
      <c r="G195" s="373">
        <v>140</v>
      </c>
      <c r="H195" s="373">
        <v>130</v>
      </c>
      <c r="I195" s="373">
        <v>65</v>
      </c>
      <c r="J195" s="373">
        <v>30</v>
      </c>
      <c r="K195" s="373">
        <v>0</v>
      </c>
      <c r="L195" s="373">
        <v>0</v>
      </c>
      <c r="M195" s="373">
        <v>0</v>
      </c>
      <c r="N195" s="373">
        <v>0</v>
      </c>
      <c r="O195" s="373">
        <v>0</v>
      </c>
      <c r="P195" s="373">
        <v>0</v>
      </c>
      <c r="Q195" s="373">
        <v>0</v>
      </c>
      <c r="R195" s="373">
        <v>0</v>
      </c>
      <c r="S195" s="373">
        <f t="shared" ref="S195:X195" si="67">R195</f>
        <v>0</v>
      </c>
      <c r="T195" s="373">
        <f t="shared" si="67"/>
        <v>0</v>
      </c>
      <c r="U195" s="373">
        <f t="shared" si="67"/>
        <v>0</v>
      </c>
      <c r="V195" s="373">
        <f t="shared" si="67"/>
        <v>0</v>
      </c>
      <c r="W195" s="373">
        <f t="shared" si="67"/>
        <v>0</v>
      </c>
      <c r="X195" s="373">
        <f t="shared" si="67"/>
        <v>0</v>
      </c>
      <c r="Y195" s="382">
        <v>0</v>
      </c>
    </row>
    <row r="196" spans="1:26" ht="13.5" thickBot="1" x14ac:dyDescent="0.25">
      <c r="A196" s="379" t="s">
        <v>116</v>
      </c>
      <c r="B196" s="374">
        <f t="shared" ref="B196:X196" si="68">(C195+B195)*(C194-B194)/2</f>
        <v>3.5</v>
      </c>
      <c r="C196" s="375">
        <f t="shared" si="68"/>
        <v>2.9999999999999996</v>
      </c>
      <c r="D196" s="375">
        <f t="shared" si="68"/>
        <v>4.6000000000000005</v>
      </c>
      <c r="E196" s="375">
        <f t="shared" si="68"/>
        <v>98.999999999999986</v>
      </c>
      <c r="F196" s="375">
        <f t="shared" si="68"/>
        <v>10.150000000000009</v>
      </c>
      <c r="G196" s="375">
        <f t="shared" si="68"/>
        <v>4.0499999999999883</v>
      </c>
      <c r="H196" s="375">
        <f t="shared" si="68"/>
        <v>9.7500000000000089</v>
      </c>
      <c r="I196" s="375">
        <f t="shared" si="68"/>
        <v>4.7499999999999991</v>
      </c>
      <c r="J196" s="375">
        <f t="shared" si="68"/>
        <v>2.2500000000000004</v>
      </c>
      <c r="K196" s="375">
        <f t="shared" si="68"/>
        <v>0</v>
      </c>
      <c r="L196" s="375">
        <f t="shared" si="68"/>
        <v>0</v>
      </c>
      <c r="M196" s="375">
        <f t="shared" si="68"/>
        <v>0</v>
      </c>
      <c r="N196" s="375">
        <f t="shared" si="68"/>
        <v>0</v>
      </c>
      <c r="O196" s="375">
        <f t="shared" si="68"/>
        <v>0</v>
      </c>
      <c r="P196" s="375">
        <f t="shared" si="68"/>
        <v>0</v>
      </c>
      <c r="Q196" s="375">
        <f t="shared" si="68"/>
        <v>0</v>
      </c>
      <c r="R196" s="375">
        <f t="shared" si="68"/>
        <v>0</v>
      </c>
      <c r="S196" s="375">
        <f t="shared" si="68"/>
        <v>0</v>
      </c>
      <c r="T196" s="375">
        <f t="shared" si="68"/>
        <v>0</v>
      </c>
      <c r="U196" s="375">
        <f t="shared" si="68"/>
        <v>0</v>
      </c>
      <c r="V196" s="375">
        <f t="shared" si="68"/>
        <v>0</v>
      </c>
      <c r="W196" s="375">
        <f t="shared" si="68"/>
        <v>0</v>
      </c>
      <c r="X196" s="375">
        <f t="shared" si="68"/>
        <v>0</v>
      </c>
      <c r="Y196" s="369"/>
    </row>
    <row r="197" spans="1:26" ht="13.5" thickBot="1" x14ac:dyDescent="0.25">
      <c r="A197" s="12" t="s">
        <v>544</v>
      </c>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row>
    <row r="198" spans="1:26" ht="13.5" thickBot="1" x14ac:dyDescent="0.25">
      <c r="A198" s="361" t="s">
        <v>547</v>
      </c>
      <c r="B198" s="359">
        <f>ROW(A198)</f>
        <v>198</v>
      </c>
      <c r="C198" s="363" t="s">
        <v>115</v>
      </c>
      <c r="D198" s="353">
        <f>SUM(B201:Y201)</f>
        <v>142.44</v>
      </c>
      <c r="E198" s="363" t="s">
        <v>114</v>
      </c>
      <c r="F198" s="354">
        <f>D198/g/J198</f>
        <v>192.06187401906058</v>
      </c>
      <c r="G198" s="363" t="s">
        <v>56</v>
      </c>
      <c r="H198" s="64">
        <v>0.15989999999999999</v>
      </c>
      <c r="I198" s="363" t="s">
        <v>271</v>
      </c>
      <c r="J198" s="355">
        <f>H198-L198</f>
        <v>7.5599999999999987E-2</v>
      </c>
      <c r="K198" s="363" t="s">
        <v>272</v>
      </c>
      <c r="L198" s="64">
        <v>8.43E-2</v>
      </c>
      <c r="M198" s="363" t="s">
        <v>57</v>
      </c>
      <c r="N198" s="65">
        <v>114</v>
      </c>
      <c r="O198" s="363" t="s">
        <v>59</v>
      </c>
      <c r="P198" s="65">
        <v>114</v>
      </c>
      <c r="Q198" s="363" t="s">
        <v>60</v>
      </c>
      <c r="R198" s="65">
        <v>228</v>
      </c>
      <c r="S198" s="363" t="s">
        <v>61</v>
      </c>
      <c r="T198" s="65">
        <v>24</v>
      </c>
      <c r="U198" s="363" t="s">
        <v>54</v>
      </c>
      <c r="V198" s="66" t="s">
        <v>401</v>
      </c>
      <c r="W198" s="463" t="s">
        <v>394</v>
      </c>
      <c r="X198" s="465">
        <v>0.97</v>
      </c>
      <c r="Y198" s="463" t="s">
        <v>393</v>
      </c>
      <c r="Z198" s="358">
        <v>13</v>
      </c>
    </row>
    <row r="199" spans="1:26" x14ac:dyDescent="0.2">
      <c r="A199" s="362" t="s">
        <v>33</v>
      </c>
      <c r="B199" s="370">
        <v>0</v>
      </c>
      <c r="C199" s="371">
        <v>0.02</v>
      </c>
      <c r="D199" s="371">
        <v>0.04</v>
      </c>
      <c r="E199" s="371">
        <v>0.62</v>
      </c>
      <c r="F199" s="371">
        <v>0.66</v>
      </c>
      <c r="G199" s="371">
        <v>0.68</v>
      </c>
      <c r="H199" s="371">
        <v>0.8</v>
      </c>
      <c r="I199" s="371">
        <v>0.84</v>
      </c>
      <c r="J199" s="371">
        <v>0.88</v>
      </c>
      <c r="K199" s="371">
        <v>0.92</v>
      </c>
      <c r="L199" s="371">
        <v>0.96</v>
      </c>
      <c r="M199" s="371">
        <v>1</v>
      </c>
      <c r="N199" s="371">
        <v>1.08</v>
      </c>
      <c r="O199" s="371">
        <v>2</v>
      </c>
      <c r="P199" s="371">
        <v>2</v>
      </c>
      <c r="Q199" s="371">
        <v>2</v>
      </c>
      <c r="R199" s="371">
        <v>2</v>
      </c>
      <c r="S199" s="371">
        <f t="shared" ref="S199:X200" si="69">R199</f>
        <v>2</v>
      </c>
      <c r="T199" s="371">
        <f t="shared" si="69"/>
        <v>2</v>
      </c>
      <c r="U199" s="371">
        <f t="shared" si="69"/>
        <v>2</v>
      </c>
      <c r="V199" s="371">
        <f t="shared" si="69"/>
        <v>2</v>
      </c>
      <c r="W199" s="371">
        <f t="shared" si="69"/>
        <v>2</v>
      </c>
      <c r="X199" s="371">
        <f t="shared" si="69"/>
        <v>2</v>
      </c>
      <c r="Y199" s="381">
        <v>1000</v>
      </c>
    </row>
    <row r="200" spans="1:26" x14ac:dyDescent="0.2">
      <c r="A200" s="378" t="s">
        <v>34</v>
      </c>
      <c r="B200" s="372">
        <v>0</v>
      </c>
      <c r="C200" s="373">
        <v>250</v>
      </c>
      <c r="D200" s="373">
        <v>210</v>
      </c>
      <c r="E200" s="373">
        <v>160</v>
      </c>
      <c r="F200" s="373">
        <v>150</v>
      </c>
      <c r="G200" s="373">
        <v>142</v>
      </c>
      <c r="H200" s="373">
        <v>62</v>
      </c>
      <c r="I200" s="373">
        <v>48</v>
      </c>
      <c r="J200" s="373">
        <v>34</v>
      </c>
      <c r="K200" s="373">
        <v>24</v>
      </c>
      <c r="L200" s="373">
        <v>15</v>
      </c>
      <c r="M200" s="373">
        <v>10</v>
      </c>
      <c r="N200" s="373">
        <v>0</v>
      </c>
      <c r="O200" s="373">
        <v>0</v>
      </c>
      <c r="P200" s="373">
        <v>0</v>
      </c>
      <c r="Q200" s="373">
        <v>0</v>
      </c>
      <c r="R200" s="373">
        <v>0</v>
      </c>
      <c r="S200" s="373">
        <f t="shared" si="69"/>
        <v>0</v>
      </c>
      <c r="T200" s="373">
        <f t="shared" si="69"/>
        <v>0</v>
      </c>
      <c r="U200" s="373">
        <f t="shared" si="69"/>
        <v>0</v>
      </c>
      <c r="V200" s="373">
        <f t="shared" si="69"/>
        <v>0</v>
      </c>
      <c r="W200" s="373">
        <f t="shared" si="69"/>
        <v>0</v>
      </c>
      <c r="X200" s="373">
        <f t="shared" si="69"/>
        <v>0</v>
      </c>
      <c r="Y200" s="382">
        <v>0</v>
      </c>
    </row>
    <row r="201" spans="1:26" ht="13.5" thickBot="1" x14ac:dyDescent="0.25">
      <c r="A201" s="379" t="s">
        <v>116</v>
      </c>
      <c r="B201" s="374">
        <f t="shared" ref="B201:X201" si="70">(C200+B200)*(C199-B199)/2</f>
        <v>2.5</v>
      </c>
      <c r="C201" s="375">
        <f t="shared" si="70"/>
        <v>4.6000000000000005</v>
      </c>
      <c r="D201" s="375">
        <f t="shared" si="70"/>
        <v>107.3</v>
      </c>
      <c r="E201" s="375">
        <f t="shared" si="70"/>
        <v>6.2000000000000055</v>
      </c>
      <c r="F201" s="375">
        <f t="shared" si="70"/>
        <v>2.9200000000000026</v>
      </c>
      <c r="G201" s="375">
        <f t="shared" si="70"/>
        <v>12.24</v>
      </c>
      <c r="H201" s="375">
        <f t="shared" si="70"/>
        <v>2.1999999999999957</v>
      </c>
      <c r="I201" s="375">
        <f t="shared" si="70"/>
        <v>1.6400000000000015</v>
      </c>
      <c r="J201" s="375">
        <f t="shared" si="70"/>
        <v>1.160000000000001</v>
      </c>
      <c r="K201" s="375">
        <f t="shared" si="70"/>
        <v>0.77999999999999847</v>
      </c>
      <c r="L201" s="375">
        <f t="shared" si="70"/>
        <v>0.50000000000000044</v>
      </c>
      <c r="M201" s="375">
        <f t="shared" si="70"/>
        <v>0.40000000000000036</v>
      </c>
      <c r="N201" s="375">
        <f t="shared" si="70"/>
        <v>0</v>
      </c>
      <c r="O201" s="375">
        <f t="shared" si="70"/>
        <v>0</v>
      </c>
      <c r="P201" s="375">
        <f t="shared" si="70"/>
        <v>0</v>
      </c>
      <c r="Q201" s="375">
        <f t="shared" si="70"/>
        <v>0</v>
      </c>
      <c r="R201" s="375">
        <f t="shared" si="70"/>
        <v>0</v>
      </c>
      <c r="S201" s="375">
        <f t="shared" si="70"/>
        <v>0</v>
      </c>
      <c r="T201" s="375">
        <f t="shared" si="70"/>
        <v>0</v>
      </c>
      <c r="U201" s="375">
        <f t="shared" si="70"/>
        <v>0</v>
      </c>
      <c r="V201" s="375">
        <f t="shared" si="70"/>
        <v>0</v>
      </c>
      <c r="W201" s="375">
        <f t="shared" si="70"/>
        <v>0</v>
      </c>
      <c r="X201" s="375">
        <f t="shared" si="70"/>
        <v>0</v>
      </c>
      <c r="Y201" s="369"/>
    </row>
    <row r="202" spans="1:26" ht="13.5" thickBot="1" x14ac:dyDescent="0.25">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row>
    <row r="203" spans="1:26" ht="13.5" thickBot="1" x14ac:dyDescent="0.25">
      <c r="A203" s="361" t="s">
        <v>537</v>
      </c>
      <c r="B203" s="359">
        <f>ROW(A203)</f>
        <v>203</v>
      </c>
      <c r="C203" s="363" t="s">
        <v>115</v>
      </c>
      <c r="D203" s="353">
        <f>SUM(B206:Y206)</f>
        <v>143.08845000000002</v>
      </c>
      <c r="E203" s="363" t="s">
        <v>114</v>
      </c>
      <c r="F203" s="354">
        <f>D203/g/J203</f>
        <v>168.23504721190514</v>
      </c>
      <c r="G203" s="363" t="s">
        <v>56</v>
      </c>
      <c r="H203" s="64">
        <v>0.17249999999999999</v>
      </c>
      <c r="I203" s="363" t="s">
        <v>271</v>
      </c>
      <c r="J203" s="355">
        <f>H203-L203</f>
        <v>8.6699999999999985E-2</v>
      </c>
      <c r="K203" s="363" t="s">
        <v>272</v>
      </c>
      <c r="L203" s="64">
        <v>8.5800000000000001E-2</v>
      </c>
      <c r="M203" s="363" t="s">
        <v>57</v>
      </c>
      <c r="N203" s="65">
        <v>114</v>
      </c>
      <c r="O203" s="363" t="s">
        <v>59</v>
      </c>
      <c r="P203" s="65">
        <v>114</v>
      </c>
      <c r="Q203" s="363" t="s">
        <v>60</v>
      </c>
      <c r="R203" s="65">
        <v>228</v>
      </c>
      <c r="S203" s="363" t="s">
        <v>61</v>
      </c>
      <c r="T203" s="65">
        <v>24</v>
      </c>
      <c r="U203" s="363" t="s">
        <v>54</v>
      </c>
      <c r="V203" s="66" t="s">
        <v>119</v>
      </c>
      <c r="W203" s="463" t="s">
        <v>394</v>
      </c>
      <c r="X203" s="465">
        <v>0.97</v>
      </c>
      <c r="Y203" s="463" t="s">
        <v>393</v>
      </c>
      <c r="Z203" s="358">
        <v>11</v>
      </c>
    </row>
    <row r="204" spans="1:26" x14ac:dyDescent="0.2">
      <c r="A204" s="362" t="s">
        <v>33</v>
      </c>
      <c r="B204" s="370">
        <v>0</v>
      </c>
      <c r="C204" s="371">
        <v>8.0000000000000002E-3</v>
      </c>
      <c r="D204" s="371">
        <v>1.2999999999999999E-2</v>
      </c>
      <c r="E204" s="371">
        <v>2.1999999999999999E-2</v>
      </c>
      <c r="F204" s="371">
        <v>3.5000000000000003E-2</v>
      </c>
      <c r="G204" s="371">
        <v>6.3E-2</v>
      </c>
      <c r="H204" s="371">
        <v>0.10299999999999999</v>
      </c>
      <c r="I204" s="371">
        <v>0.19600000000000001</v>
      </c>
      <c r="J204" s="371">
        <v>0.311</v>
      </c>
      <c r="K204" s="371">
        <v>0.47399999999999998</v>
      </c>
      <c r="L204" s="371">
        <v>0.56399999999999995</v>
      </c>
      <c r="M204" s="371">
        <v>0.76200000000000001</v>
      </c>
      <c r="N204" s="371">
        <v>0.85799999999999998</v>
      </c>
      <c r="O204" s="371">
        <v>0.92800000000000005</v>
      </c>
      <c r="P204" s="371">
        <v>1.038</v>
      </c>
      <c r="Q204" s="371">
        <v>1.08</v>
      </c>
      <c r="R204" s="371">
        <v>1.131</v>
      </c>
      <c r="S204" s="371">
        <v>1.1850000000000001</v>
      </c>
      <c r="T204" s="371">
        <v>1.224</v>
      </c>
      <c r="U204" s="371">
        <v>1.258</v>
      </c>
      <c r="V204" s="371">
        <v>1.4</v>
      </c>
      <c r="W204" s="371">
        <v>1.4410000000000001</v>
      </c>
      <c r="X204" s="371">
        <v>2</v>
      </c>
      <c r="Y204" s="381">
        <v>1000</v>
      </c>
    </row>
    <row r="205" spans="1:26" x14ac:dyDescent="0.2">
      <c r="A205" s="378" t="s">
        <v>34</v>
      </c>
      <c r="B205" s="372">
        <v>0</v>
      </c>
      <c r="C205" s="373">
        <v>168.643</v>
      </c>
      <c r="D205" s="373">
        <v>177.339</v>
      </c>
      <c r="E205" s="373">
        <v>177.86600000000001</v>
      </c>
      <c r="F205" s="373">
        <v>171.27799999999999</v>
      </c>
      <c r="G205" s="373">
        <v>157.839</v>
      </c>
      <c r="H205" s="373">
        <v>154.941</v>
      </c>
      <c r="I205" s="373">
        <v>148.88</v>
      </c>
      <c r="J205" s="373">
        <v>144.137</v>
      </c>
      <c r="K205" s="373">
        <v>138.07599999999999</v>
      </c>
      <c r="L205" s="373">
        <v>135.70500000000001</v>
      </c>
      <c r="M205" s="373">
        <v>125.955</v>
      </c>
      <c r="N205" s="373">
        <v>116.733</v>
      </c>
      <c r="O205" s="373">
        <v>101.71299999999999</v>
      </c>
      <c r="P205" s="373">
        <v>57.444000000000003</v>
      </c>
      <c r="Q205" s="373">
        <v>42.688000000000002</v>
      </c>
      <c r="R205" s="373">
        <v>31.884</v>
      </c>
      <c r="S205" s="373">
        <v>17.655000000000001</v>
      </c>
      <c r="T205" s="373">
        <v>9.4860000000000007</v>
      </c>
      <c r="U205" s="373">
        <v>5.27</v>
      </c>
      <c r="V205" s="373">
        <v>0.79100000000000004</v>
      </c>
      <c r="W205" s="373">
        <v>0</v>
      </c>
      <c r="X205" s="373">
        <f>W205</f>
        <v>0</v>
      </c>
      <c r="Y205" s="382">
        <v>0</v>
      </c>
    </row>
    <row r="206" spans="1:26" ht="13.5" thickBot="1" x14ac:dyDescent="0.25">
      <c r="A206" s="379" t="s">
        <v>116</v>
      </c>
      <c r="B206" s="374">
        <f t="shared" ref="B206:X206" si="71">(C205+B205)*(C204-B204)/2</f>
        <v>0.67457200000000006</v>
      </c>
      <c r="C206" s="375">
        <f t="shared" si="71"/>
        <v>0.86495499999999981</v>
      </c>
      <c r="D206" s="375">
        <f t="shared" si="71"/>
        <v>1.5984225000000001</v>
      </c>
      <c r="E206" s="375">
        <f t="shared" si="71"/>
        <v>2.2694360000000007</v>
      </c>
      <c r="F206" s="375">
        <f t="shared" si="71"/>
        <v>4.6076379999999988</v>
      </c>
      <c r="G206" s="375">
        <f t="shared" si="71"/>
        <v>6.2555999999999985</v>
      </c>
      <c r="H206" s="375">
        <f t="shared" si="71"/>
        <v>14.127676500000003</v>
      </c>
      <c r="I206" s="375">
        <f t="shared" si="71"/>
        <v>16.848477499999998</v>
      </c>
      <c r="J206" s="375">
        <f t="shared" si="71"/>
        <v>23.000359499999995</v>
      </c>
      <c r="K206" s="375">
        <f t="shared" si="71"/>
        <v>12.320144999999997</v>
      </c>
      <c r="L206" s="375">
        <f t="shared" si="71"/>
        <v>25.904340000000012</v>
      </c>
      <c r="M206" s="375">
        <f t="shared" si="71"/>
        <v>11.649023999999997</v>
      </c>
      <c r="N206" s="375">
        <f t="shared" si="71"/>
        <v>7.6456100000000067</v>
      </c>
      <c r="O206" s="375">
        <f t="shared" si="71"/>
        <v>8.7536349999999974</v>
      </c>
      <c r="P206" s="375">
        <f t="shared" si="71"/>
        <v>2.1027720000000021</v>
      </c>
      <c r="Q206" s="375">
        <f t="shared" si="71"/>
        <v>1.9015859999999976</v>
      </c>
      <c r="R206" s="375">
        <f t="shared" si="71"/>
        <v>1.3375530000000013</v>
      </c>
      <c r="S206" s="375">
        <f t="shared" si="71"/>
        <v>0.52924949999999904</v>
      </c>
      <c r="T206" s="375">
        <f t="shared" si="71"/>
        <v>0.25085200000000024</v>
      </c>
      <c r="U206" s="375">
        <f t="shared" si="71"/>
        <v>0.43033099999999969</v>
      </c>
      <c r="V206" s="375">
        <f t="shared" si="71"/>
        <v>1.621550000000006E-2</v>
      </c>
      <c r="W206" s="375">
        <f t="shared" si="71"/>
        <v>0</v>
      </c>
      <c r="X206" s="375">
        <f t="shared" si="71"/>
        <v>0</v>
      </c>
      <c r="Y206" s="369"/>
    </row>
    <row r="207" spans="1:26" ht="13.5" thickBot="1" x14ac:dyDescent="0.25">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row>
    <row r="208" spans="1:26" ht="13.5" thickBot="1" x14ac:dyDescent="0.25">
      <c r="A208" s="361" t="s">
        <v>536</v>
      </c>
      <c r="B208" s="359">
        <f>ROW(A208)</f>
        <v>208</v>
      </c>
      <c r="C208" s="363" t="s">
        <v>115</v>
      </c>
      <c r="D208" s="353">
        <f>SUM(B211:Y211)</f>
        <v>139.423417</v>
      </c>
      <c r="E208" s="363" t="s">
        <v>114</v>
      </c>
      <c r="F208" s="354">
        <f>D208/g/J208</f>
        <v>158.62027745922524</v>
      </c>
      <c r="G208" s="363" t="s">
        <v>56</v>
      </c>
      <c r="H208" s="64">
        <v>0.19450000000000001</v>
      </c>
      <c r="I208" s="363" t="s">
        <v>271</v>
      </c>
      <c r="J208" s="355">
        <f>H208-L208</f>
        <v>8.9600000000000013E-2</v>
      </c>
      <c r="K208" s="363" t="s">
        <v>272</v>
      </c>
      <c r="L208" s="64">
        <v>0.10489999999999999</v>
      </c>
      <c r="M208" s="363" t="s">
        <v>57</v>
      </c>
      <c r="N208" s="65">
        <v>114</v>
      </c>
      <c r="O208" s="363" t="s">
        <v>59</v>
      </c>
      <c r="P208" s="65">
        <v>144</v>
      </c>
      <c r="Q208" s="363" t="s">
        <v>60</v>
      </c>
      <c r="R208" s="65">
        <v>228</v>
      </c>
      <c r="S208" s="363" t="s">
        <v>61</v>
      </c>
      <c r="T208" s="65">
        <v>24</v>
      </c>
      <c r="U208" s="363" t="s">
        <v>54</v>
      </c>
      <c r="V208" s="66" t="s">
        <v>119</v>
      </c>
      <c r="W208" s="463" t="s">
        <v>394</v>
      </c>
      <c r="X208" s="465">
        <v>1.3</v>
      </c>
      <c r="Y208" s="463" t="s">
        <v>393</v>
      </c>
      <c r="Z208" s="358">
        <v>12</v>
      </c>
    </row>
    <row r="209" spans="1:26" x14ac:dyDescent="0.2">
      <c r="A209" s="362" t="s">
        <v>33</v>
      </c>
      <c r="B209" s="370">
        <v>0</v>
      </c>
      <c r="C209" s="371">
        <v>1.0999999999999999E-2</v>
      </c>
      <c r="D209" s="371">
        <v>2.1999999999999999E-2</v>
      </c>
      <c r="E209" s="371">
        <v>4.5999999999999999E-2</v>
      </c>
      <c r="F209" s="371">
        <v>8.1000000000000003E-2</v>
      </c>
      <c r="G209" s="371">
        <v>0.219</v>
      </c>
      <c r="H209" s="371">
        <v>0.253</v>
      </c>
      <c r="I209" s="371">
        <v>0.27400000000000002</v>
      </c>
      <c r="J209" s="371">
        <v>0.30499999999999999</v>
      </c>
      <c r="K209" s="371">
        <v>0.41199999999999998</v>
      </c>
      <c r="L209" s="371">
        <v>0.78900000000000003</v>
      </c>
      <c r="M209" s="371">
        <v>0.89900000000000002</v>
      </c>
      <c r="N209" s="371">
        <v>0.95299999999999996</v>
      </c>
      <c r="O209" s="371">
        <v>0.999</v>
      </c>
      <c r="P209" s="371">
        <v>1.03</v>
      </c>
      <c r="Q209" s="371">
        <v>1.0569999999999999</v>
      </c>
      <c r="R209" s="371">
        <v>1.1020000000000001</v>
      </c>
      <c r="S209" s="371">
        <v>1.1539999999999999</v>
      </c>
      <c r="T209" s="371">
        <v>1.1970000000000001</v>
      </c>
      <c r="U209" s="371">
        <v>1.2769999999999999</v>
      </c>
      <c r="V209" s="371">
        <v>1.335</v>
      </c>
      <c r="W209" s="371">
        <v>1.4510000000000001</v>
      </c>
      <c r="X209" s="371">
        <v>2</v>
      </c>
      <c r="Y209" s="381">
        <v>1000</v>
      </c>
    </row>
    <row r="210" spans="1:26" x14ac:dyDescent="0.2">
      <c r="A210" s="378" t="s">
        <v>34</v>
      </c>
      <c r="B210" s="372">
        <v>0</v>
      </c>
      <c r="C210" s="373">
        <v>198.41800000000001</v>
      </c>
      <c r="D210" s="373">
        <v>221.83500000000001</v>
      </c>
      <c r="E210" s="373">
        <v>212.65799999999999</v>
      </c>
      <c r="F210" s="373">
        <v>218.35400000000001</v>
      </c>
      <c r="G210" s="373">
        <v>204.43</v>
      </c>
      <c r="H210" s="373">
        <v>195.886</v>
      </c>
      <c r="I210" s="373">
        <v>183.54400000000001</v>
      </c>
      <c r="J210" s="373">
        <v>88.290999999999997</v>
      </c>
      <c r="K210" s="373">
        <v>93.671000000000006</v>
      </c>
      <c r="L210" s="373">
        <v>93.986999999999995</v>
      </c>
      <c r="M210" s="373">
        <v>91.138999999999996</v>
      </c>
      <c r="N210" s="373">
        <v>89.873000000000005</v>
      </c>
      <c r="O210" s="373">
        <v>87.025000000000006</v>
      </c>
      <c r="P210" s="373">
        <v>81.328999999999994</v>
      </c>
      <c r="Q210" s="373">
        <v>69.936999999999998</v>
      </c>
      <c r="R210" s="373">
        <v>54.113999999999997</v>
      </c>
      <c r="S210" s="373">
        <v>42.405000000000001</v>
      </c>
      <c r="T210" s="373">
        <v>31.646000000000001</v>
      </c>
      <c r="U210" s="373">
        <v>17.088999999999999</v>
      </c>
      <c r="V210" s="373">
        <v>9.81</v>
      </c>
      <c r="W210" s="373">
        <v>0</v>
      </c>
      <c r="X210" s="373">
        <v>0</v>
      </c>
      <c r="Y210" s="382">
        <v>0</v>
      </c>
    </row>
    <row r="211" spans="1:26" ht="13.5" thickBot="1" x14ac:dyDescent="0.25">
      <c r="A211" s="379" t="s">
        <v>116</v>
      </c>
      <c r="B211" s="374">
        <f t="shared" ref="B211:X211" si="72">(C210+B210)*(C209-B209)/2</f>
        <v>1.091299</v>
      </c>
      <c r="C211" s="375">
        <f t="shared" si="72"/>
        <v>2.3113915</v>
      </c>
      <c r="D211" s="375">
        <f t="shared" si="72"/>
        <v>5.2139160000000002</v>
      </c>
      <c r="E211" s="375">
        <f t="shared" si="72"/>
        <v>7.5427100000000005</v>
      </c>
      <c r="F211" s="375">
        <f t="shared" si="72"/>
        <v>29.172096000000003</v>
      </c>
      <c r="G211" s="375">
        <f t="shared" si="72"/>
        <v>6.8053720000000011</v>
      </c>
      <c r="H211" s="375">
        <f t="shared" si="72"/>
        <v>3.9840150000000034</v>
      </c>
      <c r="I211" s="375">
        <f t="shared" si="72"/>
        <v>4.2134424999999966</v>
      </c>
      <c r="J211" s="375">
        <f t="shared" si="72"/>
        <v>9.7349669999999975</v>
      </c>
      <c r="K211" s="375">
        <f t="shared" si="72"/>
        <v>35.373533000000009</v>
      </c>
      <c r="L211" s="375">
        <f t="shared" si="72"/>
        <v>10.181929999999998</v>
      </c>
      <c r="M211" s="375">
        <f t="shared" si="72"/>
        <v>4.8873239999999942</v>
      </c>
      <c r="N211" s="375">
        <f t="shared" si="72"/>
        <v>4.068654000000004</v>
      </c>
      <c r="O211" s="375">
        <f t="shared" si="72"/>
        <v>2.6094870000000019</v>
      </c>
      <c r="P211" s="375">
        <f t="shared" si="72"/>
        <v>2.0420909999999934</v>
      </c>
      <c r="Q211" s="375">
        <f t="shared" si="72"/>
        <v>2.791147500000009</v>
      </c>
      <c r="R211" s="375">
        <f t="shared" si="72"/>
        <v>2.5094939999999917</v>
      </c>
      <c r="S211" s="375">
        <f t="shared" si="72"/>
        <v>1.5920965000000056</v>
      </c>
      <c r="T211" s="375">
        <f t="shared" si="72"/>
        <v>1.9493999999999962</v>
      </c>
      <c r="U211" s="375">
        <f t="shared" si="72"/>
        <v>0.78007100000000074</v>
      </c>
      <c r="V211" s="375">
        <f t="shared" si="72"/>
        <v>0.56898000000000049</v>
      </c>
      <c r="W211" s="375">
        <f t="shared" si="72"/>
        <v>0</v>
      </c>
      <c r="X211" s="375">
        <f t="shared" si="72"/>
        <v>0</v>
      </c>
      <c r="Y211" s="369"/>
    </row>
    <row r="212" spans="1:26" ht="13.5" thickBot="1" x14ac:dyDescent="0.25">
      <c r="A212" s="6" t="s">
        <v>316</v>
      </c>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row>
    <row r="213" spans="1:26" ht="13.5" thickBot="1" x14ac:dyDescent="0.25">
      <c r="A213" s="361" t="s">
        <v>375</v>
      </c>
      <c r="B213" s="359">
        <f>ROW(A213)</f>
        <v>213</v>
      </c>
      <c r="C213" s="363" t="s">
        <v>115</v>
      </c>
      <c r="D213" s="353">
        <f>SUM(B216:Y216)</f>
        <v>82.798500000000018</v>
      </c>
      <c r="E213" s="363" t="s">
        <v>114</v>
      </c>
      <c r="F213" s="354">
        <f>D213/g/J213</f>
        <v>131.87834480122325</v>
      </c>
      <c r="G213" s="363" t="s">
        <v>56</v>
      </c>
      <c r="H213" s="64">
        <v>0.152</v>
      </c>
      <c r="I213" s="363" t="s">
        <v>271</v>
      </c>
      <c r="J213" s="355">
        <f>H213-L213</f>
        <v>6.4000000000000001E-2</v>
      </c>
      <c r="K213" s="363" t="s">
        <v>272</v>
      </c>
      <c r="L213" s="64">
        <v>8.7999999999999995E-2</v>
      </c>
      <c r="M213" s="363" t="s">
        <v>57</v>
      </c>
      <c r="N213" s="65">
        <v>71</v>
      </c>
      <c r="O213" s="363" t="s">
        <v>59</v>
      </c>
      <c r="P213" s="65">
        <v>71</v>
      </c>
      <c r="Q213" s="363" t="s">
        <v>60</v>
      </c>
      <c r="R213" s="65">
        <v>142</v>
      </c>
      <c r="S213" s="363" t="s">
        <v>61</v>
      </c>
      <c r="T213" s="65">
        <v>29</v>
      </c>
      <c r="U213" s="363" t="s">
        <v>54</v>
      </c>
      <c r="V213" s="66" t="s">
        <v>119</v>
      </c>
      <c r="W213" s="463" t="s">
        <v>394</v>
      </c>
      <c r="X213" s="465">
        <v>0.96</v>
      </c>
      <c r="Y213" s="463" t="s">
        <v>393</v>
      </c>
      <c r="Z213" s="358">
        <v>11</v>
      </c>
    </row>
    <row r="214" spans="1:26" x14ac:dyDescent="0.2">
      <c r="A214" s="362" t="s">
        <v>33</v>
      </c>
      <c r="B214" s="370">
        <v>0</v>
      </c>
      <c r="C214" s="371">
        <v>0.02</v>
      </c>
      <c r="D214" s="371">
        <v>0.03</v>
      </c>
      <c r="E214" s="371">
        <v>0.04</v>
      </c>
      <c r="F214" s="371">
        <v>0.06</v>
      </c>
      <c r="G214" s="371">
        <v>0.08</v>
      </c>
      <c r="H214" s="371">
        <v>0.15</v>
      </c>
      <c r="I214" s="371">
        <v>0.18</v>
      </c>
      <c r="J214" s="371">
        <v>0.2</v>
      </c>
      <c r="K214" s="371">
        <v>0.3</v>
      </c>
      <c r="L214" s="371">
        <v>0.4</v>
      </c>
      <c r="M214" s="371">
        <v>0.5</v>
      </c>
      <c r="N214" s="371">
        <v>0.6</v>
      </c>
      <c r="O214" s="371">
        <v>0.7</v>
      </c>
      <c r="P214" s="371">
        <v>0.82</v>
      </c>
      <c r="Q214" s="371">
        <v>0.93</v>
      </c>
      <c r="R214" s="371">
        <v>1</v>
      </c>
      <c r="S214" s="371">
        <f t="shared" ref="S214:X215" si="73">R214</f>
        <v>1</v>
      </c>
      <c r="T214" s="371">
        <f t="shared" si="73"/>
        <v>1</v>
      </c>
      <c r="U214" s="371">
        <f t="shared" si="73"/>
        <v>1</v>
      </c>
      <c r="V214" s="371">
        <f t="shared" si="73"/>
        <v>1</v>
      </c>
      <c r="W214" s="371">
        <f t="shared" si="73"/>
        <v>1</v>
      </c>
      <c r="X214" s="371">
        <v>2</v>
      </c>
      <c r="Y214" s="381">
        <v>1000</v>
      </c>
    </row>
    <row r="215" spans="1:26" x14ac:dyDescent="0.2">
      <c r="A215" s="378" t="s">
        <v>34</v>
      </c>
      <c r="B215" s="372">
        <v>0</v>
      </c>
      <c r="C215" s="373">
        <v>41.9</v>
      </c>
      <c r="D215" s="373">
        <v>92.1</v>
      </c>
      <c r="E215" s="373">
        <v>116.7</v>
      </c>
      <c r="F215" s="373">
        <v>112.7</v>
      </c>
      <c r="G215" s="373">
        <v>82.7</v>
      </c>
      <c r="H215" s="373">
        <v>84.7</v>
      </c>
      <c r="I215" s="373">
        <v>86.2</v>
      </c>
      <c r="J215" s="373">
        <v>87.9</v>
      </c>
      <c r="K215" s="373">
        <v>90.9</v>
      </c>
      <c r="L215" s="373">
        <v>93.9</v>
      </c>
      <c r="M215" s="373">
        <v>95.3</v>
      </c>
      <c r="N215" s="373">
        <v>96.8</v>
      </c>
      <c r="O215" s="373">
        <v>97.6</v>
      </c>
      <c r="P215" s="373">
        <v>108.2</v>
      </c>
      <c r="Q215" s="373">
        <v>11</v>
      </c>
      <c r="R215" s="373">
        <v>0</v>
      </c>
      <c r="S215" s="373">
        <f t="shared" si="73"/>
        <v>0</v>
      </c>
      <c r="T215" s="373">
        <f t="shared" si="73"/>
        <v>0</v>
      </c>
      <c r="U215" s="373">
        <f t="shared" si="73"/>
        <v>0</v>
      </c>
      <c r="V215" s="373">
        <f t="shared" si="73"/>
        <v>0</v>
      </c>
      <c r="W215" s="373">
        <f t="shared" si="73"/>
        <v>0</v>
      </c>
      <c r="X215" s="373">
        <f t="shared" si="73"/>
        <v>0</v>
      </c>
      <c r="Y215" s="382">
        <v>0</v>
      </c>
    </row>
    <row r="216" spans="1:26" ht="13.5" thickBot="1" x14ac:dyDescent="0.25">
      <c r="A216" s="379" t="s">
        <v>116</v>
      </c>
      <c r="B216" s="374">
        <f t="shared" ref="B216:V216" si="74">(C215+B215)*(C214-B214)/2</f>
        <v>0.41899999999999998</v>
      </c>
      <c r="C216" s="375">
        <f t="shared" si="74"/>
        <v>0.66999999999999993</v>
      </c>
      <c r="D216" s="375">
        <f t="shared" si="74"/>
        <v>1.0440000000000003</v>
      </c>
      <c r="E216" s="375">
        <f t="shared" si="74"/>
        <v>2.2939999999999996</v>
      </c>
      <c r="F216" s="375">
        <f t="shared" si="74"/>
        <v>1.9540000000000004</v>
      </c>
      <c r="G216" s="375">
        <f t="shared" si="74"/>
        <v>5.859</v>
      </c>
      <c r="H216" s="375">
        <f t="shared" si="74"/>
        <v>2.5634999999999999</v>
      </c>
      <c r="I216" s="375">
        <f t="shared" si="74"/>
        <v>1.7410000000000019</v>
      </c>
      <c r="J216" s="375">
        <f>(K215+J215)*(K214-J214)/2</f>
        <v>8.9399999999999977</v>
      </c>
      <c r="K216" s="375">
        <f t="shared" si="74"/>
        <v>9.2400000000000038</v>
      </c>
      <c r="L216" s="375">
        <f t="shared" si="74"/>
        <v>9.4599999999999973</v>
      </c>
      <c r="M216" s="375">
        <f t="shared" si="74"/>
        <v>9.6049999999999969</v>
      </c>
      <c r="N216" s="375">
        <f t="shared" si="74"/>
        <v>9.7199999999999971</v>
      </c>
      <c r="O216" s="375">
        <f t="shared" si="74"/>
        <v>12.348000000000001</v>
      </c>
      <c r="P216" s="375">
        <f t="shared" si="74"/>
        <v>6.5560000000000063</v>
      </c>
      <c r="Q216" s="375">
        <f t="shared" si="74"/>
        <v>0.38499999999999973</v>
      </c>
      <c r="R216" s="375">
        <f t="shared" si="74"/>
        <v>0</v>
      </c>
      <c r="S216" s="375">
        <f>(T215+S215)*(T214-S214)/2</f>
        <v>0</v>
      </c>
      <c r="T216" s="375">
        <f t="shared" si="74"/>
        <v>0</v>
      </c>
      <c r="U216" s="375">
        <f t="shared" si="74"/>
        <v>0</v>
      </c>
      <c r="V216" s="375">
        <f t="shared" si="74"/>
        <v>0</v>
      </c>
      <c r="W216" s="375">
        <f>(X215+W215)*(X214-W214)/2</f>
        <v>0</v>
      </c>
      <c r="X216" s="375">
        <f>(Y215+X215)*(Y214-X214)/2</f>
        <v>0</v>
      </c>
      <c r="Y216" s="369"/>
    </row>
    <row r="217" spans="1:26" ht="13.5" thickBot="1" x14ac:dyDescent="0.25">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row>
    <row r="218" spans="1:26" ht="13.5" thickBot="1" x14ac:dyDescent="0.25">
      <c r="A218" s="361" t="s">
        <v>376</v>
      </c>
      <c r="B218" s="359">
        <f>ROW(A218)</f>
        <v>218</v>
      </c>
      <c r="C218" s="363" t="s">
        <v>115</v>
      </c>
      <c r="D218" s="353">
        <f>SUM(B221:Y221)</f>
        <v>98.257101163036367</v>
      </c>
      <c r="E218" s="363" t="s">
        <v>114</v>
      </c>
      <c r="F218" s="354">
        <f>D218/g/J218</f>
        <v>177.58890761893778</v>
      </c>
      <c r="G218" s="363" t="s">
        <v>56</v>
      </c>
      <c r="H218" s="64">
        <v>0.14319999999999999</v>
      </c>
      <c r="I218" s="363" t="s">
        <v>271</v>
      </c>
      <c r="J218" s="355">
        <f>H218-L218</f>
        <v>5.6399999999999992E-2</v>
      </c>
      <c r="K218" s="363" t="s">
        <v>272</v>
      </c>
      <c r="L218" s="64">
        <v>8.6800000000000002E-2</v>
      </c>
      <c r="M218" s="363" t="s">
        <v>57</v>
      </c>
      <c r="N218" s="65">
        <v>71</v>
      </c>
      <c r="O218" s="363" t="s">
        <v>59</v>
      </c>
      <c r="P218" s="65">
        <v>71</v>
      </c>
      <c r="Q218" s="363" t="s">
        <v>60</v>
      </c>
      <c r="R218" s="65">
        <v>142</v>
      </c>
      <c r="S218" s="363" t="s">
        <v>61</v>
      </c>
      <c r="T218" s="65">
        <v>29</v>
      </c>
      <c r="U218" s="363" t="s">
        <v>54</v>
      </c>
      <c r="V218" s="66" t="s">
        <v>119</v>
      </c>
      <c r="W218" s="463" t="s">
        <v>394</v>
      </c>
      <c r="X218" s="465">
        <v>1.1499999999999999</v>
      </c>
      <c r="Y218" s="463" t="s">
        <v>393</v>
      </c>
      <c r="Z218" s="358">
        <v>14</v>
      </c>
    </row>
    <row r="219" spans="1:26" x14ac:dyDescent="0.2">
      <c r="A219" s="362" t="s">
        <v>33</v>
      </c>
      <c r="B219" s="370">
        <v>0</v>
      </c>
      <c r="C219" s="371">
        <v>1.4999999999999999E-2</v>
      </c>
      <c r="D219" s="371">
        <v>0.03</v>
      </c>
      <c r="E219" s="371">
        <v>4.4999999999999998E-2</v>
      </c>
      <c r="F219" s="371">
        <v>0.06</v>
      </c>
      <c r="G219" s="371">
        <v>7.4999999999999997E-2</v>
      </c>
      <c r="H219" s="371">
        <v>0.09</v>
      </c>
      <c r="I219" s="371">
        <v>0.105</v>
      </c>
      <c r="J219" s="371">
        <v>0.12</v>
      </c>
      <c r="K219" s="371">
        <v>0.18</v>
      </c>
      <c r="L219" s="371">
        <v>0.24</v>
      </c>
      <c r="M219" s="371">
        <v>0.3</v>
      </c>
      <c r="N219" s="371">
        <v>0.48</v>
      </c>
      <c r="O219" s="371">
        <v>0.6</v>
      </c>
      <c r="P219" s="371">
        <v>0.66</v>
      </c>
      <c r="Q219" s="371">
        <v>0.72</v>
      </c>
      <c r="R219" s="371">
        <v>0.78</v>
      </c>
      <c r="S219" s="371">
        <v>0.84</v>
      </c>
      <c r="T219" s="371">
        <v>0.9</v>
      </c>
      <c r="U219" s="371">
        <v>0.96</v>
      </c>
      <c r="V219" s="371">
        <v>1.0349999999999999</v>
      </c>
      <c r="W219" s="371">
        <v>1.2</v>
      </c>
      <c r="X219" s="371">
        <v>2</v>
      </c>
      <c r="Y219" s="381">
        <v>1000</v>
      </c>
    </row>
    <row r="220" spans="1:26" x14ac:dyDescent="0.2">
      <c r="A220" s="378" t="s">
        <v>34</v>
      </c>
      <c r="B220" s="372">
        <v>0</v>
      </c>
      <c r="C220" s="376">
        <v>99.328788958822486</v>
      </c>
      <c r="D220" s="376">
        <v>109.07039432469</v>
      </c>
      <c r="E220" s="376">
        <v>65.255411286427503</v>
      </c>
      <c r="F220" s="376">
        <v>67.568486533117493</v>
      </c>
      <c r="G220" s="376">
        <v>73.929443461515007</v>
      </c>
      <c r="H220" s="376">
        <v>74.329783408057494</v>
      </c>
      <c r="I220" s="376">
        <v>78.1552540083525</v>
      </c>
      <c r="J220" s="376">
        <v>78.600076171177506</v>
      </c>
      <c r="K220" s="376">
        <v>82.203135690059995</v>
      </c>
      <c r="L220" s="376">
        <v>84.516210936749999</v>
      </c>
      <c r="M220" s="376">
        <v>88.51961040217499</v>
      </c>
      <c r="N220" s="376">
        <v>95.102978411984992</v>
      </c>
      <c r="O220" s="376">
        <v>95.547800574809997</v>
      </c>
      <c r="P220" s="376">
        <v>94.480227384029988</v>
      </c>
      <c r="Q220" s="376">
        <v>92.122669921057494</v>
      </c>
      <c r="R220" s="376">
        <v>90.743721216299988</v>
      </c>
      <c r="S220" s="376">
        <v>88.964432564999996</v>
      </c>
      <c r="T220" s="376">
        <v>85.405855262399996</v>
      </c>
      <c r="U220" s="376">
        <v>83.448637745970004</v>
      </c>
      <c r="V220" s="376">
        <v>88.074788239349999</v>
      </c>
      <c r="W220" s="376">
        <v>0</v>
      </c>
      <c r="X220" s="373">
        <v>0</v>
      </c>
      <c r="Y220" s="382">
        <v>0</v>
      </c>
    </row>
    <row r="221" spans="1:26" ht="13.5" thickBot="1" x14ac:dyDescent="0.25">
      <c r="A221" s="379" t="s">
        <v>116</v>
      </c>
      <c r="B221" s="374">
        <f t="shared" ref="B221:V221" si="75">(C220+B220)*(C219-B219)/2</f>
        <v>0.74496591719116867</v>
      </c>
      <c r="C221" s="375">
        <f t="shared" si="75"/>
        <v>1.5629938746263436</v>
      </c>
      <c r="D221" s="375">
        <f t="shared" si="75"/>
        <v>1.3074435420833814</v>
      </c>
      <c r="E221" s="375">
        <f t="shared" si="75"/>
        <v>0.99617923364658734</v>
      </c>
      <c r="F221" s="375">
        <f t="shared" si="75"/>
        <v>1.0612344749597438</v>
      </c>
      <c r="G221" s="375">
        <f t="shared" si="75"/>
        <v>1.1119442015217937</v>
      </c>
      <c r="H221" s="375">
        <f t="shared" si="75"/>
        <v>1.1436377806230749</v>
      </c>
      <c r="I221" s="375">
        <f t="shared" si="75"/>
        <v>1.175664976346475</v>
      </c>
      <c r="J221" s="375">
        <f>(K220+J220)*(K219-J219)/2</f>
        <v>4.824096355837125</v>
      </c>
      <c r="K221" s="375">
        <f t="shared" si="75"/>
        <v>5.0015803988042995</v>
      </c>
      <c r="L221" s="375">
        <f t="shared" si="75"/>
        <v>5.1910746401677494</v>
      </c>
      <c r="M221" s="375">
        <f t="shared" si="75"/>
        <v>16.526032993274399</v>
      </c>
      <c r="N221" s="375">
        <f t="shared" si="75"/>
        <v>11.439046739207699</v>
      </c>
      <c r="O221" s="375">
        <f t="shared" si="75"/>
        <v>5.7008408387652043</v>
      </c>
      <c r="P221" s="375">
        <f t="shared" si="75"/>
        <v>5.5980869191526192</v>
      </c>
      <c r="Q221" s="375">
        <f t="shared" si="75"/>
        <v>5.4859917341207289</v>
      </c>
      <c r="R221" s="375">
        <f t="shared" si="75"/>
        <v>5.3912446134389942</v>
      </c>
      <c r="S221" s="375">
        <f>(T220+S220)*(T219-S219)/2</f>
        <v>5.2311086348220037</v>
      </c>
      <c r="T221" s="375">
        <f t="shared" si="75"/>
        <v>5.0656347902510959</v>
      </c>
      <c r="U221" s="375">
        <f t="shared" si="75"/>
        <v>6.4321284744494962</v>
      </c>
      <c r="V221" s="375">
        <f t="shared" si="75"/>
        <v>7.2661700297463767</v>
      </c>
      <c r="W221" s="375">
        <f>(X220+W220)*(X219-W219)/2</f>
        <v>0</v>
      </c>
      <c r="X221" s="375">
        <f>(Y220+X220)*(Y219-X219)/2</f>
        <v>0</v>
      </c>
      <c r="Y221" s="369"/>
    </row>
    <row r="222" spans="1:26" ht="13.5" thickBot="1" x14ac:dyDescent="0.25">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row>
    <row r="223" spans="1:26" ht="13.5" thickBot="1" x14ac:dyDescent="0.25">
      <c r="A223" s="361" t="s">
        <v>377</v>
      </c>
      <c r="B223" s="359">
        <f>ROW(A223)</f>
        <v>223</v>
      </c>
      <c r="C223" s="363" t="s">
        <v>115</v>
      </c>
      <c r="D223" s="353">
        <f>SUM(B226:Y226)</f>
        <v>109.60639850000001</v>
      </c>
      <c r="E223" s="363" t="s">
        <v>114</v>
      </c>
      <c r="F223" s="354">
        <f>D223/g/J223</f>
        <v>194.31174666489383</v>
      </c>
      <c r="G223" s="363" t="s">
        <v>56</v>
      </c>
      <c r="H223" s="64">
        <v>0.14130000000000001</v>
      </c>
      <c r="I223" s="363" t="s">
        <v>271</v>
      </c>
      <c r="J223" s="355">
        <f>H223-L223</f>
        <v>5.7500000000000009E-2</v>
      </c>
      <c r="K223" s="363" t="s">
        <v>272</v>
      </c>
      <c r="L223" s="64">
        <v>8.3799999999999999E-2</v>
      </c>
      <c r="M223" s="363" t="s">
        <v>57</v>
      </c>
      <c r="N223" s="65">
        <v>71</v>
      </c>
      <c r="O223" s="363" t="s">
        <v>59</v>
      </c>
      <c r="P223" s="65">
        <v>71</v>
      </c>
      <c r="Q223" s="363" t="s">
        <v>60</v>
      </c>
      <c r="R223" s="65">
        <v>142</v>
      </c>
      <c r="S223" s="363" t="s">
        <v>61</v>
      </c>
      <c r="T223" s="65">
        <v>29</v>
      </c>
      <c r="U223" s="363" t="s">
        <v>54</v>
      </c>
      <c r="V223" s="66" t="s">
        <v>401</v>
      </c>
      <c r="W223" s="463" t="s">
        <v>394</v>
      </c>
      <c r="X223" s="465">
        <v>0.45</v>
      </c>
      <c r="Y223" s="463" t="s">
        <v>393</v>
      </c>
      <c r="Z223" s="358">
        <v>14</v>
      </c>
    </row>
    <row r="224" spans="1:26" x14ac:dyDescent="0.2">
      <c r="A224" s="362" t="s">
        <v>33</v>
      </c>
      <c r="B224" s="370">
        <v>0</v>
      </c>
      <c r="C224" s="371">
        <v>6.0000000000000001E-3</v>
      </c>
      <c r="D224" s="371">
        <v>1.0999999999999999E-2</v>
      </c>
      <c r="E224" s="371">
        <v>1.6E-2</v>
      </c>
      <c r="F224" s="371">
        <v>3.1E-2</v>
      </c>
      <c r="G224" s="371">
        <v>7.4999999999999997E-2</v>
      </c>
      <c r="H224" s="371">
        <v>0.122</v>
      </c>
      <c r="I224" s="371">
        <v>0.216</v>
      </c>
      <c r="J224" s="371">
        <v>0.25</v>
      </c>
      <c r="K224" s="371">
        <v>0.28699999999999998</v>
      </c>
      <c r="L224" s="371">
        <v>0.35399999999999998</v>
      </c>
      <c r="M224" s="371">
        <v>0.374</v>
      </c>
      <c r="N224" s="371">
        <v>0.4</v>
      </c>
      <c r="O224" s="371">
        <v>0.41299999999999998</v>
      </c>
      <c r="P224" s="371">
        <v>0.42</v>
      </c>
      <c r="Q224" s="371">
        <v>0.433</v>
      </c>
      <c r="R224" s="371">
        <v>0.44500000000000001</v>
      </c>
      <c r="S224" s="371">
        <v>0.45400000000000001</v>
      </c>
      <c r="T224" s="371">
        <f t="shared" ref="T224:X225" si="76">S224</f>
        <v>0.45400000000000001</v>
      </c>
      <c r="U224" s="371">
        <f t="shared" si="76"/>
        <v>0.45400000000000001</v>
      </c>
      <c r="V224" s="371">
        <f t="shared" si="76"/>
        <v>0.45400000000000001</v>
      </c>
      <c r="W224" s="371">
        <f t="shared" si="76"/>
        <v>0.45400000000000001</v>
      </c>
      <c r="X224" s="371">
        <v>2</v>
      </c>
      <c r="Y224" s="381">
        <v>1000</v>
      </c>
    </row>
    <row r="225" spans="1:26" x14ac:dyDescent="0.2">
      <c r="A225" s="378" t="s">
        <v>34</v>
      </c>
      <c r="B225" s="372">
        <v>0</v>
      </c>
      <c r="C225" s="373">
        <v>151.62100000000001</v>
      </c>
      <c r="D225" s="373">
        <v>198.07900000000001</v>
      </c>
      <c r="E225" s="373">
        <v>203.12100000000001</v>
      </c>
      <c r="F225" s="373">
        <v>201.68100000000001</v>
      </c>
      <c r="G225" s="373">
        <v>226.17</v>
      </c>
      <c r="H225" s="373">
        <v>250.3</v>
      </c>
      <c r="I225" s="373">
        <v>280.19200000000001</v>
      </c>
      <c r="J225" s="373">
        <v>287.03500000000003</v>
      </c>
      <c r="K225" s="373">
        <v>284.87400000000002</v>
      </c>
      <c r="L225" s="373">
        <v>269.74799999999999</v>
      </c>
      <c r="M225" s="373">
        <v>258.58300000000003</v>
      </c>
      <c r="N225" s="373">
        <v>233.37299999999999</v>
      </c>
      <c r="O225" s="373">
        <v>234.09399999999999</v>
      </c>
      <c r="P225" s="373">
        <v>227.61099999999999</v>
      </c>
      <c r="Q225" s="373">
        <v>137.935</v>
      </c>
      <c r="R225" s="373">
        <v>33.853999999999999</v>
      </c>
      <c r="S225" s="373">
        <v>0</v>
      </c>
      <c r="T225" s="373">
        <f t="shared" si="76"/>
        <v>0</v>
      </c>
      <c r="U225" s="373">
        <f t="shared" si="76"/>
        <v>0</v>
      </c>
      <c r="V225" s="373">
        <f t="shared" si="76"/>
        <v>0</v>
      </c>
      <c r="W225" s="373">
        <f t="shared" si="76"/>
        <v>0</v>
      </c>
      <c r="X225" s="373">
        <f t="shared" si="76"/>
        <v>0</v>
      </c>
      <c r="Y225" s="382">
        <v>0</v>
      </c>
    </row>
    <row r="226" spans="1:26" ht="13.5" thickBot="1" x14ac:dyDescent="0.25">
      <c r="A226" s="379" t="s">
        <v>116</v>
      </c>
      <c r="B226" s="374">
        <f t="shared" ref="B226:X226" si="77">(C225+B225)*(C224-B224)/2</f>
        <v>0.45486300000000002</v>
      </c>
      <c r="C226" s="375">
        <f t="shared" si="77"/>
        <v>0.87424999999999997</v>
      </c>
      <c r="D226" s="375">
        <f t="shared" si="77"/>
        <v>1.0030000000000003</v>
      </c>
      <c r="E226" s="375">
        <f t="shared" si="77"/>
        <v>3.0360149999999999</v>
      </c>
      <c r="F226" s="375">
        <f t="shared" si="77"/>
        <v>9.4127219999999987</v>
      </c>
      <c r="G226" s="375">
        <f t="shared" si="77"/>
        <v>11.197045000000001</v>
      </c>
      <c r="H226" s="375">
        <f t="shared" si="77"/>
        <v>24.933123999999999</v>
      </c>
      <c r="I226" s="375">
        <f t="shared" si="77"/>
        <v>9.6428590000000014</v>
      </c>
      <c r="J226" s="375">
        <f t="shared" si="77"/>
        <v>10.580316499999995</v>
      </c>
      <c r="K226" s="375">
        <f t="shared" si="77"/>
        <v>18.579837000000005</v>
      </c>
      <c r="L226" s="375">
        <f t="shared" si="77"/>
        <v>5.2833100000000046</v>
      </c>
      <c r="M226" s="375">
        <f t="shared" si="77"/>
        <v>6.3954280000000061</v>
      </c>
      <c r="N226" s="375">
        <f t="shared" si="77"/>
        <v>3.0385354999999898</v>
      </c>
      <c r="O226" s="375">
        <f t="shared" si="77"/>
        <v>1.6159675000000013</v>
      </c>
      <c r="P226" s="375">
        <f t="shared" si="77"/>
        <v>2.3760490000000019</v>
      </c>
      <c r="Q226" s="375">
        <f t="shared" si="77"/>
        <v>1.0307340000000009</v>
      </c>
      <c r="R226" s="375">
        <f t="shared" si="77"/>
        <v>0.15234300000000014</v>
      </c>
      <c r="S226" s="375">
        <f t="shared" si="77"/>
        <v>0</v>
      </c>
      <c r="T226" s="375">
        <f t="shared" si="77"/>
        <v>0</v>
      </c>
      <c r="U226" s="375">
        <f t="shared" si="77"/>
        <v>0</v>
      </c>
      <c r="V226" s="375">
        <f t="shared" si="77"/>
        <v>0</v>
      </c>
      <c r="W226" s="375">
        <f t="shared" si="77"/>
        <v>0</v>
      </c>
      <c r="X226" s="375">
        <f t="shared" si="77"/>
        <v>0</v>
      </c>
      <c r="Y226" s="369"/>
    </row>
    <row r="227" spans="1:26" ht="13.5" thickBot="1" x14ac:dyDescent="0.25">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row>
    <row r="228" spans="1:26" ht="13.5" thickBot="1" x14ac:dyDescent="0.25">
      <c r="A228" s="361" t="s">
        <v>378</v>
      </c>
      <c r="B228" s="359">
        <f>ROW(A228)</f>
        <v>228</v>
      </c>
      <c r="C228" s="363" t="s">
        <v>115</v>
      </c>
      <c r="D228" s="353">
        <f>SUM(B231:Y231)</f>
        <v>115.63</v>
      </c>
      <c r="E228" s="363" t="s">
        <v>114</v>
      </c>
      <c r="F228" s="354">
        <f>D228/g/J228</f>
        <v>199.77884897804037</v>
      </c>
      <c r="G228" s="363" t="s">
        <v>56</v>
      </c>
      <c r="H228" s="64">
        <v>0.14499999999999999</v>
      </c>
      <c r="I228" s="363" t="s">
        <v>271</v>
      </c>
      <c r="J228" s="355">
        <f>H228-L228</f>
        <v>5.8999999999999997E-2</v>
      </c>
      <c r="K228" s="363" t="s">
        <v>272</v>
      </c>
      <c r="L228" s="64">
        <v>8.5999999999999993E-2</v>
      </c>
      <c r="M228" s="363" t="s">
        <v>57</v>
      </c>
      <c r="N228" s="65">
        <v>71</v>
      </c>
      <c r="O228" s="363" t="s">
        <v>59</v>
      </c>
      <c r="P228" s="65">
        <v>71</v>
      </c>
      <c r="Q228" s="363" t="s">
        <v>60</v>
      </c>
      <c r="R228" s="65">
        <v>142</v>
      </c>
      <c r="S228" s="363" t="s">
        <v>61</v>
      </c>
      <c r="T228" s="65">
        <v>29</v>
      </c>
      <c r="U228" s="363" t="s">
        <v>54</v>
      </c>
      <c r="V228" s="66" t="s">
        <v>400</v>
      </c>
      <c r="W228" s="463" t="s">
        <v>394</v>
      </c>
      <c r="X228" s="465">
        <v>0.93</v>
      </c>
      <c r="Y228" s="463" t="s">
        <v>393</v>
      </c>
      <c r="Z228" s="358">
        <v>13</v>
      </c>
    </row>
    <row r="229" spans="1:26" x14ac:dyDescent="0.2">
      <c r="A229" s="362" t="s">
        <v>33</v>
      </c>
      <c r="B229" s="370">
        <v>0</v>
      </c>
      <c r="C229" s="371">
        <v>0.01</v>
      </c>
      <c r="D229" s="371">
        <v>0.02</v>
      </c>
      <c r="E229" s="371">
        <v>0.03</v>
      </c>
      <c r="F229" s="371">
        <v>0.04</v>
      </c>
      <c r="G229" s="371">
        <v>0.05</v>
      </c>
      <c r="H229" s="371">
        <v>0.1</v>
      </c>
      <c r="I229" s="371">
        <v>0.2</v>
      </c>
      <c r="J229" s="371">
        <v>0.3</v>
      </c>
      <c r="K229" s="371">
        <v>0.4</v>
      </c>
      <c r="L229" s="371">
        <v>0.6</v>
      </c>
      <c r="M229" s="371">
        <v>0.75</v>
      </c>
      <c r="N229" s="371">
        <v>0.81</v>
      </c>
      <c r="O229" s="371">
        <v>0.86</v>
      </c>
      <c r="P229" s="371">
        <v>0.9</v>
      </c>
      <c r="Q229" s="371">
        <v>0.95</v>
      </c>
      <c r="R229" s="371">
        <v>1</v>
      </c>
      <c r="S229" s="371">
        <v>1</v>
      </c>
      <c r="T229" s="371">
        <v>1</v>
      </c>
      <c r="U229" s="371">
        <v>1</v>
      </c>
      <c r="V229" s="371">
        <v>1</v>
      </c>
      <c r="W229" s="371">
        <v>1</v>
      </c>
      <c r="X229" s="371">
        <v>2</v>
      </c>
      <c r="Y229" s="381">
        <v>1000</v>
      </c>
    </row>
    <row r="230" spans="1:26" x14ac:dyDescent="0.2">
      <c r="A230" s="378" t="s">
        <v>34</v>
      </c>
      <c r="B230" s="372">
        <v>0</v>
      </c>
      <c r="C230" s="376">
        <v>55</v>
      </c>
      <c r="D230" s="376">
        <v>168</v>
      </c>
      <c r="E230" s="376">
        <v>157</v>
      </c>
      <c r="F230" s="376">
        <v>148</v>
      </c>
      <c r="G230" s="376">
        <v>125</v>
      </c>
      <c r="H230" s="376">
        <v>135</v>
      </c>
      <c r="I230" s="376">
        <v>141</v>
      </c>
      <c r="J230" s="376">
        <v>142</v>
      </c>
      <c r="K230" s="376">
        <v>141</v>
      </c>
      <c r="L230" s="376">
        <v>133</v>
      </c>
      <c r="M230" s="376">
        <v>127</v>
      </c>
      <c r="N230" s="376">
        <v>128</v>
      </c>
      <c r="O230" s="376">
        <v>60</v>
      </c>
      <c r="P230" s="376">
        <v>15</v>
      </c>
      <c r="Q230" s="376">
        <v>0</v>
      </c>
      <c r="R230" s="376">
        <v>0</v>
      </c>
      <c r="S230" s="376">
        <v>0</v>
      </c>
      <c r="T230" s="376">
        <v>0</v>
      </c>
      <c r="U230" s="376">
        <v>0</v>
      </c>
      <c r="V230" s="376">
        <v>0</v>
      </c>
      <c r="W230" s="376">
        <v>0</v>
      </c>
      <c r="X230" s="373">
        <v>0</v>
      </c>
      <c r="Y230" s="382">
        <v>0</v>
      </c>
    </row>
    <row r="231" spans="1:26" ht="13.5" thickBot="1" x14ac:dyDescent="0.25">
      <c r="A231" s="379" t="s">
        <v>116</v>
      </c>
      <c r="B231" s="374">
        <f t="shared" ref="B231:X231" si="78">(C230+B230)*(C229-B229)/2</f>
        <v>0.27500000000000002</v>
      </c>
      <c r="C231" s="375">
        <f t="shared" si="78"/>
        <v>1.115</v>
      </c>
      <c r="D231" s="375">
        <f t="shared" si="78"/>
        <v>1.6249999999999998</v>
      </c>
      <c r="E231" s="375">
        <f t="shared" si="78"/>
        <v>1.5250000000000004</v>
      </c>
      <c r="F231" s="375">
        <f t="shared" si="78"/>
        <v>1.3650000000000002</v>
      </c>
      <c r="G231" s="375">
        <f t="shared" si="78"/>
        <v>6.5</v>
      </c>
      <c r="H231" s="375">
        <f t="shared" si="78"/>
        <v>13.8</v>
      </c>
      <c r="I231" s="375">
        <f t="shared" si="78"/>
        <v>14.149999999999997</v>
      </c>
      <c r="J231" s="375">
        <f t="shared" si="78"/>
        <v>14.150000000000004</v>
      </c>
      <c r="K231" s="375">
        <f t="shared" si="78"/>
        <v>27.399999999999995</v>
      </c>
      <c r="L231" s="375">
        <f t="shared" si="78"/>
        <v>19.500000000000004</v>
      </c>
      <c r="M231" s="375">
        <f t="shared" si="78"/>
        <v>7.6500000000000066</v>
      </c>
      <c r="N231" s="375">
        <f t="shared" si="78"/>
        <v>4.699999999999994</v>
      </c>
      <c r="O231" s="375">
        <f t="shared" si="78"/>
        <v>1.5000000000000013</v>
      </c>
      <c r="P231" s="375">
        <f t="shared" si="78"/>
        <v>0.3749999999999995</v>
      </c>
      <c r="Q231" s="375">
        <f t="shared" si="78"/>
        <v>0</v>
      </c>
      <c r="R231" s="375">
        <f t="shared" si="78"/>
        <v>0</v>
      </c>
      <c r="S231" s="375">
        <f t="shared" si="78"/>
        <v>0</v>
      </c>
      <c r="T231" s="375">
        <f t="shared" si="78"/>
        <v>0</v>
      </c>
      <c r="U231" s="375">
        <f t="shared" si="78"/>
        <v>0</v>
      </c>
      <c r="V231" s="375">
        <f t="shared" si="78"/>
        <v>0</v>
      </c>
      <c r="W231" s="375">
        <f t="shared" si="78"/>
        <v>0</v>
      </c>
      <c r="X231" s="375">
        <f t="shared" si="78"/>
        <v>0</v>
      </c>
      <c r="Y231" s="369"/>
    </row>
    <row r="232" spans="1:26" ht="13.5" thickBot="1" x14ac:dyDescent="0.25">
      <c r="A232" s="6" t="s">
        <v>386</v>
      </c>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row>
    <row r="233" spans="1:26" ht="13.5" thickBot="1" x14ac:dyDescent="0.25">
      <c r="A233" s="361" t="s">
        <v>387</v>
      </c>
      <c r="B233" s="359">
        <f>ROW(A233)</f>
        <v>233</v>
      </c>
      <c r="C233" s="363" t="s">
        <v>115</v>
      </c>
      <c r="D233" s="353">
        <f>SUM(B236:Y236)</f>
        <v>115.63</v>
      </c>
      <c r="E233" s="363" t="s">
        <v>114</v>
      </c>
      <c r="F233" s="354">
        <f>D233/g/J233</f>
        <v>125.39310733728064</v>
      </c>
      <c r="G233" s="363" t="s">
        <v>56</v>
      </c>
      <c r="H233" s="64">
        <v>0.2</v>
      </c>
      <c r="I233" s="363" t="s">
        <v>271</v>
      </c>
      <c r="J233" s="355">
        <f>H233-L233</f>
        <v>9.4000000000000014E-2</v>
      </c>
      <c r="K233" s="363" t="s">
        <v>272</v>
      </c>
      <c r="L233" s="64">
        <v>0.106</v>
      </c>
      <c r="M233" s="363" t="s">
        <v>57</v>
      </c>
      <c r="N233" s="65">
        <v>93</v>
      </c>
      <c r="O233" s="363" t="s">
        <v>59</v>
      </c>
      <c r="P233" s="65">
        <v>93</v>
      </c>
      <c r="Q233" s="363" t="s">
        <v>60</v>
      </c>
      <c r="R233" s="65">
        <v>187</v>
      </c>
      <c r="S233" s="363" t="s">
        <v>61</v>
      </c>
      <c r="T233" s="65">
        <v>29</v>
      </c>
      <c r="U233" s="363" t="s">
        <v>54</v>
      </c>
      <c r="V233" s="66" t="s">
        <v>119</v>
      </c>
      <c r="W233" s="463" t="s">
        <v>394</v>
      </c>
      <c r="X233" s="465">
        <v>0.96</v>
      </c>
      <c r="Y233" s="463" t="s">
        <v>393</v>
      </c>
      <c r="Z233" s="358">
        <v>14</v>
      </c>
    </row>
    <row r="234" spans="1:26" x14ac:dyDescent="0.2">
      <c r="A234" s="362" t="s">
        <v>33</v>
      </c>
      <c r="B234" s="370">
        <v>0</v>
      </c>
      <c r="C234" s="371">
        <v>0.01</v>
      </c>
      <c r="D234" s="371">
        <v>0.02</v>
      </c>
      <c r="E234" s="371">
        <v>0.03</v>
      </c>
      <c r="F234" s="371">
        <v>0.04</v>
      </c>
      <c r="G234" s="371">
        <v>0.05</v>
      </c>
      <c r="H234" s="371">
        <v>0.1</v>
      </c>
      <c r="I234" s="371">
        <v>0.2</v>
      </c>
      <c r="J234" s="371">
        <v>0.3</v>
      </c>
      <c r="K234" s="371">
        <v>0.4</v>
      </c>
      <c r="L234" s="371">
        <v>0.6</v>
      </c>
      <c r="M234" s="371">
        <v>0.75</v>
      </c>
      <c r="N234" s="371">
        <v>0.81</v>
      </c>
      <c r="O234" s="371">
        <v>0.86</v>
      </c>
      <c r="P234" s="371">
        <v>0.9</v>
      </c>
      <c r="Q234" s="371">
        <v>0.95</v>
      </c>
      <c r="R234" s="371">
        <v>1</v>
      </c>
      <c r="S234" s="371">
        <f t="shared" ref="S234:X235" si="79">R234</f>
        <v>1</v>
      </c>
      <c r="T234" s="371">
        <f t="shared" si="79"/>
        <v>1</v>
      </c>
      <c r="U234" s="371">
        <f t="shared" si="79"/>
        <v>1</v>
      </c>
      <c r="V234" s="371">
        <f t="shared" si="79"/>
        <v>1</v>
      </c>
      <c r="W234" s="371">
        <f t="shared" si="79"/>
        <v>1</v>
      </c>
      <c r="X234" s="371">
        <v>2</v>
      </c>
      <c r="Y234" s="381">
        <v>1000</v>
      </c>
    </row>
    <row r="235" spans="1:26" x14ac:dyDescent="0.2">
      <c r="A235" s="378" t="s">
        <v>34</v>
      </c>
      <c r="B235" s="372">
        <v>0</v>
      </c>
      <c r="C235" s="373">
        <v>55</v>
      </c>
      <c r="D235" s="373">
        <v>168</v>
      </c>
      <c r="E235" s="373">
        <v>157</v>
      </c>
      <c r="F235" s="373">
        <v>148</v>
      </c>
      <c r="G235" s="373">
        <v>125</v>
      </c>
      <c r="H235" s="373">
        <v>135</v>
      </c>
      <c r="I235" s="373">
        <v>141</v>
      </c>
      <c r="J235" s="373">
        <v>142</v>
      </c>
      <c r="K235" s="373">
        <v>141</v>
      </c>
      <c r="L235" s="373">
        <v>133</v>
      </c>
      <c r="M235" s="373">
        <v>127</v>
      </c>
      <c r="N235" s="373">
        <v>128</v>
      </c>
      <c r="O235" s="373">
        <v>60</v>
      </c>
      <c r="P235" s="373">
        <v>15</v>
      </c>
      <c r="Q235" s="373">
        <v>0</v>
      </c>
      <c r="R235" s="373">
        <v>0</v>
      </c>
      <c r="S235" s="373">
        <f t="shared" si="79"/>
        <v>0</v>
      </c>
      <c r="T235" s="373">
        <f t="shared" si="79"/>
        <v>0</v>
      </c>
      <c r="U235" s="373">
        <f t="shared" si="79"/>
        <v>0</v>
      </c>
      <c r="V235" s="373">
        <f t="shared" si="79"/>
        <v>0</v>
      </c>
      <c r="W235" s="373">
        <f t="shared" si="79"/>
        <v>0</v>
      </c>
      <c r="X235" s="373">
        <f t="shared" si="79"/>
        <v>0</v>
      </c>
      <c r="Y235" s="382">
        <v>0</v>
      </c>
    </row>
    <row r="236" spans="1:26" ht="13.5" thickBot="1" x14ac:dyDescent="0.25">
      <c r="A236" s="379" t="s">
        <v>116</v>
      </c>
      <c r="B236" s="374">
        <f t="shared" ref="B236:X236" si="80">(C235+B235)*(C234-B234)/2</f>
        <v>0.27500000000000002</v>
      </c>
      <c r="C236" s="375">
        <f t="shared" si="80"/>
        <v>1.115</v>
      </c>
      <c r="D236" s="375">
        <f t="shared" si="80"/>
        <v>1.6249999999999998</v>
      </c>
      <c r="E236" s="375">
        <f t="shared" si="80"/>
        <v>1.5250000000000004</v>
      </c>
      <c r="F236" s="375">
        <f t="shared" si="80"/>
        <v>1.3650000000000002</v>
      </c>
      <c r="G236" s="375">
        <f t="shared" si="80"/>
        <v>6.5</v>
      </c>
      <c r="H236" s="375">
        <f t="shared" si="80"/>
        <v>13.8</v>
      </c>
      <c r="I236" s="375">
        <f t="shared" si="80"/>
        <v>14.149999999999997</v>
      </c>
      <c r="J236" s="375">
        <f t="shared" si="80"/>
        <v>14.150000000000004</v>
      </c>
      <c r="K236" s="375">
        <f t="shared" si="80"/>
        <v>27.399999999999995</v>
      </c>
      <c r="L236" s="375">
        <f t="shared" si="80"/>
        <v>19.500000000000004</v>
      </c>
      <c r="M236" s="375">
        <f t="shared" si="80"/>
        <v>7.6500000000000066</v>
      </c>
      <c r="N236" s="375">
        <f t="shared" si="80"/>
        <v>4.699999999999994</v>
      </c>
      <c r="O236" s="375">
        <f t="shared" si="80"/>
        <v>1.5000000000000013</v>
      </c>
      <c r="P236" s="375">
        <f t="shared" si="80"/>
        <v>0.3749999999999995</v>
      </c>
      <c r="Q236" s="375">
        <f t="shared" si="80"/>
        <v>0</v>
      </c>
      <c r="R236" s="375">
        <f t="shared" si="80"/>
        <v>0</v>
      </c>
      <c r="S236" s="375">
        <f t="shared" si="80"/>
        <v>0</v>
      </c>
      <c r="T236" s="375">
        <f t="shared" si="80"/>
        <v>0</v>
      </c>
      <c r="U236" s="375">
        <f t="shared" si="80"/>
        <v>0</v>
      </c>
      <c r="V236" s="375">
        <f t="shared" si="80"/>
        <v>0</v>
      </c>
      <c r="W236" s="375">
        <f t="shared" si="80"/>
        <v>0</v>
      </c>
      <c r="X236" s="375">
        <f t="shared" si="80"/>
        <v>0</v>
      </c>
      <c r="Y236" s="369"/>
    </row>
    <row r="237" spans="1:26" ht="13.5" thickBot="1" x14ac:dyDescent="0.25">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row>
    <row r="238" spans="1:26" ht="13.5" thickBot="1" x14ac:dyDescent="0.25">
      <c r="A238" s="361" t="s">
        <v>392</v>
      </c>
      <c r="B238" s="359">
        <f>ROW(A238)</f>
        <v>238</v>
      </c>
      <c r="C238" s="363" t="s">
        <v>115</v>
      </c>
      <c r="D238" s="353">
        <f>SUM(B241:Y241)</f>
        <v>158.04815100000002</v>
      </c>
      <c r="E238" s="363" t="s">
        <v>114</v>
      </c>
      <c r="F238" s="354">
        <v>198</v>
      </c>
      <c r="G238" s="363" t="s">
        <v>56</v>
      </c>
      <c r="H238" s="64">
        <v>0.19450000000000001</v>
      </c>
      <c r="I238" s="363" t="s">
        <v>271</v>
      </c>
      <c r="J238" s="355">
        <f>H238-L238</f>
        <v>8.9600000000000013E-2</v>
      </c>
      <c r="K238" s="363" t="s">
        <v>272</v>
      </c>
      <c r="L238" s="64">
        <v>0.10489999999999999</v>
      </c>
      <c r="M238" s="363" t="s">
        <v>57</v>
      </c>
      <c r="N238" s="65">
        <v>93</v>
      </c>
      <c r="O238" s="363" t="s">
        <v>59</v>
      </c>
      <c r="P238" s="65">
        <v>93</v>
      </c>
      <c r="Q238" s="363" t="s">
        <v>60</v>
      </c>
      <c r="R238" s="65">
        <v>187</v>
      </c>
      <c r="S238" s="363" t="s">
        <v>61</v>
      </c>
      <c r="T238" s="65">
        <v>29</v>
      </c>
      <c r="U238" s="363" t="s">
        <v>54</v>
      </c>
      <c r="V238" s="66" t="s">
        <v>119</v>
      </c>
      <c r="W238" s="463" t="s">
        <v>394</v>
      </c>
      <c r="X238" s="465">
        <v>1.27</v>
      </c>
      <c r="Y238" s="463" t="s">
        <v>393</v>
      </c>
      <c r="Z238" s="358">
        <v>14</v>
      </c>
    </row>
    <row r="239" spans="1:26" x14ac:dyDescent="0.2">
      <c r="A239" s="362" t="s">
        <v>33</v>
      </c>
      <c r="B239" s="471">
        <v>0</v>
      </c>
      <c r="C239" s="471">
        <v>4.0000000000000001E-3</v>
      </c>
      <c r="D239" s="471">
        <v>2.1999999999999999E-2</v>
      </c>
      <c r="E239" s="471">
        <v>3.9E-2</v>
      </c>
      <c r="F239" s="471">
        <v>0.122</v>
      </c>
      <c r="G239" s="471">
        <v>0.23599999999999999</v>
      </c>
      <c r="H239" s="471">
        <v>0.58899999999999997</v>
      </c>
      <c r="I239" s="471">
        <v>0.80100000000000005</v>
      </c>
      <c r="J239" s="471">
        <v>1.0680000000000001</v>
      </c>
      <c r="K239" s="471">
        <v>1.1180000000000001</v>
      </c>
      <c r="L239" s="471">
        <v>1.145</v>
      </c>
      <c r="M239" s="471">
        <v>1.1739999999999999</v>
      </c>
      <c r="N239" s="471">
        <v>1.2110000000000001</v>
      </c>
      <c r="O239" s="471">
        <v>1.2470000000000001</v>
      </c>
      <c r="P239" s="471">
        <v>1.2989999999999999</v>
      </c>
      <c r="Q239" s="371">
        <v>2</v>
      </c>
      <c r="R239" s="371">
        <v>2</v>
      </c>
      <c r="S239" s="371">
        <f t="shared" ref="S239:X240" si="81">R239</f>
        <v>2</v>
      </c>
      <c r="T239" s="371">
        <f t="shared" si="81"/>
        <v>2</v>
      </c>
      <c r="U239" s="371">
        <f t="shared" si="81"/>
        <v>2</v>
      </c>
      <c r="V239" s="371">
        <f t="shared" si="81"/>
        <v>2</v>
      </c>
      <c r="W239" s="371">
        <f t="shared" si="81"/>
        <v>2</v>
      </c>
      <c r="X239" s="371">
        <f t="shared" si="81"/>
        <v>2</v>
      </c>
      <c r="Y239" s="381">
        <v>1000</v>
      </c>
    </row>
    <row r="240" spans="1:26" x14ac:dyDescent="0.2">
      <c r="A240" s="378" t="s">
        <v>34</v>
      </c>
      <c r="B240" s="471">
        <v>0</v>
      </c>
      <c r="C240" s="471">
        <v>15.683</v>
      </c>
      <c r="D240" s="471">
        <v>170.834</v>
      </c>
      <c r="E240" s="471">
        <v>116.877</v>
      </c>
      <c r="F240" s="471">
        <v>142.642</v>
      </c>
      <c r="G240" s="471">
        <v>149.73699999999999</v>
      </c>
      <c r="H240" s="471">
        <v>142.642</v>
      </c>
      <c r="I240" s="471">
        <v>131.25299999999999</v>
      </c>
      <c r="J240" s="471">
        <v>122.104</v>
      </c>
      <c r="K240" s="471">
        <v>107.91500000000001</v>
      </c>
      <c r="L240" s="471">
        <v>78.415999999999997</v>
      </c>
      <c r="M240" s="471">
        <v>43.128999999999998</v>
      </c>
      <c r="N240" s="471">
        <v>21.471</v>
      </c>
      <c r="O240" s="471">
        <v>8.7750000000000004</v>
      </c>
      <c r="P240" s="471">
        <v>0</v>
      </c>
      <c r="Q240" s="373">
        <v>0</v>
      </c>
      <c r="R240" s="373">
        <v>0</v>
      </c>
      <c r="S240" s="373">
        <f t="shared" si="81"/>
        <v>0</v>
      </c>
      <c r="T240" s="373">
        <f t="shared" si="81"/>
        <v>0</v>
      </c>
      <c r="U240" s="373">
        <f t="shared" si="81"/>
        <v>0</v>
      </c>
      <c r="V240" s="373">
        <f t="shared" si="81"/>
        <v>0</v>
      </c>
      <c r="W240" s="373">
        <f t="shared" si="81"/>
        <v>0</v>
      </c>
      <c r="X240" s="373">
        <f t="shared" si="81"/>
        <v>0</v>
      </c>
      <c r="Y240" s="382">
        <v>0</v>
      </c>
    </row>
    <row r="241" spans="1:26" ht="13.5" thickBot="1" x14ac:dyDescent="0.25">
      <c r="A241" s="379" t="s">
        <v>116</v>
      </c>
      <c r="B241" s="374">
        <f t="shared" ref="B241:X241" si="82">(C240+B240)*(C239-B239)/2</f>
        <v>3.1365999999999998E-2</v>
      </c>
      <c r="C241" s="375">
        <f t="shared" si="82"/>
        <v>1.6786529999999997</v>
      </c>
      <c r="D241" s="375">
        <f t="shared" si="82"/>
        <v>2.4455435000000003</v>
      </c>
      <c r="E241" s="375">
        <f t="shared" si="82"/>
        <v>10.770038499999998</v>
      </c>
      <c r="F241" s="375">
        <f t="shared" si="82"/>
        <v>16.665603000000001</v>
      </c>
      <c r="G241" s="375">
        <f t="shared" si="82"/>
        <v>51.604893500000003</v>
      </c>
      <c r="H241" s="375">
        <f t="shared" si="82"/>
        <v>29.03287000000001</v>
      </c>
      <c r="I241" s="375">
        <f t="shared" si="82"/>
        <v>33.823159499999996</v>
      </c>
      <c r="J241" s="375">
        <f t="shared" si="82"/>
        <v>5.7504750000000051</v>
      </c>
      <c r="K241" s="375">
        <f t="shared" si="82"/>
        <v>2.5154684999999923</v>
      </c>
      <c r="L241" s="375">
        <f t="shared" si="82"/>
        <v>1.7624024999999945</v>
      </c>
      <c r="M241" s="375">
        <f t="shared" si="82"/>
        <v>1.1951000000000045</v>
      </c>
      <c r="N241" s="375">
        <f t="shared" si="82"/>
        <v>0.54442800000000058</v>
      </c>
      <c r="O241" s="375">
        <f t="shared" si="82"/>
        <v>0.22814999999999924</v>
      </c>
      <c r="P241" s="375">
        <f t="shared" si="82"/>
        <v>0</v>
      </c>
      <c r="Q241" s="375">
        <f t="shared" si="82"/>
        <v>0</v>
      </c>
      <c r="R241" s="375">
        <f t="shared" si="82"/>
        <v>0</v>
      </c>
      <c r="S241" s="375">
        <f t="shared" si="82"/>
        <v>0</v>
      </c>
      <c r="T241" s="375">
        <f t="shared" si="82"/>
        <v>0</v>
      </c>
      <c r="U241" s="375">
        <f t="shared" si="82"/>
        <v>0</v>
      </c>
      <c r="V241" s="375">
        <f t="shared" si="82"/>
        <v>0</v>
      </c>
      <c r="W241" s="375">
        <f t="shared" si="82"/>
        <v>0</v>
      </c>
      <c r="X241" s="375">
        <f t="shared" si="82"/>
        <v>0</v>
      </c>
      <c r="Y241" s="369"/>
    </row>
    <row r="242" spans="1:26" ht="13.5" thickBot="1" x14ac:dyDescent="0.25">
      <c r="A242" s="6" t="s">
        <v>374</v>
      </c>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row>
    <row r="243" spans="1:26" ht="13.5" thickBot="1" x14ac:dyDescent="0.25">
      <c r="A243" s="361" t="s">
        <v>379</v>
      </c>
      <c r="B243" s="359">
        <f>ROW(A243)</f>
        <v>243</v>
      </c>
      <c r="C243" s="363" t="s">
        <v>115</v>
      </c>
      <c r="D243" s="353">
        <f>SUM(B246:Y246)</f>
        <v>136.75235000000001</v>
      </c>
      <c r="E243" s="363" t="s">
        <v>114</v>
      </c>
      <c r="F243" s="354">
        <f>D243/g/J243</f>
        <v>152.35078513616639</v>
      </c>
      <c r="G243" s="363" t="s">
        <v>56</v>
      </c>
      <c r="H243" s="64">
        <v>0.21249999999999999</v>
      </c>
      <c r="I243" s="363" t="s">
        <v>271</v>
      </c>
      <c r="J243" s="355">
        <f>H243-L243</f>
        <v>9.1499999999999998E-2</v>
      </c>
      <c r="K243" s="363" t="s">
        <v>272</v>
      </c>
      <c r="L243" s="64">
        <v>0.121</v>
      </c>
      <c r="M243" s="363" t="s">
        <v>57</v>
      </c>
      <c r="N243" s="65">
        <v>63</v>
      </c>
      <c r="O243" s="363" t="s">
        <v>59</v>
      </c>
      <c r="P243" s="65">
        <v>114</v>
      </c>
      <c r="Q243" s="363" t="s">
        <v>60</v>
      </c>
      <c r="R243" s="65">
        <v>127</v>
      </c>
      <c r="S243" s="363" t="s">
        <v>61</v>
      </c>
      <c r="T243" s="65">
        <v>38</v>
      </c>
      <c r="U243" s="363" t="s">
        <v>54</v>
      </c>
      <c r="V243" s="66" t="s">
        <v>119</v>
      </c>
      <c r="W243" s="463" t="s">
        <v>394</v>
      </c>
      <c r="X243" s="465">
        <v>2.36</v>
      </c>
      <c r="Y243" s="463" t="s">
        <v>393</v>
      </c>
      <c r="Z243" s="358">
        <v>13</v>
      </c>
    </row>
    <row r="244" spans="1:26" x14ac:dyDescent="0.2">
      <c r="A244" s="362" t="s">
        <v>33</v>
      </c>
      <c r="B244" s="370">
        <v>0</v>
      </c>
      <c r="C244" s="371">
        <v>2.9000000000000001E-2</v>
      </c>
      <c r="D244" s="371">
        <v>4.5999999999999999E-2</v>
      </c>
      <c r="E244" s="371">
        <v>5.8000000000000003E-2</v>
      </c>
      <c r="F244" s="371">
        <v>8.4000000000000005E-2</v>
      </c>
      <c r="G244" s="371">
        <v>0.17100000000000001</v>
      </c>
      <c r="H244" s="371">
        <v>0.28000000000000003</v>
      </c>
      <c r="I244" s="371">
        <v>0.45500000000000002</v>
      </c>
      <c r="J244" s="371">
        <v>0.58599999999999997</v>
      </c>
      <c r="K244" s="371">
        <v>0.74099999999999999</v>
      </c>
      <c r="L244" s="371">
        <v>0.95199999999999996</v>
      </c>
      <c r="M244" s="371">
        <v>1.2170000000000001</v>
      </c>
      <c r="N244" s="371">
        <v>1.43</v>
      </c>
      <c r="O244" s="371">
        <v>1.6259999999999999</v>
      </c>
      <c r="P244" s="371">
        <v>1.8069999999999999</v>
      </c>
      <c r="Q244" s="371">
        <v>1.9590000000000001</v>
      </c>
      <c r="R244" s="371">
        <v>2.1040000000000001</v>
      </c>
      <c r="S244" s="371">
        <v>2.1680000000000001</v>
      </c>
      <c r="T244" s="371">
        <v>2.21</v>
      </c>
      <c r="U244" s="371">
        <v>2.2469999999999999</v>
      </c>
      <c r="V244" s="371">
        <v>2.3290000000000002</v>
      </c>
      <c r="W244" s="371">
        <f>2.4</f>
        <v>2.4</v>
      </c>
      <c r="X244" s="371">
        <f>W244</f>
        <v>2.4</v>
      </c>
      <c r="Y244" s="381">
        <v>1000</v>
      </c>
    </row>
    <row r="245" spans="1:26" x14ac:dyDescent="0.2">
      <c r="A245" s="378" t="s">
        <v>34</v>
      </c>
      <c r="B245" s="372">
        <v>0</v>
      </c>
      <c r="C245" s="373">
        <v>90.25</v>
      </c>
      <c r="D245" s="373">
        <v>69.17</v>
      </c>
      <c r="E245" s="373">
        <v>59.947000000000003</v>
      </c>
      <c r="F245" s="373">
        <v>47.167000000000002</v>
      </c>
      <c r="G245" s="373">
        <v>57.970999999999997</v>
      </c>
      <c r="H245" s="373">
        <v>59.552</v>
      </c>
      <c r="I245" s="373">
        <v>61.265000000000001</v>
      </c>
      <c r="J245" s="373">
        <v>61.66</v>
      </c>
      <c r="K245" s="373">
        <v>62.319000000000003</v>
      </c>
      <c r="L245" s="373">
        <v>63.768000000000001</v>
      </c>
      <c r="M245" s="373">
        <v>64.69</v>
      </c>
      <c r="N245" s="373">
        <v>63.768000000000001</v>
      </c>
      <c r="O245" s="373">
        <v>61.265000000000001</v>
      </c>
      <c r="P245" s="373">
        <v>58.103000000000002</v>
      </c>
      <c r="Q245" s="373">
        <v>53.887</v>
      </c>
      <c r="R245" s="373">
        <v>48.353000000000002</v>
      </c>
      <c r="S245" s="373">
        <v>47.563000000000002</v>
      </c>
      <c r="T245" s="373">
        <v>44.005000000000003</v>
      </c>
      <c r="U245" s="373">
        <v>37.286000000000001</v>
      </c>
      <c r="V245" s="373">
        <v>22.265999999999998</v>
      </c>
      <c r="W245" s="373">
        <v>0</v>
      </c>
      <c r="X245" s="373">
        <f>W245</f>
        <v>0</v>
      </c>
      <c r="Y245" s="382">
        <v>0</v>
      </c>
    </row>
    <row r="246" spans="1:26" ht="13.5" thickBot="1" x14ac:dyDescent="0.25">
      <c r="A246" s="379" t="s">
        <v>116</v>
      </c>
      <c r="B246" s="374">
        <f t="shared" ref="B246:X246" si="83">(C245+B245)*(C244-B244)/2</f>
        <v>1.3086250000000001</v>
      </c>
      <c r="C246" s="375">
        <f t="shared" si="83"/>
        <v>1.35507</v>
      </c>
      <c r="D246" s="375">
        <f t="shared" si="83"/>
        <v>0.77470200000000033</v>
      </c>
      <c r="E246" s="375">
        <f t="shared" si="83"/>
        <v>1.3924820000000002</v>
      </c>
      <c r="F246" s="375">
        <f t="shared" si="83"/>
        <v>4.5735030000000005</v>
      </c>
      <c r="G246" s="375">
        <f t="shared" si="83"/>
        <v>6.4050035000000003</v>
      </c>
      <c r="H246" s="375">
        <f t="shared" si="83"/>
        <v>10.5714875</v>
      </c>
      <c r="I246" s="375">
        <f t="shared" si="83"/>
        <v>8.0515874999999966</v>
      </c>
      <c r="J246" s="375">
        <f t="shared" si="83"/>
        <v>9.6083725000000015</v>
      </c>
      <c r="K246" s="375">
        <f t="shared" si="83"/>
        <v>13.302178499999998</v>
      </c>
      <c r="L246" s="375">
        <f t="shared" si="83"/>
        <v>17.020685000000007</v>
      </c>
      <c r="M246" s="375">
        <f t="shared" si="83"/>
        <v>13.68077699999999</v>
      </c>
      <c r="N246" s="375">
        <f t="shared" si="83"/>
        <v>12.253233999999997</v>
      </c>
      <c r="O246" s="375">
        <f t="shared" si="83"/>
        <v>10.802804000000002</v>
      </c>
      <c r="P246" s="375">
        <f t="shared" si="83"/>
        <v>8.5112400000000079</v>
      </c>
      <c r="Q246" s="375">
        <f t="shared" si="83"/>
        <v>7.4124000000000017</v>
      </c>
      <c r="R246" s="375">
        <f t="shared" si="83"/>
        <v>3.0693120000000027</v>
      </c>
      <c r="S246" s="375">
        <f t="shared" si="83"/>
        <v>1.9229279999999918</v>
      </c>
      <c r="T246" s="375">
        <f t="shared" si="83"/>
        <v>1.5038834999999968</v>
      </c>
      <c r="U246" s="375">
        <f t="shared" si="83"/>
        <v>2.4416320000000087</v>
      </c>
      <c r="V246" s="375">
        <f t="shared" si="83"/>
        <v>0.7904429999999969</v>
      </c>
      <c r="W246" s="375">
        <f t="shared" si="83"/>
        <v>0</v>
      </c>
      <c r="X246" s="375">
        <f t="shared" si="83"/>
        <v>0</v>
      </c>
      <c r="Y246" s="369"/>
    </row>
    <row r="247" spans="1:26" ht="13.5" thickBot="1" x14ac:dyDescent="0.25">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row>
    <row r="248" spans="1:26" ht="13.5" thickBot="1" x14ac:dyDescent="0.25">
      <c r="A248" s="361" t="s">
        <v>380</v>
      </c>
      <c r="B248" s="359">
        <f>ROW(A248)</f>
        <v>248</v>
      </c>
      <c r="C248" s="363" t="s">
        <v>115</v>
      </c>
      <c r="D248" s="353">
        <f>SUM(B251:Y251)</f>
        <v>127.06944999999999</v>
      </c>
      <c r="E248" s="363" t="s">
        <v>114</v>
      </c>
      <c r="F248" s="354">
        <f>D248/g/J248</f>
        <v>180.65624835614466</v>
      </c>
      <c r="G248" s="363" t="s">
        <v>56</v>
      </c>
      <c r="H248" s="64">
        <v>0.18840000000000001</v>
      </c>
      <c r="I248" s="363" t="s">
        <v>271</v>
      </c>
      <c r="J248" s="355">
        <f>H248-L248</f>
        <v>7.1700000000000014E-2</v>
      </c>
      <c r="K248" s="363" t="s">
        <v>272</v>
      </c>
      <c r="L248" s="64">
        <v>0.1167</v>
      </c>
      <c r="M248" s="363" t="s">
        <v>57</v>
      </c>
      <c r="N248" s="65">
        <v>63</v>
      </c>
      <c r="O248" s="363" t="s">
        <v>59</v>
      </c>
      <c r="P248" s="65">
        <v>114</v>
      </c>
      <c r="Q248" s="363" t="s">
        <v>60</v>
      </c>
      <c r="R248" s="65">
        <v>127</v>
      </c>
      <c r="S248" s="363" t="s">
        <v>61</v>
      </c>
      <c r="T248" s="65">
        <v>38</v>
      </c>
      <c r="U248" s="363" t="s">
        <v>54</v>
      </c>
      <c r="V248" s="66" t="s">
        <v>119</v>
      </c>
      <c r="W248" s="463" t="s">
        <v>394</v>
      </c>
      <c r="X248" s="465">
        <v>0.69</v>
      </c>
      <c r="Y248" s="463" t="s">
        <v>393</v>
      </c>
      <c r="Z248" s="358">
        <v>12</v>
      </c>
    </row>
    <row r="249" spans="1:26" x14ac:dyDescent="0.2">
      <c r="A249" s="362" t="s">
        <v>33</v>
      </c>
      <c r="B249" s="370">
        <v>0</v>
      </c>
      <c r="C249" s="371">
        <v>0.01</v>
      </c>
      <c r="D249" s="371">
        <v>0.02</v>
      </c>
      <c r="E249" s="371">
        <v>0.05</v>
      </c>
      <c r="F249" s="371">
        <v>0.1</v>
      </c>
      <c r="G249" s="371">
        <v>0.2</v>
      </c>
      <c r="H249" s="371">
        <v>0.3</v>
      </c>
      <c r="I249" s="371">
        <v>0.35</v>
      </c>
      <c r="J249" s="371">
        <v>0.4</v>
      </c>
      <c r="K249" s="371">
        <v>0.45</v>
      </c>
      <c r="L249" s="371">
        <v>0.5</v>
      </c>
      <c r="M249" s="371">
        <v>0.55000000000000004</v>
      </c>
      <c r="N249" s="371">
        <v>0.6</v>
      </c>
      <c r="O249" s="371">
        <v>0.61</v>
      </c>
      <c r="P249" s="371">
        <v>0.63</v>
      </c>
      <c r="Q249" s="371">
        <v>0.64</v>
      </c>
      <c r="R249" s="371">
        <v>0.65</v>
      </c>
      <c r="S249" s="371">
        <v>0.67</v>
      </c>
      <c r="T249" s="371">
        <v>0.68</v>
      </c>
      <c r="U249" s="371">
        <v>0.69</v>
      </c>
      <c r="V249" s="371">
        <f t="shared" ref="V249:X250" si="84">U249</f>
        <v>0.69</v>
      </c>
      <c r="W249" s="371">
        <f t="shared" si="84"/>
        <v>0.69</v>
      </c>
      <c r="X249" s="371">
        <v>2</v>
      </c>
      <c r="Y249" s="381">
        <v>1000</v>
      </c>
    </row>
    <row r="250" spans="1:26" x14ac:dyDescent="0.2">
      <c r="A250" s="378" t="s">
        <v>34</v>
      </c>
      <c r="B250" s="372">
        <v>0</v>
      </c>
      <c r="C250" s="373">
        <v>108.72</v>
      </c>
      <c r="D250" s="373">
        <v>131.19</v>
      </c>
      <c r="E250" s="373">
        <v>153.13999999999999</v>
      </c>
      <c r="F250" s="373">
        <v>168.97</v>
      </c>
      <c r="G250" s="373">
        <v>189.92</v>
      </c>
      <c r="H250" s="373">
        <v>199.95</v>
      </c>
      <c r="I250" s="373">
        <v>203.59</v>
      </c>
      <c r="J250" s="373">
        <v>205.03</v>
      </c>
      <c r="K250" s="373">
        <v>202.6</v>
      </c>
      <c r="L250" s="373">
        <v>203.06</v>
      </c>
      <c r="M250" s="373">
        <v>199.34</v>
      </c>
      <c r="N250" s="373">
        <v>194.71</v>
      </c>
      <c r="O250" s="373">
        <v>194.1</v>
      </c>
      <c r="P250" s="373">
        <v>193.49</v>
      </c>
      <c r="Q250" s="373">
        <v>193.68</v>
      </c>
      <c r="R250" s="373">
        <v>202.91</v>
      </c>
      <c r="S250" s="373">
        <v>163.38999999999999</v>
      </c>
      <c r="T250" s="373">
        <v>80.44</v>
      </c>
      <c r="U250" s="373">
        <v>0</v>
      </c>
      <c r="V250" s="373">
        <f t="shared" si="84"/>
        <v>0</v>
      </c>
      <c r="W250" s="373">
        <f t="shared" si="84"/>
        <v>0</v>
      </c>
      <c r="X250" s="373">
        <f t="shared" si="84"/>
        <v>0</v>
      </c>
      <c r="Y250" s="382">
        <v>0</v>
      </c>
    </row>
    <row r="251" spans="1:26" ht="13.5" thickBot="1" x14ac:dyDescent="0.25">
      <c r="A251" s="379" t="s">
        <v>116</v>
      </c>
      <c r="B251" s="374">
        <f t="shared" ref="B251:X251" si="85">(C250+B250)*(C249-B249)/2</f>
        <v>0.54359999999999997</v>
      </c>
      <c r="C251" s="375">
        <f t="shared" si="85"/>
        <v>1.1995500000000001</v>
      </c>
      <c r="D251" s="375">
        <f t="shared" si="85"/>
        <v>4.2649499999999998</v>
      </c>
      <c r="E251" s="375">
        <f t="shared" si="85"/>
        <v>8.0527500000000014</v>
      </c>
      <c r="F251" s="375">
        <f t="shared" si="85"/>
        <v>17.944500000000001</v>
      </c>
      <c r="G251" s="375">
        <f t="shared" si="85"/>
        <v>19.493499999999997</v>
      </c>
      <c r="H251" s="375">
        <f t="shared" si="85"/>
        <v>10.088499999999996</v>
      </c>
      <c r="I251" s="375">
        <f t="shared" si="85"/>
        <v>10.215500000000009</v>
      </c>
      <c r="J251" s="375">
        <f t="shared" si="85"/>
        <v>10.190749999999998</v>
      </c>
      <c r="K251" s="375">
        <f t="shared" si="85"/>
        <v>10.141499999999997</v>
      </c>
      <c r="L251" s="375">
        <f t="shared" si="85"/>
        <v>10.060000000000008</v>
      </c>
      <c r="M251" s="375">
        <f t="shared" si="85"/>
        <v>9.8512499999999878</v>
      </c>
      <c r="N251" s="375">
        <f t="shared" si="85"/>
        <v>1.9440500000000018</v>
      </c>
      <c r="O251" s="375">
        <f t="shared" si="85"/>
        <v>3.8759000000000037</v>
      </c>
      <c r="P251" s="375">
        <f t="shared" si="85"/>
        <v>1.9358500000000018</v>
      </c>
      <c r="Q251" s="375">
        <f t="shared" si="85"/>
        <v>1.982950000000002</v>
      </c>
      <c r="R251" s="375">
        <f t="shared" si="85"/>
        <v>3.6630000000000029</v>
      </c>
      <c r="S251" s="375">
        <f t="shared" si="85"/>
        <v>1.2191500000000011</v>
      </c>
      <c r="T251" s="375">
        <f t="shared" si="85"/>
        <v>0.40219999999999589</v>
      </c>
      <c r="U251" s="375">
        <f t="shared" si="85"/>
        <v>0</v>
      </c>
      <c r="V251" s="375">
        <f t="shared" si="85"/>
        <v>0</v>
      </c>
      <c r="W251" s="375">
        <f t="shared" si="85"/>
        <v>0</v>
      </c>
      <c r="X251" s="375">
        <f t="shared" si="85"/>
        <v>0</v>
      </c>
      <c r="Y251" s="369"/>
    </row>
    <row r="252" spans="1:26" ht="13.5" thickBot="1" x14ac:dyDescent="0.25">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row>
    <row r="253" spans="1:26" ht="13.5" thickBot="1" x14ac:dyDescent="0.25">
      <c r="A253" s="361" t="s">
        <v>388</v>
      </c>
      <c r="B253" s="359">
        <f>ROW(A253)</f>
        <v>253</v>
      </c>
      <c r="C253" s="363" t="s">
        <v>115</v>
      </c>
      <c r="D253" s="353">
        <f>SUM(B256:Y256)</f>
        <v>142.7236025</v>
      </c>
      <c r="E253" s="363" t="s">
        <v>114</v>
      </c>
      <c r="F253" s="354">
        <v>208</v>
      </c>
      <c r="G253" s="363" t="s">
        <v>56</v>
      </c>
      <c r="H253" s="64">
        <v>0.19700000000000001</v>
      </c>
      <c r="I253" s="363" t="s">
        <v>271</v>
      </c>
      <c r="J253" s="355">
        <f>H253-L253</f>
        <v>7.0000000000000007E-2</v>
      </c>
      <c r="K253" s="363" t="s">
        <v>272</v>
      </c>
      <c r="L253" s="64">
        <v>0.127</v>
      </c>
      <c r="M253" s="363" t="s">
        <v>57</v>
      </c>
      <c r="N253" s="65">
        <v>63</v>
      </c>
      <c r="O253" s="363" t="s">
        <v>59</v>
      </c>
      <c r="P253" s="65">
        <v>114</v>
      </c>
      <c r="Q253" s="363" t="s">
        <v>60</v>
      </c>
      <c r="R253" s="65">
        <v>127</v>
      </c>
      <c r="S253" s="363" t="s">
        <v>61</v>
      </c>
      <c r="T253" s="65">
        <v>38</v>
      </c>
      <c r="U253" s="363" t="s">
        <v>54</v>
      </c>
      <c r="V253" s="66" t="s">
        <v>119</v>
      </c>
      <c r="W253" s="463" t="s">
        <v>394</v>
      </c>
      <c r="X253" s="465">
        <v>1.8</v>
      </c>
      <c r="Y253" s="463" t="s">
        <v>393</v>
      </c>
      <c r="Z253" s="358">
        <v>15</v>
      </c>
    </row>
    <row r="254" spans="1:26" x14ac:dyDescent="0.2">
      <c r="A254" s="362" t="s">
        <v>33</v>
      </c>
      <c r="B254" s="370">
        <v>0</v>
      </c>
      <c r="C254" s="370">
        <v>6.0000000000000001E-3</v>
      </c>
      <c r="D254" s="371">
        <v>1.7999999999999999E-2</v>
      </c>
      <c r="E254" s="371">
        <v>3.5999999999999997E-2</v>
      </c>
      <c r="F254" s="371">
        <v>4.7E-2</v>
      </c>
      <c r="G254" s="371">
        <v>8.4000000000000005E-2</v>
      </c>
      <c r="H254" s="371">
        <v>0.13500000000000001</v>
      </c>
      <c r="I254" s="371">
        <v>0.23799999999999999</v>
      </c>
      <c r="J254" s="371">
        <v>0.438</v>
      </c>
      <c r="K254" s="371">
        <v>0.63</v>
      </c>
      <c r="L254" s="371">
        <v>0.85899999999999999</v>
      </c>
      <c r="M254" s="371">
        <v>1.2829999999999999</v>
      </c>
      <c r="N254" s="371">
        <v>1.4470000000000001</v>
      </c>
      <c r="O254" s="371">
        <v>1.643</v>
      </c>
      <c r="P254" s="371">
        <v>1.7130000000000001</v>
      </c>
      <c r="Q254" s="371">
        <v>1.7430000000000001</v>
      </c>
      <c r="R254" s="371">
        <v>1.79</v>
      </c>
      <c r="S254" s="371">
        <v>1.8180000000000001</v>
      </c>
      <c r="T254" s="371">
        <v>1.8520000000000001</v>
      </c>
      <c r="U254" s="371">
        <v>2</v>
      </c>
      <c r="V254" s="371">
        <f t="shared" ref="V254:X255" si="86">U254</f>
        <v>2</v>
      </c>
      <c r="W254" s="371">
        <f t="shared" si="86"/>
        <v>2</v>
      </c>
      <c r="X254" s="371">
        <f t="shared" si="86"/>
        <v>2</v>
      </c>
      <c r="Y254" s="381">
        <v>1000</v>
      </c>
    </row>
    <row r="255" spans="1:26" x14ac:dyDescent="0.2">
      <c r="A255" s="378" t="s">
        <v>34</v>
      </c>
      <c r="B255" s="372">
        <v>0</v>
      </c>
      <c r="C255" s="372">
        <v>104.068</v>
      </c>
      <c r="D255" s="373">
        <v>137.928</v>
      </c>
      <c r="E255" s="373">
        <v>70.706999999999994</v>
      </c>
      <c r="F255" s="373">
        <v>62.241999999999997</v>
      </c>
      <c r="G255" s="373">
        <v>73.694000000000003</v>
      </c>
      <c r="H255" s="373">
        <v>78.176000000000002</v>
      </c>
      <c r="I255" s="373">
        <v>84.150999999999996</v>
      </c>
      <c r="J255" s="373">
        <v>89.628</v>
      </c>
      <c r="K255" s="373">
        <v>88.135000000000005</v>
      </c>
      <c r="L255" s="373">
        <v>87.138999999999996</v>
      </c>
      <c r="M255" s="373">
        <v>77.180000000000007</v>
      </c>
      <c r="N255" s="373">
        <v>70.706999999999994</v>
      </c>
      <c r="O255" s="373">
        <v>67.718999999999994</v>
      </c>
      <c r="P255" s="373">
        <v>64.233999999999995</v>
      </c>
      <c r="Q255" s="373">
        <v>54.274999999999999</v>
      </c>
      <c r="R255" s="373">
        <v>18.423999999999999</v>
      </c>
      <c r="S255" s="373">
        <v>6.4729999999999999</v>
      </c>
      <c r="T255" s="373">
        <v>0</v>
      </c>
      <c r="U255" s="373">
        <v>0</v>
      </c>
      <c r="V255" s="373">
        <f t="shared" si="86"/>
        <v>0</v>
      </c>
      <c r="W255" s="373">
        <f t="shared" si="86"/>
        <v>0</v>
      </c>
      <c r="X255" s="373">
        <f t="shared" si="86"/>
        <v>0</v>
      </c>
      <c r="Y255" s="382">
        <v>0</v>
      </c>
    </row>
    <row r="256" spans="1:26" ht="13.5" thickBot="1" x14ac:dyDescent="0.25">
      <c r="A256" s="379" t="s">
        <v>116</v>
      </c>
      <c r="B256" s="374">
        <f t="shared" ref="B256:X256" si="87">(C255+B255)*(C254-B254)/2</f>
        <v>0.31220399999999998</v>
      </c>
      <c r="C256" s="375">
        <f t="shared" si="87"/>
        <v>1.4519759999999997</v>
      </c>
      <c r="D256" s="375">
        <f t="shared" si="87"/>
        <v>1.8777149999999998</v>
      </c>
      <c r="E256" s="375">
        <f t="shared" si="87"/>
        <v>0.73121950000000013</v>
      </c>
      <c r="F256" s="375">
        <f t="shared" si="87"/>
        <v>2.5148160000000006</v>
      </c>
      <c r="G256" s="375">
        <f t="shared" si="87"/>
        <v>3.8726850000000006</v>
      </c>
      <c r="H256" s="375">
        <f t="shared" si="87"/>
        <v>8.3598404999999989</v>
      </c>
      <c r="I256" s="375">
        <f t="shared" si="87"/>
        <v>17.3779</v>
      </c>
      <c r="J256" s="375">
        <f t="shared" si="87"/>
        <v>17.065248</v>
      </c>
      <c r="K256" s="375">
        <f t="shared" si="87"/>
        <v>20.068873</v>
      </c>
      <c r="L256" s="375">
        <f t="shared" si="87"/>
        <v>34.835628</v>
      </c>
      <c r="M256" s="375">
        <f t="shared" si="87"/>
        <v>12.126734000000011</v>
      </c>
      <c r="N256" s="375">
        <f t="shared" si="87"/>
        <v>13.565747999999996</v>
      </c>
      <c r="O256" s="375">
        <f t="shared" si="87"/>
        <v>4.6183550000000029</v>
      </c>
      <c r="P256" s="375">
        <f t="shared" si="87"/>
        <v>1.7776350000000014</v>
      </c>
      <c r="Q256" s="375">
        <f t="shared" si="87"/>
        <v>1.7084264999999974</v>
      </c>
      <c r="R256" s="375">
        <f t="shared" si="87"/>
        <v>0.34855800000000031</v>
      </c>
      <c r="S256" s="375">
        <f t="shared" si="87"/>
        <v>0.1100410000000001</v>
      </c>
      <c r="T256" s="375">
        <f t="shared" si="87"/>
        <v>0</v>
      </c>
      <c r="U256" s="375">
        <f t="shared" si="87"/>
        <v>0</v>
      </c>
      <c r="V256" s="375">
        <f t="shared" si="87"/>
        <v>0</v>
      </c>
      <c r="W256" s="375">
        <f t="shared" si="87"/>
        <v>0</v>
      </c>
      <c r="X256" s="375">
        <f t="shared" si="87"/>
        <v>0</v>
      </c>
      <c r="Y256" s="369"/>
    </row>
    <row r="257" spans="1:25" ht="13.5" thickBot="1" x14ac:dyDescent="0.25">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row>
    <row r="258" spans="1:25" ht="13.5" thickBot="1" x14ac:dyDescent="0.25">
      <c r="A258" s="361" t="s">
        <v>274</v>
      </c>
      <c r="B258" s="360">
        <f>ROW(A258)</f>
        <v>258</v>
      </c>
      <c r="C258" s="363" t="s">
        <v>115</v>
      </c>
      <c r="D258" s="353">
        <f>SUM(B261:Y261)</f>
        <v>33.500000000000007</v>
      </c>
      <c r="E258" s="363" t="s">
        <v>114</v>
      </c>
      <c r="F258" s="354">
        <f>D258/g/J258</f>
        <v>68.297655453618759</v>
      </c>
      <c r="G258" s="363" t="s">
        <v>56</v>
      </c>
      <c r="H258" s="64">
        <v>8.5000000000000006E-2</v>
      </c>
      <c r="I258" s="363" t="s">
        <v>271</v>
      </c>
      <c r="J258" s="355">
        <f>H258-L258</f>
        <v>0.05</v>
      </c>
      <c r="K258" s="363" t="s">
        <v>272</v>
      </c>
      <c r="L258" s="64">
        <v>3.5000000000000003E-2</v>
      </c>
      <c r="M258" s="363" t="s">
        <v>57</v>
      </c>
      <c r="N258" s="65">
        <v>20</v>
      </c>
      <c r="O258" s="363" t="s">
        <v>59</v>
      </c>
      <c r="P258" s="65">
        <v>20</v>
      </c>
      <c r="Q258" s="363" t="s">
        <v>60</v>
      </c>
      <c r="R258" s="65">
        <v>39</v>
      </c>
      <c r="S258" s="363" t="s">
        <v>61</v>
      </c>
      <c r="T258" s="65">
        <v>39</v>
      </c>
      <c r="U258" s="363" t="s">
        <v>54</v>
      </c>
      <c r="V258" s="66" t="s">
        <v>401</v>
      </c>
      <c r="W258" s="12"/>
      <c r="X258" s="12"/>
      <c r="Y258" s="12"/>
    </row>
    <row r="259" spans="1:25" x14ac:dyDescent="0.2">
      <c r="A259" s="362" t="s">
        <v>33</v>
      </c>
      <c r="B259" s="370">
        <v>0</v>
      </c>
      <c r="C259" s="371">
        <v>0.05</v>
      </c>
      <c r="D259" s="371">
        <v>0.1</v>
      </c>
      <c r="E259" s="371">
        <v>0.25</v>
      </c>
      <c r="F259" s="371">
        <v>0.3</v>
      </c>
      <c r="G259" s="371">
        <v>0.35</v>
      </c>
      <c r="H259" s="371">
        <v>0.45</v>
      </c>
      <c r="I259" s="371">
        <v>0.55000000000000004</v>
      </c>
      <c r="J259" s="371">
        <v>3.5</v>
      </c>
      <c r="K259" s="371">
        <v>3.6</v>
      </c>
      <c r="L259" s="371">
        <v>3.6</v>
      </c>
      <c r="M259" s="371">
        <v>3.6</v>
      </c>
      <c r="N259" s="371">
        <v>3.6</v>
      </c>
      <c r="O259" s="371">
        <v>3.6</v>
      </c>
      <c r="P259" s="371">
        <v>3.6</v>
      </c>
      <c r="Q259" s="371">
        <v>3.6</v>
      </c>
      <c r="R259" s="371">
        <v>3.6</v>
      </c>
      <c r="S259" s="371">
        <v>3.6</v>
      </c>
      <c r="T259" s="371">
        <v>3.6</v>
      </c>
      <c r="U259" s="371">
        <v>3.6</v>
      </c>
      <c r="V259" s="371">
        <v>3.6</v>
      </c>
      <c r="W259" s="371">
        <v>3.6</v>
      </c>
      <c r="X259" s="371">
        <v>3.6</v>
      </c>
      <c r="Y259" s="381">
        <v>1000</v>
      </c>
    </row>
    <row r="260" spans="1:25" x14ac:dyDescent="0.2">
      <c r="A260" s="378" t="s">
        <v>34</v>
      </c>
      <c r="B260" s="372">
        <v>0</v>
      </c>
      <c r="C260" s="373">
        <v>68</v>
      </c>
      <c r="D260" s="373">
        <v>62</v>
      </c>
      <c r="E260" s="373">
        <v>60</v>
      </c>
      <c r="F260" s="373">
        <v>39</v>
      </c>
      <c r="G260" s="373">
        <v>38</v>
      </c>
      <c r="H260" s="373">
        <v>9</v>
      </c>
      <c r="I260" s="373">
        <v>5</v>
      </c>
      <c r="J260" s="373">
        <v>3</v>
      </c>
      <c r="K260" s="373">
        <v>0</v>
      </c>
      <c r="L260" s="373">
        <v>0</v>
      </c>
      <c r="M260" s="373">
        <v>0</v>
      </c>
      <c r="N260" s="373">
        <v>0</v>
      </c>
      <c r="O260" s="373">
        <v>0</v>
      </c>
      <c r="P260" s="373">
        <v>0</v>
      </c>
      <c r="Q260" s="373">
        <v>0</v>
      </c>
      <c r="R260" s="373">
        <v>0</v>
      </c>
      <c r="S260" s="373">
        <v>0</v>
      </c>
      <c r="T260" s="373">
        <v>0</v>
      </c>
      <c r="U260" s="373">
        <v>0</v>
      </c>
      <c r="V260" s="373">
        <v>0</v>
      </c>
      <c r="W260" s="373">
        <v>0</v>
      </c>
      <c r="X260" s="373">
        <v>0</v>
      </c>
      <c r="Y260" s="382">
        <v>0</v>
      </c>
    </row>
    <row r="261" spans="1:25" ht="13.5" thickBot="1" x14ac:dyDescent="0.25">
      <c r="A261" s="379" t="s">
        <v>116</v>
      </c>
      <c r="B261" s="374">
        <f t="shared" ref="B261:V261" si="88">(C260+B260)*(C259-B259)/2</f>
        <v>1.7000000000000002</v>
      </c>
      <c r="C261" s="375">
        <f t="shared" si="88"/>
        <v>3.25</v>
      </c>
      <c r="D261" s="375">
        <f t="shared" si="88"/>
        <v>9.15</v>
      </c>
      <c r="E261" s="375">
        <f t="shared" si="88"/>
        <v>2.4749999999999996</v>
      </c>
      <c r="F261" s="375">
        <f t="shared" si="88"/>
        <v>1.9249999999999996</v>
      </c>
      <c r="G261" s="375">
        <f t="shared" si="88"/>
        <v>2.350000000000001</v>
      </c>
      <c r="H261" s="375">
        <f t="shared" si="88"/>
        <v>0.70000000000000018</v>
      </c>
      <c r="I261" s="375">
        <f t="shared" si="88"/>
        <v>11.8</v>
      </c>
      <c r="J261" s="375">
        <f t="shared" si="88"/>
        <v>0.15000000000000013</v>
      </c>
      <c r="K261" s="375">
        <f t="shared" si="88"/>
        <v>0</v>
      </c>
      <c r="L261" s="375">
        <f t="shared" si="88"/>
        <v>0</v>
      </c>
      <c r="M261" s="375">
        <f t="shared" si="88"/>
        <v>0</v>
      </c>
      <c r="N261" s="375">
        <f t="shared" si="88"/>
        <v>0</v>
      </c>
      <c r="O261" s="375">
        <f t="shared" si="88"/>
        <v>0</v>
      </c>
      <c r="P261" s="375">
        <f t="shared" si="88"/>
        <v>0</v>
      </c>
      <c r="Q261" s="375">
        <f t="shared" si="88"/>
        <v>0</v>
      </c>
      <c r="R261" s="375">
        <f t="shared" si="88"/>
        <v>0</v>
      </c>
      <c r="S261" s="375">
        <f t="shared" si="88"/>
        <v>0</v>
      </c>
      <c r="T261" s="375">
        <f t="shared" si="88"/>
        <v>0</v>
      </c>
      <c r="U261" s="375">
        <f t="shared" si="88"/>
        <v>0</v>
      </c>
      <c r="V261" s="375">
        <f t="shared" si="88"/>
        <v>0</v>
      </c>
      <c r="W261" s="375">
        <f>(X260+W260)*(X259-W259)/2</f>
        <v>0</v>
      </c>
      <c r="X261" s="375">
        <f>(Y260+X260)*(Y259-X259)/2</f>
        <v>0</v>
      </c>
      <c r="Y261" s="369"/>
    </row>
    <row r="262" spans="1:25" ht="13.5" thickBot="1" x14ac:dyDescent="0.25">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row>
    <row r="263" spans="1:25" ht="13.5" thickBot="1" x14ac:dyDescent="0.25">
      <c r="A263" s="361" t="s">
        <v>275</v>
      </c>
      <c r="B263" s="359">
        <f>ROW(A263)</f>
        <v>263</v>
      </c>
      <c r="C263" s="363" t="s">
        <v>115</v>
      </c>
      <c r="D263" s="353">
        <f>SUM(B266:Y266)</f>
        <v>145.46</v>
      </c>
      <c r="E263" s="363" t="s">
        <v>114</v>
      </c>
      <c r="F263" s="354">
        <f>D263/g/J263</f>
        <v>211.82466870540264</v>
      </c>
      <c r="G263" s="363" t="s">
        <v>56</v>
      </c>
      <c r="H263" s="64">
        <v>0.22</v>
      </c>
      <c r="I263" s="363" t="s">
        <v>271</v>
      </c>
      <c r="J263" s="355">
        <f>H263-L263</f>
        <v>7.0000000000000007E-2</v>
      </c>
      <c r="K263" s="363" t="s">
        <v>272</v>
      </c>
      <c r="L263" s="64">
        <v>0.15</v>
      </c>
      <c r="M263" s="363" t="s">
        <v>57</v>
      </c>
      <c r="N263" s="65">
        <v>50</v>
      </c>
      <c r="O263" s="363" t="s">
        <v>59</v>
      </c>
      <c r="P263" s="65">
        <v>55</v>
      </c>
      <c r="Q263" s="363" t="s">
        <v>60</v>
      </c>
      <c r="R263" s="65">
        <v>76</v>
      </c>
      <c r="S263" s="363" t="s">
        <v>61</v>
      </c>
      <c r="T263" s="65">
        <v>40</v>
      </c>
      <c r="U263" s="363" t="s">
        <v>54</v>
      </c>
      <c r="V263" s="66" t="s">
        <v>401</v>
      </c>
      <c r="W263" s="12"/>
      <c r="X263" s="12"/>
      <c r="Y263" s="12"/>
    </row>
    <row r="264" spans="1:25" x14ac:dyDescent="0.2">
      <c r="A264" s="362" t="s">
        <v>33</v>
      </c>
      <c r="B264" s="370">
        <v>0</v>
      </c>
      <c r="C264" s="371">
        <v>0.02</v>
      </c>
      <c r="D264" s="371">
        <v>0.04</v>
      </c>
      <c r="E264" s="371">
        <v>0.05</v>
      </c>
      <c r="F264" s="371">
        <v>0.06</v>
      </c>
      <c r="G264" s="371">
        <v>0.94</v>
      </c>
      <c r="H264" s="377">
        <v>0.94200000000000006</v>
      </c>
      <c r="I264" s="371">
        <v>0.95</v>
      </c>
      <c r="J264" s="371">
        <v>0.95</v>
      </c>
      <c r="K264" s="371">
        <v>0.95</v>
      </c>
      <c r="L264" s="371">
        <v>0.95</v>
      </c>
      <c r="M264" s="371">
        <v>0.95</v>
      </c>
      <c r="N264" s="371">
        <v>0.95</v>
      </c>
      <c r="O264" s="371">
        <v>0.95</v>
      </c>
      <c r="P264" s="371">
        <v>0.95</v>
      </c>
      <c r="Q264" s="371">
        <v>0.95</v>
      </c>
      <c r="R264" s="371">
        <v>0.95</v>
      </c>
      <c r="S264" s="371">
        <v>0.95</v>
      </c>
      <c r="T264" s="371">
        <v>0.95</v>
      </c>
      <c r="U264" s="371">
        <v>0.95</v>
      </c>
      <c r="V264" s="371">
        <v>0.95</v>
      </c>
      <c r="W264" s="371">
        <v>0.95</v>
      </c>
      <c r="X264" s="371">
        <v>2</v>
      </c>
      <c r="Y264" s="381">
        <v>1000</v>
      </c>
    </row>
    <row r="265" spans="1:25" x14ac:dyDescent="0.2">
      <c r="A265" s="378" t="s">
        <v>34</v>
      </c>
      <c r="B265" s="372">
        <v>0</v>
      </c>
      <c r="C265" s="373">
        <v>320</v>
      </c>
      <c r="D265" s="373">
        <v>170</v>
      </c>
      <c r="E265" s="373">
        <v>205</v>
      </c>
      <c r="F265" s="373">
        <v>217</v>
      </c>
      <c r="G265" s="373">
        <v>85</v>
      </c>
      <c r="H265" s="373">
        <v>82</v>
      </c>
      <c r="I265" s="373">
        <v>0</v>
      </c>
      <c r="J265" s="373">
        <v>0</v>
      </c>
      <c r="K265" s="373">
        <v>0</v>
      </c>
      <c r="L265" s="373">
        <v>0</v>
      </c>
      <c r="M265" s="373">
        <v>0</v>
      </c>
      <c r="N265" s="373">
        <v>0</v>
      </c>
      <c r="O265" s="373">
        <v>0</v>
      </c>
      <c r="P265" s="373">
        <v>0</v>
      </c>
      <c r="Q265" s="373">
        <v>0</v>
      </c>
      <c r="R265" s="373">
        <v>0</v>
      </c>
      <c r="S265" s="373">
        <v>0</v>
      </c>
      <c r="T265" s="373">
        <v>0</v>
      </c>
      <c r="U265" s="373">
        <v>0</v>
      </c>
      <c r="V265" s="373">
        <v>0</v>
      </c>
      <c r="W265" s="373">
        <v>0</v>
      </c>
      <c r="X265" s="373">
        <v>0</v>
      </c>
      <c r="Y265" s="382">
        <v>0</v>
      </c>
    </row>
    <row r="266" spans="1:25" ht="13.5" thickBot="1" x14ac:dyDescent="0.25">
      <c r="A266" s="379" t="s">
        <v>116</v>
      </c>
      <c r="B266" s="374">
        <f t="shared" ref="B266:H266" si="89">(C265+B265)*(C264-B264)/2</f>
        <v>3.2</v>
      </c>
      <c r="C266" s="375">
        <f t="shared" si="89"/>
        <v>4.9000000000000004</v>
      </c>
      <c r="D266" s="375">
        <f t="shared" si="89"/>
        <v>1.8750000000000004</v>
      </c>
      <c r="E266" s="375">
        <f t="shared" si="89"/>
        <v>2.109999999999999</v>
      </c>
      <c r="F266" s="375">
        <f t="shared" si="89"/>
        <v>132.88</v>
      </c>
      <c r="G266" s="375">
        <f t="shared" si="89"/>
        <v>0.16700000000000942</v>
      </c>
      <c r="H266" s="375">
        <f t="shared" si="89"/>
        <v>0.32799999999999574</v>
      </c>
      <c r="I266" s="375">
        <f t="shared" ref="I266:V266" si="90">(J265+I265)*(J264-I264)/2</f>
        <v>0</v>
      </c>
      <c r="J266" s="375">
        <f>(K265+J265)*(K264-J264)/2</f>
        <v>0</v>
      </c>
      <c r="K266" s="375">
        <f t="shared" si="90"/>
        <v>0</v>
      </c>
      <c r="L266" s="375">
        <f t="shared" si="90"/>
        <v>0</v>
      </c>
      <c r="M266" s="375">
        <f t="shared" si="90"/>
        <v>0</v>
      </c>
      <c r="N266" s="375">
        <f t="shared" si="90"/>
        <v>0</v>
      </c>
      <c r="O266" s="375">
        <f t="shared" si="90"/>
        <v>0</v>
      </c>
      <c r="P266" s="375">
        <f t="shared" si="90"/>
        <v>0</v>
      </c>
      <c r="Q266" s="375">
        <f t="shared" si="90"/>
        <v>0</v>
      </c>
      <c r="R266" s="375">
        <f t="shared" si="90"/>
        <v>0</v>
      </c>
      <c r="S266" s="375">
        <f>(T265+S265)*(T264-S264)/2</f>
        <v>0</v>
      </c>
      <c r="T266" s="375">
        <f t="shared" si="90"/>
        <v>0</v>
      </c>
      <c r="U266" s="375">
        <f t="shared" si="90"/>
        <v>0</v>
      </c>
      <c r="V266" s="375">
        <f t="shared" si="90"/>
        <v>0</v>
      </c>
      <c r="W266" s="375">
        <f>(X265+W265)*(X264-W264)/2</f>
        <v>0</v>
      </c>
      <c r="X266" s="375">
        <f>(Y265+X265)*(Y264-X264)/2</f>
        <v>0</v>
      </c>
      <c r="Y266" s="369"/>
    </row>
    <row r="267" spans="1:25" x14ac:dyDescent="0.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row>
    <row r="268" spans="1:25" ht="13.5" thickBot="1" x14ac:dyDescent="0.25">
      <c r="A268" s="6" t="s">
        <v>313</v>
      </c>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row>
    <row r="269" spans="1:25" ht="13.5" thickBot="1" x14ac:dyDescent="0.25">
      <c r="A269" s="361" t="s">
        <v>35</v>
      </c>
      <c r="B269" s="359">
        <f>ROW(A269)</f>
        <v>269</v>
      </c>
      <c r="C269" s="363" t="s">
        <v>115</v>
      </c>
      <c r="D269" s="353">
        <f>SUM(B272:Y272)</f>
        <v>1071.5999999999999</v>
      </c>
      <c r="E269" s="363" t="s">
        <v>114</v>
      </c>
      <c r="F269" s="354">
        <f>D269/g/J269</f>
        <v>163.03802090465106</v>
      </c>
      <c r="G269" s="363" t="s">
        <v>56</v>
      </c>
      <c r="H269" s="64">
        <v>2.02</v>
      </c>
      <c r="I269" s="363" t="s">
        <v>271</v>
      </c>
      <c r="J269" s="355">
        <f>H269-L269</f>
        <v>0.66999999999999993</v>
      </c>
      <c r="K269" s="363" t="s">
        <v>272</v>
      </c>
      <c r="L269" s="64">
        <v>1.35</v>
      </c>
      <c r="M269" s="363" t="s">
        <v>57</v>
      </c>
      <c r="N269" s="65">
        <v>154</v>
      </c>
      <c r="O269" s="363" t="s">
        <v>59</v>
      </c>
      <c r="P269" s="65">
        <v>168</v>
      </c>
      <c r="Q269" s="363" t="s">
        <v>60</v>
      </c>
      <c r="R269" s="65">
        <v>230</v>
      </c>
      <c r="S269" s="363" t="s">
        <v>61</v>
      </c>
      <c r="T269" s="65">
        <v>67</v>
      </c>
      <c r="U269" s="363" t="s">
        <v>54</v>
      </c>
      <c r="V269" s="66" t="s">
        <v>118</v>
      </c>
      <c r="W269" s="12"/>
      <c r="X269" s="12"/>
      <c r="Y269" s="12"/>
    </row>
    <row r="270" spans="1:25" x14ac:dyDescent="0.2">
      <c r="A270" s="362" t="s">
        <v>33</v>
      </c>
      <c r="B270" s="370">
        <v>0</v>
      </c>
      <c r="C270" s="371">
        <v>0.02</v>
      </c>
      <c r="D270" s="371">
        <v>0.05</v>
      </c>
      <c r="E270" s="371">
        <v>0.06</v>
      </c>
      <c r="F270" s="371">
        <v>0.09</v>
      </c>
      <c r="G270" s="371">
        <v>0.17</v>
      </c>
      <c r="H270" s="371">
        <v>0.2</v>
      </c>
      <c r="I270" s="371">
        <v>0.38</v>
      </c>
      <c r="J270" s="371">
        <v>0.75</v>
      </c>
      <c r="K270" s="371">
        <v>0.79</v>
      </c>
      <c r="L270" s="371">
        <v>1.1299999999999999</v>
      </c>
      <c r="M270" s="371">
        <v>1.2</v>
      </c>
      <c r="N270" s="371">
        <v>1.5</v>
      </c>
      <c r="O270" s="371">
        <v>1.54</v>
      </c>
      <c r="P270" s="371">
        <v>1.65</v>
      </c>
      <c r="Q270" s="371">
        <v>1.7</v>
      </c>
      <c r="R270" s="371">
        <v>1.79</v>
      </c>
      <c r="S270" s="371">
        <v>1.79</v>
      </c>
      <c r="T270" s="371">
        <v>1.79</v>
      </c>
      <c r="U270" s="371">
        <v>1.79</v>
      </c>
      <c r="V270" s="371">
        <v>1.79</v>
      </c>
      <c r="W270" s="371">
        <v>1.79</v>
      </c>
      <c r="X270" s="371">
        <v>1.79</v>
      </c>
      <c r="Y270" s="381">
        <v>1000</v>
      </c>
    </row>
    <row r="271" spans="1:25" x14ac:dyDescent="0.2">
      <c r="A271" s="378" t="s">
        <v>34</v>
      </c>
      <c r="B271" s="372">
        <v>0</v>
      </c>
      <c r="C271" s="373">
        <v>20</v>
      </c>
      <c r="D271" s="373">
        <v>870</v>
      </c>
      <c r="E271" s="373">
        <v>530</v>
      </c>
      <c r="F271" s="373">
        <v>790</v>
      </c>
      <c r="G271" s="373">
        <v>700</v>
      </c>
      <c r="H271" s="373">
        <v>710</v>
      </c>
      <c r="I271" s="373">
        <v>670</v>
      </c>
      <c r="J271" s="373">
        <v>630</v>
      </c>
      <c r="K271" s="373">
        <v>630</v>
      </c>
      <c r="L271" s="373">
        <v>710</v>
      </c>
      <c r="M271" s="373">
        <v>690</v>
      </c>
      <c r="N271" s="373">
        <v>690</v>
      </c>
      <c r="O271" s="373">
        <v>660</v>
      </c>
      <c r="P271" s="373">
        <v>160</v>
      </c>
      <c r="Q271" s="373">
        <v>10</v>
      </c>
      <c r="R271" s="373">
        <v>0</v>
      </c>
      <c r="S271" s="373">
        <v>0</v>
      </c>
      <c r="T271" s="373">
        <v>0</v>
      </c>
      <c r="U271" s="373">
        <v>0</v>
      </c>
      <c r="V271" s="373">
        <v>0</v>
      </c>
      <c r="W271" s="373">
        <v>0</v>
      </c>
      <c r="X271" s="373">
        <v>0</v>
      </c>
      <c r="Y271" s="382">
        <v>0</v>
      </c>
    </row>
    <row r="272" spans="1:25" ht="13.5" thickBot="1" x14ac:dyDescent="0.25">
      <c r="A272" s="379" t="s">
        <v>116</v>
      </c>
      <c r="B272" s="374">
        <f t="shared" ref="B272:Q272" si="91">(C271+B271)*(C270-B270)/2</f>
        <v>0.2</v>
      </c>
      <c r="C272" s="375">
        <f t="shared" si="91"/>
        <v>13.350000000000001</v>
      </c>
      <c r="D272" s="375">
        <f t="shared" si="91"/>
        <v>6.9999999999999964</v>
      </c>
      <c r="E272" s="375">
        <f t="shared" si="91"/>
        <v>19.8</v>
      </c>
      <c r="F272" s="375">
        <f t="shared" si="91"/>
        <v>59.600000000000009</v>
      </c>
      <c r="G272" s="375">
        <f t="shared" si="91"/>
        <v>21.15</v>
      </c>
      <c r="H272" s="375">
        <f t="shared" si="91"/>
        <v>124.19999999999999</v>
      </c>
      <c r="I272" s="375">
        <f t="shared" si="91"/>
        <v>240.5</v>
      </c>
      <c r="J272" s="375">
        <f>(K271+J271)*(K270-J270)/2</f>
        <v>25.200000000000024</v>
      </c>
      <c r="K272" s="375">
        <f t="shared" si="91"/>
        <v>227.7999999999999</v>
      </c>
      <c r="L272" s="375">
        <f t="shared" si="91"/>
        <v>49.000000000000043</v>
      </c>
      <c r="M272" s="375">
        <f t="shared" si="91"/>
        <v>207.00000000000003</v>
      </c>
      <c r="N272" s="375">
        <f t="shared" si="91"/>
        <v>27.000000000000025</v>
      </c>
      <c r="O272" s="375">
        <f t="shared" si="91"/>
        <v>45.099999999999952</v>
      </c>
      <c r="P272" s="375">
        <f t="shared" si="91"/>
        <v>4.2500000000000036</v>
      </c>
      <c r="Q272" s="375">
        <f t="shared" si="91"/>
        <v>0.4500000000000004</v>
      </c>
      <c r="R272" s="375">
        <f t="shared" ref="R272:X272" si="92">(S271+R271)*(S270-R270)/2</f>
        <v>0</v>
      </c>
      <c r="S272" s="375">
        <f t="shared" si="92"/>
        <v>0</v>
      </c>
      <c r="T272" s="375">
        <f t="shared" si="92"/>
        <v>0</v>
      </c>
      <c r="U272" s="375">
        <f t="shared" si="92"/>
        <v>0</v>
      </c>
      <c r="V272" s="375">
        <f t="shared" si="92"/>
        <v>0</v>
      </c>
      <c r="W272" s="375">
        <f t="shared" si="92"/>
        <v>0</v>
      </c>
      <c r="X272" s="375">
        <f t="shared" si="92"/>
        <v>0</v>
      </c>
      <c r="Y272" s="383"/>
    </row>
    <row r="273" spans="1:25" ht="13.5" thickBot="1" x14ac:dyDescent="0.25">
      <c r="S273" s="12"/>
      <c r="T273" s="12"/>
      <c r="U273" s="12"/>
      <c r="V273" s="12"/>
      <c r="W273" s="12"/>
      <c r="X273" s="12"/>
      <c r="Y273" s="12"/>
    </row>
    <row r="274" spans="1:25" ht="13.5" thickBot="1" x14ac:dyDescent="0.25">
      <c r="A274" s="361" t="s">
        <v>36</v>
      </c>
      <c r="B274" s="359">
        <f>ROW(A274)</f>
        <v>274</v>
      </c>
      <c r="C274" s="363" t="s">
        <v>115</v>
      </c>
      <c r="D274" s="353">
        <f>SUM(B277:Y277)</f>
        <v>2102.35</v>
      </c>
      <c r="E274" s="363" t="s">
        <v>114</v>
      </c>
      <c r="F274" s="354">
        <f>D274/g/J274</f>
        <v>174.23319493133766</v>
      </c>
      <c r="G274" s="363" t="s">
        <v>56</v>
      </c>
      <c r="H274" s="64">
        <v>3.7</v>
      </c>
      <c r="I274" s="363" t="s">
        <v>271</v>
      </c>
      <c r="J274" s="355">
        <f>H274-L274</f>
        <v>1.23</v>
      </c>
      <c r="K274" s="363" t="s">
        <v>272</v>
      </c>
      <c r="L274" s="64">
        <v>2.4700000000000002</v>
      </c>
      <c r="M274" s="363" t="s">
        <v>57</v>
      </c>
      <c r="N274" s="65">
        <v>151</v>
      </c>
      <c r="O274" s="363" t="s">
        <v>59</v>
      </c>
      <c r="P274" s="65">
        <v>171</v>
      </c>
      <c r="Q274" s="363" t="s">
        <v>60</v>
      </c>
      <c r="R274" s="65">
        <v>247</v>
      </c>
      <c r="S274" s="363" t="s">
        <v>61</v>
      </c>
      <c r="T274" s="65">
        <v>90</v>
      </c>
      <c r="U274" s="363" t="s">
        <v>54</v>
      </c>
      <c r="V274" s="66" t="s">
        <v>118</v>
      </c>
      <c r="W274" s="12"/>
      <c r="X274" s="12"/>
      <c r="Y274" s="12"/>
    </row>
    <row r="275" spans="1:25" x14ac:dyDescent="0.2">
      <c r="A275" s="362" t="s">
        <v>33</v>
      </c>
      <c r="B275" s="370">
        <v>0</v>
      </c>
      <c r="C275" s="371">
        <v>0.05</v>
      </c>
      <c r="D275" s="371">
        <v>0.1</v>
      </c>
      <c r="E275" s="371">
        <v>1</v>
      </c>
      <c r="F275" s="371">
        <v>1.35</v>
      </c>
      <c r="G275" s="371">
        <v>1.75</v>
      </c>
      <c r="H275" s="371">
        <v>2.15</v>
      </c>
      <c r="I275" s="371">
        <v>2.25</v>
      </c>
      <c r="J275" s="371">
        <v>2.48</v>
      </c>
      <c r="K275" s="371">
        <v>2.6</v>
      </c>
      <c r="L275" s="371">
        <v>2.8</v>
      </c>
      <c r="M275" s="371">
        <v>2.8</v>
      </c>
      <c r="N275" s="371">
        <v>2.8</v>
      </c>
      <c r="O275" s="371">
        <v>2.8</v>
      </c>
      <c r="P275" s="371">
        <v>2.8</v>
      </c>
      <c r="Q275" s="371">
        <v>2.8</v>
      </c>
      <c r="R275" s="371">
        <v>2.8</v>
      </c>
      <c r="S275" s="371">
        <v>2.8</v>
      </c>
      <c r="T275" s="371">
        <v>2.8</v>
      </c>
      <c r="U275" s="371">
        <v>2.8</v>
      </c>
      <c r="V275" s="371">
        <v>2.8</v>
      </c>
      <c r="W275" s="371">
        <v>2.8</v>
      </c>
      <c r="X275" s="371">
        <v>2.8</v>
      </c>
      <c r="Y275" s="381">
        <v>1000</v>
      </c>
    </row>
    <row r="276" spans="1:25" x14ac:dyDescent="0.2">
      <c r="A276" s="378" t="s">
        <v>34</v>
      </c>
      <c r="B276" s="372">
        <v>0</v>
      </c>
      <c r="C276" s="373">
        <v>860</v>
      </c>
      <c r="D276" s="373">
        <v>840</v>
      </c>
      <c r="E276" s="373">
        <v>840</v>
      </c>
      <c r="F276" s="373">
        <v>850</v>
      </c>
      <c r="G276" s="373">
        <v>900</v>
      </c>
      <c r="H276" s="373">
        <v>1050</v>
      </c>
      <c r="I276" s="373">
        <v>1020</v>
      </c>
      <c r="J276" s="373">
        <v>120</v>
      </c>
      <c r="K276" s="373">
        <v>30</v>
      </c>
      <c r="L276" s="373">
        <v>0</v>
      </c>
      <c r="M276" s="373">
        <v>0</v>
      </c>
      <c r="N276" s="373">
        <v>0</v>
      </c>
      <c r="O276" s="373">
        <v>0</v>
      </c>
      <c r="P276" s="373">
        <v>0</v>
      </c>
      <c r="Q276" s="373">
        <v>0</v>
      </c>
      <c r="R276" s="373">
        <v>0</v>
      </c>
      <c r="S276" s="373">
        <v>0</v>
      </c>
      <c r="T276" s="373">
        <v>0</v>
      </c>
      <c r="U276" s="373">
        <v>0</v>
      </c>
      <c r="V276" s="373">
        <v>0</v>
      </c>
      <c r="W276" s="373">
        <v>0</v>
      </c>
      <c r="X276" s="373">
        <v>0</v>
      </c>
      <c r="Y276" s="382">
        <v>0</v>
      </c>
    </row>
    <row r="277" spans="1:25" ht="13.5" thickBot="1" x14ac:dyDescent="0.25">
      <c r="A277" s="379" t="s">
        <v>116</v>
      </c>
      <c r="B277" s="374">
        <f t="shared" ref="B277:K277" si="93">(C276+B276)*(C275-B275)/2</f>
        <v>21.5</v>
      </c>
      <c r="C277" s="375">
        <f t="shared" si="93"/>
        <v>42.5</v>
      </c>
      <c r="D277" s="375">
        <f t="shared" si="93"/>
        <v>756</v>
      </c>
      <c r="E277" s="375">
        <f t="shared" si="93"/>
        <v>295.75000000000006</v>
      </c>
      <c r="F277" s="375">
        <f t="shared" si="93"/>
        <v>349.99999999999994</v>
      </c>
      <c r="G277" s="375">
        <f t="shared" si="93"/>
        <v>389.99999999999989</v>
      </c>
      <c r="H277" s="375">
        <f t="shared" si="93"/>
        <v>103.50000000000009</v>
      </c>
      <c r="I277" s="375">
        <f t="shared" si="93"/>
        <v>131.1</v>
      </c>
      <c r="J277" s="375">
        <f>(K276+J276)*(K275-J275)/2</f>
        <v>9.0000000000000071</v>
      </c>
      <c r="K277" s="375">
        <f t="shared" si="93"/>
        <v>2.999999999999996</v>
      </c>
      <c r="L277" s="375">
        <f t="shared" ref="L277:V277" si="94">(M276+L276)*(M275-L275)/2</f>
        <v>0</v>
      </c>
      <c r="M277" s="375">
        <f t="shared" si="94"/>
        <v>0</v>
      </c>
      <c r="N277" s="375">
        <f t="shared" si="94"/>
        <v>0</v>
      </c>
      <c r="O277" s="375">
        <f t="shared" si="94"/>
        <v>0</v>
      </c>
      <c r="P277" s="375">
        <f t="shared" si="94"/>
        <v>0</v>
      </c>
      <c r="Q277" s="375">
        <f t="shared" si="94"/>
        <v>0</v>
      </c>
      <c r="R277" s="375">
        <f t="shared" si="94"/>
        <v>0</v>
      </c>
      <c r="S277" s="375">
        <f>(T276+S276)*(T275-S275)/2</f>
        <v>0</v>
      </c>
      <c r="T277" s="375">
        <f t="shared" si="94"/>
        <v>0</v>
      </c>
      <c r="U277" s="375">
        <f t="shared" si="94"/>
        <v>0</v>
      </c>
      <c r="V277" s="375">
        <f t="shared" si="94"/>
        <v>0</v>
      </c>
      <c r="W277" s="375">
        <f>(X276+W276)*(X275-W275)/2</f>
        <v>0</v>
      </c>
      <c r="X277" s="375">
        <f>(Y276+X276)*(Y275-X275)/2</f>
        <v>0</v>
      </c>
      <c r="Y277" s="369"/>
    </row>
    <row r="278" spans="1:25" ht="13.5" thickBot="1" x14ac:dyDescent="0.25"/>
    <row r="279" spans="1:25" ht="13.5" thickBot="1" x14ac:dyDescent="0.25">
      <c r="A279" s="361" t="s">
        <v>548</v>
      </c>
      <c r="B279" s="359">
        <f>ROW(A279)</f>
        <v>279</v>
      </c>
      <c r="C279" s="363" t="s">
        <v>115</v>
      </c>
      <c r="D279" s="353">
        <f>SUM(B282:Y282)</f>
        <v>2058.37</v>
      </c>
      <c r="E279" s="363" t="s">
        <v>114</v>
      </c>
      <c r="F279" s="354">
        <f>D279/g/J279</f>
        <v>203.12066731598335</v>
      </c>
      <c r="G279" s="363" t="s">
        <v>56</v>
      </c>
      <c r="H279" s="64">
        <v>1.6850000000000001</v>
      </c>
      <c r="I279" s="363" t="s">
        <v>271</v>
      </c>
      <c r="J279" s="355">
        <f>H279-L279</f>
        <v>1.0329999999999999</v>
      </c>
      <c r="K279" s="363" t="s">
        <v>272</v>
      </c>
      <c r="L279" s="64">
        <v>0.65200000000000002</v>
      </c>
      <c r="M279" s="363" t="s">
        <v>57</v>
      </c>
      <c r="N279" s="65">
        <v>250</v>
      </c>
      <c r="O279" s="363" t="s">
        <v>59</v>
      </c>
      <c r="P279" s="65">
        <v>240</v>
      </c>
      <c r="Q279" s="363" t="s">
        <v>60</v>
      </c>
      <c r="R279" s="65">
        <v>488</v>
      </c>
      <c r="S279" s="363" t="s">
        <v>61</v>
      </c>
      <c r="T279" s="65">
        <v>54</v>
      </c>
      <c r="U279" s="363" t="s">
        <v>54</v>
      </c>
      <c r="V279" s="66" t="s">
        <v>118</v>
      </c>
      <c r="W279" s="12"/>
      <c r="X279" s="12"/>
      <c r="Y279" s="12"/>
    </row>
    <row r="280" spans="1:25" x14ac:dyDescent="0.2">
      <c r="A280" s="362" t="s">
        <v>33</v>
      </c>
      <c r="B280" s="370">
        <v>0</v>
      </c>
      <c r="C280" s="371">
        <v>0.05</v>
      </c>
      <c r="D280" s="371">
        <v>0.5</v>
      </c>
      <c r="E280" s="371">
        <v>1</v>
      </c>
      <c r="F280" s="371">
        <v>1.5</v>
      </c>
      <c r="G280" s="371">
        <v>2</v>
      </c>
      <c r="H280" s="371">
        <v>2.5</v>
      </c>
      <c r="I280" s="371">
        <v>2.97</v>
      </c>
      <c r="J280" s="371">
        <v>3.2</v>
      </c>
      <c r="K280" s="371">
        <v>3.47</v>
      </c>
      <c r="L280" s="371">
        <v>3.59</v>
      </c>
      <c r="M280" s="371">
        <v>3.59</v>
      </c>
      <c r="N280" s="371">
        <v>3.59</v>
      </c>
      <c r="O280" s="371">
        <v>3.59</v>
      </c>
      <c r="P280" s="371">
        <v>3.59</v>
      </c>
      <c r="Q280" s="371">
        <v>3.59</v>
      </c>
      <c r="R280" s="371">
        <v>3.59</v>
      </c>
      <c r="S280" s="371">
        <v>3.59</v>
      </c>
      <c r="T280" s="371">
        <v>3.59</v>
      </c>
      <c r="U280" s="371">
        <v>3.59</v>
      </c>
      <c r="V280" s="371">
        <v>3.59</v>
      </c>
      <c r="W280" s="371">
        <v>3.59</v>
      </c>
      <c r="X280" s="371">
        <v>3.59</v>
      </c>
      <c r="Y280" s="381">
        <v>1000</v>
      </c>
    </row>
    <row r="281" spans="1:25" x14ac:dyDescent="0.2">
      <c r="A281" s="378" t="s">
        <v>34</v>
      </c>
      <c r="B281" s="372">
        <v>0</v>
      </c>
      <c r="C281" s="373">
        <v>893</v>
      </c>
      <c r="D281" s="373">
        <v>798</v>
      </c>
      <c r="E281" s="373">
        <v>739</v>
      </c>
      <c r="F281" s="373">
        <v>659</v>
      </c>
      <c r="G281" s="373">
        <v>586</v>
      </c>
      <c r="H281" s="373">
        <v>513</v>
      </c>
      <c r="I281" s="373">
        <v>417</v>
      </c>
      <c r="J281" s="373">
        <v>225</v>
      </c>
      <c r="K281" s="373">
        <v>67</v>
      </c>
      <c r="L281" s="373">
        <v>0</v>
      </c>
      <c r="M281" s="373">
        <v>0</v>
      </c>
      <c r="N281" s="373">
        <v>0</v>
      </c>
      <c r="O281" s="373">
        <v>0</v>
      </c>
      <c r="P281" s="373">
        <v>0</v>
      </c>
      <c r="Q281" s="373">
        <v>0</v>
      </c>
      <c r="R281" s="373">
        <v>0</v>
      </c>
      <c r="S281" s="373">
        <v>0</v>
      </c>
      <c r="T281" s="373">
        <v>0</v>
      </c>
      <c r="U281" s="373">
        <v>0</v>
      </c>
      <c r="V281" s="373">
        <v>0</v>
      </c>
      <c r="W281" s="373">
        <v>0</v>
      </c>
      <c r="X281" s="373">
        <v>0</v>
      </c>
      <c r="Y281" s="382">
        <v>0</v>
      </c>
    </row>
    <row r="282" spans="1:25" ht="13.5" thickBot="1" x14ac:dyDescent="0.25">
      <c r="A282" s="380" t="s">
        <v>116</v>
      </c>
      <c r="B282" s="374">
        <f t="shared" ref="B282:V282" si="95">(C281+B281)*(C280-B280)/2</f>
        <v>22.325000000000003</v>
      </c>
      <c r="C282" s="375">
        <f t="shared" si="95"/>
        <v>380.47500000000002</v>
      </c>
      <c r="D282" s="375">
        <f t="shared" si="95"/>
        <v>384.25</v>
      </c>
      <c r="E282" s="375">
        <f t="shared" si="95"/>
        <v>349.5</v>
      </c>
      <c r="F282" s="375">
        <f t="shared" si="95"/>
        <v>311.25</v>
      </c>
      <c r="G282" s="375">
        <f t="shared" si="95"/>
        <v>274.75</v>
      </c>
      <c r="H282" s="375">
        <f t="shared" si="95"/>
        <v>218.5500000000001</v>
      </c>
      <c r="I282" s="375">
        <f t="shared" si="95"/>
        <v>73.83</v>
      </c>
      <c r="J282" s="375">
        <f>(K281+J281)*(K280-J280)/2</f>
        <v>39.42</v>
      </c>
      <c r="K282" s="375">
        <f t="shared" si="95"/>
        <v>4.0199999999999889</v>
      </c>
      <c r="L282" s="375">
        <f t="shared" si="95"/>
        <v>0</v>
      </c>
      <c r="M282" s="375">
        <f t="shared" si="95"/>
        <v>0</v>
      </c>
      <c r="N282" s="375">
        <f t="shared" si="95"/>
        <v>0</v>
      </c>
      <c r="O282" s="375">
        <f t="shared" si="95"/>
        <v>0</v>
      </c>
      <c r="P282" s="375">
        <f t="shared" si="95"/>
        <v>0</v>
      </c>
      <c r="Q282" s="375">
        <f t="shared" si="95"/>
        <v>0</v>
      </c>
      <c r="R282" s="375">
        <f t="shared" si="95"/>
        <v>0</v>
      </c>
      <c r="S282" s="375">
        <f>(T281+S281)*(T280-S280)/2</f>
        <v>0</v>
      </c>
      <c r="T282" s="375">
        <f t="shared" si="95"/>
        <v>0</v>
      </c>
      <c r="U282" s="375">
        <f t="shared" si="95"/>
        <v>0</v>
      </c>
      <c r="V282" s="375">
        <f t="shared" si="95"/>
        <v>0</v>
      </c>
      <c r="W282" s="375">
        <f>(X281+W281)*(X280-W280)/2</f>
        <v>0</v>
      </c>
      <c r="X282" s="375">
        <f>(Y281+X281)*(Y280-X280)/2</f>
        <v>0</v>
      </c>
      <c r="Y282" s="369"/>
    </row>
    <row r="283" spans="1:25" ht="13.5" thickBot="1" x14ac:dyDescent="0.25">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row>
    <row r="284" spans="1:25" ht="13.5" thickBot="1" x14ac:dyDescent="0.25">
      <c r="A284" s="361" t="s">
        <v>551</v>
      </c>
      <c r="B284" s="359">
        <f>ROW(A284)</f>
        <v>284</v>
      </c>
      <c r="C284" s="363" t="s">
        <v>115</v>
      </c>
      <c r="D284" s="353">
        <f>SUM(B287:Y287)</f>
        <v>1998.2428999999995</v>
      </c>
      <c r="E284" s="363" t="s">
        <v>114</v>
      </c>
      <c r="F284" s="354">
        <f>D284/g/J284</f>
        <v>207.42819268753979</v>
      </c>
      <c r="G284" s="363" t="s">
        <v>56</v>
      </c>
      <c r="H284" s="64">
        <v>1.6319999999999999</v>
      </c>
      <c r="I284" s="363" t="s">
        <v>271</v>
      </c>
      <c r="J284" s="355">
        <f>H284-L284</f>
        <v>0.98199999999999987</v>
      </c>
      <c r="K284" s="363" t="s">
        <v>272</v>
      </c>
      <c r="L284" s="64">
        <v>0.65</v>
      </c>
      <c r="M284" s="363" t="s">
        <v>57</v>
      </c>
      <c r="N284" s="65">
        <v>250</v>
      </c>
      <c r="O284" s="363" t="s">
        <v>59</v>
      </c>
      <c r="P284" s="65">
        <v>240</v>
      </c>
      <c r="Q284" s="363" t="s">
        <v>60</v>
      </c>
      <c r="R284" s="65">
        <v>488</v>
      </c>
      <c r="S284" s="363" t="s">
        <v>61</v>
      </c>
      <c r="T284" s="65">
        <v>54</v>
      </c>
      <c r="U284" s="363" t="s">
        <v>54</v>
      </c>
      <c r="V284" s="66" t="s">
        <v>118</v>
      </c>
      <c r="W284" s="12"/>
      <c r="X284" s="12"/>
      <c r="Y284" s="12"/>
    </row>
    <row r="285" spans="1:25" x14ac:dyDescent="0.2">
      <c r="A285" s="362" t="s">
        <v>33</v>
      </c>
      <c r="B285" s="373">
        <v>0</v>
      </c>
      <c r="C285" s="373">
        <v>0.01</v>
      </c>
      <c r="D285" s="373">
        <v>0.02</v>
      </c>
      <c r="E285" s="373">
        <v>0.05</v>
      </c>
      <c r="F285" s="373">
        <v>0.1</v>
      </c>
      <c r="G285" s="373">
        <v>0.2</v>
      </c>
      <c r="H285" s="373">
        <v>0.4</v>
      </c>
      <c r="I285" s="373">
        <v>0.8</v>
      </c>
      <c r="J285" s="373">
        <v>0.9</v>
      </c>
      <c r="K285" s="373">
        <v>1</v>
      </c>
      <c r="L285" s="373">
        <v>1.1000000000000001</v>
      </c>
      <c r="M285" s="373">
        <v>1.2</v>
      </c>
      <c r="N285" s="373">
        <v>1.3</v>
      </c>
      <c r="O285" s="373">
        <v>1.4</v>
      </c>
      <c r="P285" s="373">
        <v>1.55</v>
      </c>
      <c r="Q285" s="373">
        <v>1.6</v>
      </c>
      <c r="R285" s="373">
        <v>1.62</v>
      </c>
      <c r="S285" s="373">
        <v>1.64</v>
      </c>
      <c r="T285" s="373">
        <v>1.66</v>
      </c>
      <c r="U285" s="373">
        <v>1.67</v>
      </c>
      <c r="V285" s="373">
        <v>1.68</v>
      </c>
      <c r="W285" s="533">
        <v>1.69</v>
      </c>
      <c r="X285" s="533">
        <v>1.7</v>
      </c>
      <c r="Y285" s="381">
        <v>1000</v>
      </c>
    </row>
    <row r="286" spans="1:25" x14ac:dyDescent="0.2">
      <c r="A286" s="378" t="s">
        <v>34</v>
      </c>
      <c r="B286" s="373">
        <v>0</v>
      </c>
      <c r="C286" s="373">
        <v>492.25</v>
      </c>
      <c r="D286" s="373">
        <v>1369.46</v>
      </c>
      <c r="E286" s="373">
        <v>1236.01</v>
      </c>
      <c r="F286" s="373">
        <v>1279.47</v>
      </c>
      <c r="G286" s="373">
        <v>1311.39</v>
      </c>
      <c r="H286" s="373">
        <v>1331.39</v>
      </c>
      <c r="I286" s="373">
        <v>1304.08</v>
      </c>
      <c r="J286" s="373">
        <v>1280.6199999999999</v>
      </c>
      <c r="K286" s="373">
        <v>1249.8599999999999</v>
      </c>
      <c r="L286" s="373">
        <v>1217.94</v>
      </c>
      <c r="M286" s="373">
        <v>1199.29</v>
      </c>
      <c r="N286" s="373">
        <v>1158.77</v>
      </c>
      <c r="O286" s="373">
        <v>1112.56</v>
      </c>
      <c r="P286" s="373">
        <v>941.81</v>
      </c>
      <c r="Q286" s="373">
        <v>726.07</v>
      </c>
      <c r="R286" s="373">
        <v>559.16999999999996</v>
      </c>
      <c r="S286" s="373">
        <v>399.95</v>
      </c>
      <c r="T286" s="373">
        <v>317.66000000000003</v>
      </c>
      <c r="U286" s="373">
        <v>247.28</v>
      </c>
      <c r="V286" s="373">
        <v>198.05</v>
      </c>
      <c r="W286" s="373">
        <v>67.3</v>
      </c>
      <c r="X286" s="373">
        <v>0</v>
      </c>
      <c r="Y286" s="382">
        <v>0</v>
      </c>
    </row>
    <row r="287" spans="1:25" ht="13.5" thickBot="1" x14ac:dyDescent="0.25">
      <c r="A287" s="379" t="s">
        <v>116</v>
      </c>
      <c r="B287" s="374">
        <f t="shared" ref="B287:V287" si="96">(C286+B286)*(C285-B285)/2</f>
        <v>2.4612500000000002</v>
      </c>
      <c r="C287" s="375">
        <f t="shared" si="96"/>
        <v>9.3085500000000003</v>
      </c>
      <c r="D287" s="375">
        <f t="shared" si="96"/>
        <v>39.08205000000001</v>
      </c>
      <c r="E287" s="375">
        <f t="shared" si="96"/>
        <v>62.887</v>
      </c>
      <c r="F287" s="375">
        <f t="shared" si="96"/>
        <v>129.54300000000001</v>
      </c>
      <c r="G287" s="375">
        <f t="shared" si="96"/>
        <v>264.27800000000002</v>
      </c>
      <c r="H287" s="375">
        <f t="shared" si="96"/>
        <v>527.09400000000005</v>
      </c>
      <c r="I287" s="375">
        <f t="shared" si="96"/>
        <v>129.23499999999996</v>
      </c>
      <c r="J287" s="375">
        <f>(K286+J286)*(K285-J285)/2</f>
        <v>126.52399999999994</v>
      </c>
      <c r="K287" s="375">
        <f t="shared" si="96"/>
        <v>123.39000000000011</v>
      </c>
      <c r="L287" s="375">
        <f t="shared" si="96"/>
        <v>120.86149999999984</v>
      </c>
      <c r="M287" s="375">
        <f t="shared" si="96"/>
        <v>117.90300000000011</v>
      </c>
      <c r="N287" s="375">
        <f t="shared" si="96"/>
        <v>113.56649999999985</v>
      </c>
      <c r="O287" s="375">
        <f t="shared" si="96"/>
        <v>154.07775000000012</v>
      </c>
      <c r="P287" s="375">
        <f t="shared" si="96"/>
        <v>41.697000000000038</v>
      </c>
      <c r="Q287" s="375">
        <f t="shared" si="96"/>
        <v>12.852400000000012</v>
      </c>
      <c r="R287" s="375">
        <f t="shared" si="96"/>
        <v>9.5911999999999011</v>
      </c>
      <c r="S287" s="375">
        <f>(T286+S286)*(T285-S285)/2</f>
        <v>7.1761000000000061</v>
      </c>
      <c r="T287" s="375">
        <f t="shared" si="96"/>
        <v>2.8247000000000027</v>
      </c>
      <c r="U287" s="375">
        <f t="shared" si="96"/>
        <v>2.226650000000002</v>
      </c>
      <c r="V287" s="375">
        <f t="shared" si="96"/>
        <v>1.3267500000000012</v>
      </c>
      <c r="W287" s="375">
        <f>(X286+W286)*(X285-W285)/2</f>
        <v>0.3365000000000003</v>
      </c>
      <c r="X287" s="375">
        <f>(Y286+X286)*(Y285-X285)/2</f>
        <v>0</v>
      </c>
      <c r="Y287" s="369"/>
    </row>
    <row r="288" spans="1:25" ht="13.5" thickBot="1" x14ac:dyDescent="0.25">
      <c r="A288" s="12"/>
      <c r="L288" s="12"/>
      <c r="M288" s="12"/>
      <c r="N288" s="12"/>
      <c r="O288" s="12"/>
      <c r="P288" s="12"/>
      <c r="Q288" s="12"/>
      <c r="R288" s="12"/>
      <c r="S288" s="12"/>
      <c r="T288" s="12"/>
      <c r="U288" s="12"/>
      <c r="V288" s="12"/>
      <c r="W288" s="12"/>
      <c r="X288" s="12"/>
      <c r="Y288" s="12"/>
    </row>
    <row r="289" spans="1:25" ht="13.5" thickBot="1" x14ac:dyDescent="0.25">
      <c r="A289" s="361" t="s">
        <v>549</v>
      </c>
      <c r="B289" s="359">
        <f>ROW(A289)</f>
        <v>289</v>
      </c>
      <c r="C289" s="363" t="s">
        <v>115</v>
      </c>
      <c r="D289" s="353">
        <f>SUM(B292:Y292)</f>
        <v>3739.0284999999994</v>
      </c>
      <c r="E289" s="363" t="s">
        <v>114</v>
      </c>
      <c r="F289" s="354">
        <f>D289/g/J289</f>
        <v>203.4941790441234</v>
      </c>
      <c r="G289" s="363" t="s">
        <v>56</v>
      </c>
      <c r="H289" s="64">
        <v>3.5110000000000001</v>
      </c>
      <c r="I289" s="363" t="s">
        <v>271</v>
      </c>
      <c r="J289" s="355">
        <f>H289-L289</f>
        <v>1.8730000000000002</v>
      </c>
      <c r="K289" s="363" t="s">
        <v>272</v>
      </c>
      <c r="L289" s="64">
        <v>1.6379999999999999</v>
      </c>
      <c r="M289" s="363" t="s">
        <v>57</v>
      </c>
      <c r="N289" s="65">
        <v>243</v>
      </c>
      <c r="O289" s="363" t="s">
        <v>59</v>
      </c>
      <c r="P289" s="65">
        <v>249</v>
      </c>
      <c r="Q289" s="363" t="s">
        <v>60</v>
      </c>
      <c r="R289" s="65">
        <v>498</v>
      </c>
      <c r="S289" s="363" t="s">
        <v>61</v>
      </c>
      <c r="T289" s="65">
        <v>75</v>
      </c>
      <c r="U289" s="363" t="s">
        <v>54</v>
      </c>
      <c r="V289" s="66" t="s">
        <v>118</v>
      </c>
      <c r="W289" s="12"/>
      <c r="X289" s="12"/>
      <c r="Y289" s="12"/>
    </row>
    <row r="290" spans="1:25" x14ac:dyDescent="0.2">
      <c r="A290" s="362" t="s">
        <v>33</v>
      </c>
      <c r="B290" s="370">
        <v>0</v>
      </c>
      <c r="C290" s="371">
        <v>0.01</v>
      </c>
      <c r="D290" s="371">
        <v>0.1</v>
      </c>
      <c r="E290" s="371">
        <v>0.12</v>
      </c>
      <c r="F290" s="371">
        <v>0.26</v>
      </c>
      <c r="G290" s="371">
        <v>0.71</v>
      </c>
      <c r="H290" s="371">
        <v>1.28</v>
      </c>
      <c r="I290" s="371">
        <v>2.0499999999999998</v>
      </c>
      <c r="J290" s="371">
        <v>2.41</v>
      </c>
      <c r="K290" s="371">
        <v>2.83</v>
      </c>
      <c r="L290" s="371">
        <v>3.25</v>
      </c>
      <c r="M290" s="371">
        <v>3.65</v>
      </c>
      <c r="N290" s="371">
        <v>3.8</v>
      </c>
      <c r="O290" s="371">
        <v>4</v>
      </c>
      <c r="P290" s="371">
        <v>4.0999999999999996</v>
      </c>
      <c r="Q290" s="371">
        <v>4.1900000000000004</v>
      </c>
      <c r="R290" s="371">
        <v>4.3099999999999996</v>
      </c>
      <c r="S290" s="371">
        <v>4.41</v>
      </c>
      <c r="T290" s="371">
        <v>4.5199999999999996</v>
      </c>
      <c r="U290" s="371">
        <v>4.5999999999999996</v>
      </c>
      <c r="V290" s="371">
        <v>4.6500000000000004</v>
      </c>
      <c r="W290" s="371">
        <v>4.67</v>
      </c>
      <c r="X290" s="371">
        <v>4.68</v>
      </c>
      <c r="Y290" s="381">
        <v>1000</v>
      </c>
    </row>
    <row r="291" spans="1:25" x14ac:dyDescent="0.2">
      <c r="A291" s="378" t="s">
        <v>34</v>
      </c>
      <c r="B291" s="372">
        <v>27</v>
      </c>
      <c r="C291" s="373">
        <v>402.4</v>
      </c>
      <c r="D291" s="373">
        <v>1286</v>
      </c>
      <c r="E291" s="373">
        <v>1257</v>
      </c>
      <c r="F291" s="373">
        <v>1042</v>
      </c>
      <c r="G291" s="373">
        <v>1027</v>
      </c>
      <c r="H291" s="373">
        <v>998.4</v>
      </c>
      <c r="I291" s="373">
        <v>901.4</v>
      </c>
      <c r="J291" s="373">
        <v>849.6</v>
      </c>
      <c r="K291" s="373">
        <v>763.5</v>
      </c>
      <c r="L291" s="373">
        <v>707.1</v>
      </c>
      <c r="M291" s="373">
        <v>655.1</v>
      </c>
      <c r="N291" s="373">
        <v>651.70000000000005</v>
      </c>
      <c r="O291" s="373">
        <v>624.1</v>
      </c>
      <c r="P291" s="373">
        <v>601.29999999999995</v>
      </c>
      <c r="Q291" s="373">
        <v>536.20000000000005</v>
      </c>
      <c r="R291" s="373">
        <v>415.7</v>
      </c>
      <c r="S291" s="373">
        <v>270.2</v>
      </c>
      <c r="T291" s="373">
        <v>140.19999999999999</v>
      </c>
      <c r="U291" s="373">
        <v>76.900000000000006</v>
      </c>
      <c r="V291" s="373">
        <v>54.9</v>
      </c>
      <c r="W291" s="373">
        <v>40.200000000000003</v>
      </c>
      <c r="X291" s="373">
        <v>0</v>
      </c>
      <c r="Y291" s="382">
        <v>0</v>
      </c>
    </row>
    <row r="292" spans="1:25" ht="13.5" thickBot="1" x14ac:dyDescent="0.25">
      <c r="A292" s="379" t="s">
        <v>116</v>
      </c>
      <c r="B292" s="374">
        <f t="shared" ref="B292:V292" si="97">(C291+B291)*(C290-B290)/2</f>
        <v>2.1469999999999998</v>
      </c>
      <c r="C292" s="375">
        <f t="shared" si="97"/>
        <v>75.978000000000009</v>
      </c>
      <c r="D292" s="375">
        <f t="shared" si="97"/>
        <v>25.429999999999989</v>
      </c>
      <c r="E292" s="375">
        <f t="shared" si="97"/>
        <v>160.93</v>
      </c>
      <c r="F292" s="375">
        <f t="shared" si="97"/>
        <v>465.52499999999998</v>
      </c>
      <c r="G292" s="375">
        <f t="shared" si="97"/>
        <v>577.23900000000003</v>
      </c>
      <c r="H292" s="375">
        <f t="shared" si="97"/>
        <v>731.42299999999977</v>
      </c>
      <c r="I292" s="375">
        <f t="shared" si="97"/>
        <v>315.18000000000029</v>
      </c>
      <c r="J292" s="375">
        <f>(K291+J291)*(K290-J290)/2</f>
        <v>338.75099999999992</v>
      </c>
      <c r="K292" s="375">
        <f t="shared" si="97"/>
        <v>308.82599999999991</v>
      </c>
      <c r="L292" s="375">
        <f t="shared" si="97"/>
        <v>272.43999999999994</v>
      </c>
      <c r="M292" s="375">
        <f t="shared" si="97"/>
        <v>98.009999999999962</v>
      </c>
      <c r="N292" s="375">
        <f t="shared" si="97"/>
        <v>127.58000000000013</v>
      </c>
      <c r="O292" s="375">
        <f t="shared" si="97"/>
        <v>61.26999999999979</v>
      </c>
      <c r="P292" s="375">
        <f t="shared" si="97"/>
        <v>51.187500000000426</v>
      </c>
      <c r="Q292" s="375">
        <f t="shared" si="97"/>
        <v>57.113999999999635</v>
      </c>
      <c r="R292" s="375">
        <f t="shared" si="97"/>
        <v>34.295000000000179</v>
      </c>
      <c r="S292" s="375">
        <f>(T291+S291)*(T290-S290)/2</f>
        <v>22.571999999999882</v>
      </c>
      <c r="T292" s="375">
        <f t="shared" si="97"/>
        <v>8.6840000000000082</v>
      </c>
      <c r="U292" s="375">
        <f t="shared" si="97"/>
        <v>3.295000000000047</v>
      </c>
      <c r="V292" s="375">
        <f t="shared" si="97"/>
        <v>0.95099999999997964</v>
      </c>
      <c r="W292" s="375">
        <f>(X291+W291)*(X290-W290)/2</f>
        <v>0.20099999999999574</v>
      </c>
      <c r="X292" s="375">
        <f>(Y291+X291)*(Y290-X290)/2</f>
        <v>0</v>
      </c>
      <c r="Y292" s="369"/>
    </row>
    <row r="293" spans="1:25" ht="13.5" thickBot="1" x14ac:dyDescent="0.25">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row>
    <row r="294" spans="1:25" ht="13.5" thickBot="1" x14ac:dyDescent="0.25">
      <c r="A294" s="361" t="s">
        <v>555</v>
      </c>
      <c r="B294" s="359">
        <f>ROW(A294)</f>
        <v>294</v>
      </c>
      <c r="C294" s="363" t="s">
        <v>115</v>
      </c>
      <c r="D294" s="353">
        <f>SUM(B297:Y297)</f>
        <v>14273.976008499998</v>
      </c>
      <c r="E294" s="363" t="s">
        <v>114</v>
      </c>
      <c r="F294" s="354">
        <f>D294/g/J294</f>
        <v>169.50645688990159</v>
      </c>
      <c r="G294" s="363" t="s">
        <v>56</v>
      </c>
      <c r="H294" s="64">
        <v>13.247999999999999</v>
      </c>
      <c r="I294" s="363" t="s">
        <v>271</v>
      </c>
      <c r="J294" s="355">
        <f>H294-L294</f>
        <v>8.5839999999999996</v>
      </c>
      <c r="K294" s="363" t="s">
        <v>272</v>
      </c>
      <c r="L294" s="64">
        <v>4.6639999999999997</v>
      </c>
      <c r="M294" s="363" t="s">
        <v>57</v>
      </c>
      <c r="N294" s="65">
        <f>R294/2</f>
        <v>505</v>
      </c>
      <c r="O294" s="363" t="s">
        <v>59</v>
      </c>
      <c r="P294" s="65">
        <v>505</v>
      </c>
      <c r="Q294" s="363" t="s">
        <v>60</v>
      </c>
      <c r="R294" s="65">
        <v>1010</v>
      </c>
      <c r="S294" s="363" t="s">
        <v>61</v>
      </c>
      <c r="T294" s="65">
        <v>98</v>
      </c>
      <c r="U294" s="363" t="s">
        <v>54</v>
      </c>
      <c r="V294" s="66" t="s">
        <v>118</v>
      </c>
      <c r="W294" s="12"/>
      <c r="X294" s="12"/>
      <c r="Y294" s="12"/>
    </row>
    <row r="295" spans="1:25" x14ac:dyDescent="0.2">
      <c r="A295" s="362" t="s">
        <v>33</v>
      </c>
      <c r="B295" s="370">
        <v>0</v>
      </c>
      <c r="C295" s="371">
        <v>0.04</v>
      </c>
      <c r="D295" s="371">
        <v>0.08</v>
      </c>
      <c r="E295" s="371">
        <v>0.20100000000000001</v>
      </c>
      <c r="F295" s="371">
        <v>0.44700000000000001</v>
      </c>
      <c r="G295" s="371">
        <v>0.67800000000000005</v>
      </c>
      <c r="H295" s="371">
        <v>0.75800000000000001</v>
      </c>
      <c r="I295" s="371">
        <v>0.85299999999999998</v>
      </c>
      <c r="J295" s="371">
        <v>2.4249999999999998</v>
      </c>
      <c r="K295" s="371">
        <v>2.52</v>
      </c>
      <c r="L295" s="371">
        <v>2.7610000000000001</v>
      </c>
      <c r="M295" s="371">
        <v>3.4340000000000002</v>
      </c>
      <c r="N295" s="371">
        <v>3.7149999999999999</v>
      </c>
      <c r="O295" s="371">
        <v>4.077</v>
      </c>
      <c r="P295" s="371">
        <v>4.96</v>
      </c>
      <c r="Q295" s="371">
        <v>5.492</v>
      </c>
      <c r="R295" s="371">
        <v>6.1050000000000004</v>
      </c>
      <c r="S295" s="371">
        <v>6.4459999999999997</v>
      </c>
      <c r="T295" s="371">
        <v>6.6470000000000002</v>
      </c>
      <c r="U295" s="371">
        <v>7.0739999999999998</v>
      </c>
      <c r="V295" s="371">
        <v>7.2389999999999999</v>
      </c>
      <c r="W295" s="533">
        <v>7.2539999999999996</v>
      </c>
      <c r="X295" s="371">
        <v>8</v>
      </c>
      <c r="Y295" s="381">
        <v>1000</v>
      </c>
    </row>
    <row r="296" spans="1:25" x14ac:dyDescent="0.2">
      <c r="A296" s="378" t="s">
        <v>34</v>
      </c>
      <c r="B296" s="372">
        <v>0</v>
      </c>
      <c r="C296" s="373">
        <v>1382.46</v>
      </c>
      <c r="D296" s="373">
        <v>1699.1469999999999</v>
      </c>
      <c r="E296" s="373">
        <v>1781.364</v>
      </c>
      <c r="F296" s="373">
        <v>1793.5440000000001</v>
      </c>
      <c r="G296" s="373">
        <v>1820.95</v>
      </c>
      <c r="H296" s="373">
        <v>1927.527</v>
      </c>
      <c r="I296" s="373">
        <v>1842.2660000000001</v>
      </c>
      <c r="J296" s="373">
        <v>2088.9160000000002</v>
      </c>
      <c r="K296" s="373">
        <v>2180.268</v>
      </c>
      <c r="L296" s="373">
        <v>2198.538</v>
      </c>
      <c r="M296" s="373">
        <v>2213.7640000000001</v>
      </c>
      <c r="N296" s="373">
        <v>2268.5749999999998</v>
      </c>
      <c r="O296" s="373">
        <v>2299.0259999999998</v>
      </c>
      <c r="P296" s="373">
        <v>2238.1239999999998</v>
      </c>
      <c r="Q296" s="373">
        <v>2161.998</v>
      </c>
      <c r="R296" s="373">
        <v>2024.97</v>
      </c>
      <c r="S296" s="373">
        <v>1878.806</v>
      </c>
      <c r="T296" s="373">
        <v>1668.6969999999999</v>
      </c>
      <c r="U296" s="373">
        <v>602.923</v>
      </c>
      <c r="V296" s="373">
        <v>140.07300000000001</v>
      </c>
      <c r="W296" s="373">
        <v>0</v>
      </c>
      <c r="X296" s="373">
        <v>0</v>
      </c>
      <c r="Y296" s="382">
        <v>0</v>
      </c>
    </row>
    <row r="297" spans="1:25" ht="13.5" thickBot="1" x14ac:dyDescent="0.25">
      <c r="A297" s="379" t="s">
        <v>116</v>
      </c>
      <c r="B297" s="374">
        <f t="shared" ref="B297:X297" si="98">(C296+B296)*(C295-B295)/2</f>
        <v>27.6492</v>
      </c>
      <c r="C297" s="375">
        <f t="shared" si="98"/>
        <v>61.63214</v>
      </c>
      <c r="D297" s="375">
        <f t="shared" si="98"/>
        <v>210.57091550000001</v>
      </c>
      <c r="E297" s="375">
        <f t="shared" si="98"/>
        <v>439.71368400000006</v>
      </c>
      <c r="F297" s="375">
        <f t="shared" si="98"/>
        <v>417.47405700000007</v>
      </c>
      <c r="G297" s="375">
        <f t="shared" si="98"/>
        <v>149.93907999999993</v>
      </c>
      <c r="H297" s="375">
        <f t="shared" si="98"/>
        <v>179.06516749999994</v>
      </c>
      <c r="I297" s="375">
        <f t="shared" si="98"/>
        <v>3089.909052</v>
      </c>
      <c r="J297" s="375">
        <f t="shared" si="98"/>
        <v>202.78624000000042</v>
      </c>
      <c r="K297" s="375">
        <f t="shared" si="98"/>
        <v>527.64612300000033</v>
      </c>
      <c r="L297" s="375">
        <f t="shared" si="98"/>
        <v>1484.7396229999999</v>
      </c>
      <c r="M297" s="375">
        <f t="shared" si="98"/>
        <v>629.76862949999929</v>
      </c>
      <c r="N297" s="375">
        <f t="shared" si="98"/>
        <v>826.7357810000002</v>
      </c>
      <c r="O297" s="375">
        <f t="shared" si="98"/>
        <v>2003.1517249999999</v>
      </c>
      <c r="P297" s="375">
        <f t="shared" si="98"/>
        <v>1170.432452</v>
      </c>
      <c r="Q297" s="375">
        <f t="shared" si="98"/>
        <v>1283.3056920000008</v>
      </c>
      <c r="R297" s="375">
        <f t="shared" si="98"/>
        <v>665.5938079999986</v>
      </c>
      <c r="S297" s="375">
        <f t="shared" si="98"/>
        <v>356.52405150000089</v>
      </c>
      <c r="T297" s="375">
        <f t="shared" si="98"/>
        <v>484.99086999999952</v>
      </c>
      <c r="U297" s="375">
        <f t="shared" si="98"/>
        <v>61.297170000000008</v>
      </c>
      <c r="V297" s="375">
        <f t="shared" si="98"/>
        <v>1.0505474999999778</v>
      </c>
      <c r="W297" s="375">
        <f t="shared" si="98"/>
        <v>0</v>
      </c>
      <c r="X297" s="375">
        <f t="shared" si="98"/>
        <v>0</v>
      </c>
      <c r="Y297" s="369"/>
    </row>
    <row r="298" spans="1:25" ht="13.5" thickBot="1" x14ac:dyDescent="0.25">
      <c r="A298" s="12"/>
      <c r="L298" s="12"/>
      <c r="M298" s="12"/>
      <c r="N298" s="12"/>
      <c r="O298" s="12"/>
      <c r="P298" s="12"/>
      <c r="Q298" s="12"/>
      <c r="R298" s="12"/>
      <c r="S298" s="12"/>
      <c r="T298" s="12"/>
      <c r="U298" s="12"/>
      <c r="V298" s="12"/>
      <c r="W298" s="12"/>
      <c r="X298" s="12"/>
      <c r="Y298" s="12"/>
    </row>
    <row r="299" spans="1:25" ht="13.5" thickBot="1" x14ac:dyDescent="0.25">
      <c r="A299" s="361" t="s">
        <v>318</v>
      </c>
      <c r="B299" s="359">
        <f>ROW(A299)</f>
        <v>299</v>
      </c>
      <c r="C299" s="363" t="s">
        <v>115</v>
      </c>
      <c r="D299" s="353">
        <f>SUM(B302:Y302)</f>
        <v>7412.4371409999985</v>
      </c>
      <c r="E299" s="363" t="s">
        <v>114</v>
      </c>
      <c r="F299" s="354">
        <f>D299/g/J299</f>
        <v>223.28608637999045</v>
      </c>
      <c r="G299" s="363" t="s">
        <v>56</v>
      </c>
      <c r="H299" s="64">
        <v>6.25</v>
      </c>
      <c r="I299" s="363" t="s">
        <v>271</v>
      </c>
      <c r="J299" s="355">
        <f>H299-L299</f>
        <v>3.3839999999999999</v>
      </c>
      <c r="K299" s="363" t="s">
        <v>272</v>
      </c>
      <c r="L299" s="64">
        <v>2.8660000000000001</v>
      </c>
      <c r="M299" s="363" t="s">
        <v>57</v>
      </c>
      <c r="N299" s="65">
        <v>290</v>
      </c>
      <c r="O299" s="363" t="s">
        <v>59</v>
      </c>
      <c r="P299" s="65">
        <v>290</v>
      </c>
      <c r="Q299" s="363" t="s">
        <v>60</v>
      </c>
      <c r="R299" s="65">
        <v>579</v>
      </c>
      <c r="S299" s="363" t="s">
        <v>61</v>
      </c>
      <c r="T299" s="65">
        <v>98</v>
      </c>
      <c r="U299" s="363" t="s">
        <v>54</v>
      </c>
      <c r="V299" s="66" t="s">
        <v>118</v>
      </c>
      <c r="W299" s="12"/>
      <c r="X299" s="12"/>
      <c r="Y299" s="12"/>
    </row>
    <row r="300" spans="1:25" x14ac:dyDescent="0.2">
      <c r="A300" s="362" t="s">
        <v>33</v>
      </c>
      <c r="B300" s="370">
        <v>0</v>
      </c>
      <c r="C300" s="371">
        <v>1.7000000000000001E-2</v>
      </c>
      <c r="D300" s="371">
        <v>5.1999999999999998E-2</v>
      </c>
      <c r="E300" s="371">
        <v>8.7999999999999995E-2</v>
      </c>
      <c r="F300" s="371">
        <v>0.108</v>
      </c>
      <c r="G300" s="371">
        <v>0.127</v>
      </c>
      <c r="H300" s="371">
        <v>0.17399999999999999</v>
      </c>
      <c r="I300" s="371">
        <v>0.25700000000000001</v>
      </c>
      <c r="J300" s="371">
        <v>0.40300000000000002</v>
      </c>
      <c r="K300" s="371">
        <v>0.76200000000000001</v>
      </c>
      <c r="L300" s="371">
        <v>0.97699999999999998</v>
      </c>
      <c r="M300" s="371">
        <v>1.341</v>
      </c>
      <c r="N300" s="371">
        <v>1.5009999999999999</v>
      </c>
      <c r="O300" s="371">
        <v>1.661</v>
      </c>
      <c r="P300" s="371">
        <v>1.96</v>
      </c>
      <c r="Q300" s="371">
        <v>2.4039999999999999</v>
      </c>
      <c r="R300" s="371">
        <v>2.641</v>
      </c>
      <c r="S300" s="371">
        <v>2.7160000000000002</v>
      </c>
      <c r="T300" s="371">
        <v>2.8210000000000002</v>
      </c>
      <c r="U300" s="371">
        <v>2.8919999999999999</v>
      </c>
      <c r="V300" s="371">
        <v>2.92</v>
      </c>
      <c r="W300" s="371">
        <v>2.97</v>
      </c>
      <c r="X300" s="371">
        <v>3</v>
      </c>
      <c r="Y300" s="381">
        <v>1000</v>
      </c>
    </row>
    <row r="301" spans="1:25" x14ac:dyDescent="0.2">
      <c r="A301" s="378" t="s">
        <v>34</v>
      </c>
      <c r="B301" s="372">
        <v>0</v>
      </c>
      <c r="C301" s="373">
        <v>329.84699999999998</v>
      </c>
      <c r="D301" s="373">
        <v>1003.68</v>
      </c>
      <c r="E301" s="373">
        <v>2346.62</v>
      </c>
      <c r="F301" s="373">
        <v>2549.2399999999998</v>
      </c>
      <c r="G301" s="373">
        <v>2605.79</v>
      </c>
      <c r="H301" s="373">
        <v>2520.9699999999998</v>
      </c>
      <c r="I301" s="373">
        <v>2516.2600000000002</v>
      </c>
      <c r="J301" s="373">
        <v>2596.37</v>
      </c>
      <c r="K301" s="373">
        <v>2808.41</v>
      </c>
      <c r="L301" s="373">
        <v>2954.49</v>
      </c>
      <c r="M301" s="373">
        <v>2959.2</v>
      </c>
      <c r="N301" s="373">
        <v>2907.36</v>
      </c>
      <c r="O301" s="373">
        <v>2869.67</v>
      </c>
      <c r="P301" s="373">
        <v>2695.32</v>
      </c>
      <c r="Q301" s="373">
        <v>2351.34</v>
      </c>
      <c r="R301" s="373">
        <v>2228.8200000000002</v>
      </c>
      <c r="S301" s="373">
        <v>2007.35</v>
      </c>
      <c r="T301" s="373">
        <v>1427.77</v>
      </c>
      <c r="U301" s="373">
        <v>504.19400000000002</v>
      </c>
      <c r="V301" s="373">
        <v>334.55900000000003</v>
      </c>
      <c r="W301" s="373">
        <v>122.515</v>
      </c>
      <c r="X301" s="373">
        <v>0</v>
      </c>
      <c r="Y301" s="382">
        <v>0</v>
      </c>
    </row>
    <row r="302" spans="1:25" ht="13.5" thickBot="1" x14ac:dyDescent="0.25">
      <c r="A302" s="379" t="s">
        <v>116</v>
      </c>
      <c r="B302" s="374">
        <f t="shared" ref="B302:X302" si="99">(C301+B301)*(C300-B300)/2</f>
        <v>2.8036995</v>
      </c>
      <c r="C302" s="375">
        <f t="shared" si="99"/>
        <v>23.336722499999997</v>
      </c>
      <c r="D302" s="375">
        <f t="shared" si="99"/>
        <v>60.305399999999992</v>
      </c>
      <c r="E302" s="375">
        <f t="shared" si="99"/>
        <v>48.958600000000004</v>
      </c>
      <c r="F302" s="375">
        <f t="shared" si="99"/>
        <v>48.972785000000002</v>
      </c>
      <c r="G302" s="375">
        <f t="shared" si="99"/>
        <v>120.47885999999997</v>
      </c>
      <c r="H302" s="375">
        <f t="shared" si="99"/>
        <v>209.04504500000002</v>
      </c>
      <c r="I302" s="375">
        <f t="shared" si="99"/>
        <v>373.22199000000006</v>
      </c>
      <c r="J302" s="375">
        <f t="shared" si="99"/>
        <v>970.15800999999988</v>
      </c>
      <c r="K302" s="375">
        <f t="shared" si="99"/>
        <v>619.51174999999989</v>
      </c>
      <c r="L302" s="375">
        <f t="shared" si="99"/>
        <v>1076.2915799999998</v>
      </c>
      <c r="M302" s="375">
        <f t="shared" si="99"/>
        <v>469.3247999999997</v>
      </c>
      <c r="N302" s="375">
        <f t="shared" si="99"/>
        <v>462.16240000000045</v>
      </c>
      <c r="O302" s="375">
        <f t="shared" si="99"/>
        <v>831.96600499999977</v>
      </c>
      <c r="P302" s="375">
        <f t="shared" si="99"/>
        <v>1120.3585199999998</v>
      </c>
      <c r="Q302" s="375">
        <f t="shared" si="99"/>
        <v>542.74896000000024</v>
      </c>
      <c r="R302" s="375">
        <f t="shared" si="99"/>
        <v>158.85637500000038</v>
      </c>
      <c r="S302" s="375">
        <f t="shared" si="99"/>
        <v>180.34379999999996</v>
      </c>
      <c r="T302" s="375">
        <f t="shared" si="99"/>
        <v>68.584721999999744</v>
      </c>
      <c r="U302" s="375">
        <f t="shared" si="99"/>
        <v>11.742542000000011</v>
      </c>
      <c r="V302" s="375">
        <f t="shared" si="99"/>
        <v>11.42685000000006</v>
      </c>
      <c r="W302" s="375">
        <f t="shared" si="99"/>
        <v>1.8377249999999881</v>
      </c>
      <c r="X302" s="375">
        <f t="shared" si="99"/>
        <v>0</v>
      </c>
      <c r="Y302" s="369"/>
    </row>
    <row r="303" spans="1:25" ht="13.5" thickBot="1" x14ac:dyDescent="0.25">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row>
    <row r="304" spans="1:25" ht="13.5" thickBot="1" x14ac:dyDescent="0.25">
      <c r="A304" s="361" t="s">
        <v>550</v>
      </c>
      <c r="B304" s="359">
        <f>ROW(A304)</f>
        <v>304</v>
      </c>
      <c r="C304" s="363" t="s">
        <v>115</v>
      </c>
      <c r="D304" s="353">
        <f>SUM(B307:Y307)</f>
        <v>17734.977350500001</v>
      </c>
      <c r="E304" s="363" t="s">
        <v>114</v>
      </c>
      <c r="F304" s="354">
        <f>D304/g/J304</f>
        <v>192.73420306179892</v>
      </c>
      <c r="G304" s="363" t="s">
        <v>56</v>
      </c>
      <c r="H304" s="64">
        <v>14.747999999999999</v>
      </c>
      <c r="I304" s="363" t="s">
        <v>271</v>
      </c>
      <c r="J304" s="355">
        <f>H304-L304</f>
        <v>9.379999999999999</v>
      </c>
      <c r="K304" s="363" t="s">
        <v>272</v>
      </c>
      <c r="L304" s="64">
        <v>5.3680000000000003</v>
      </c>
      <c r="M304" s="363" t="s">
        <v>57</v>
      </c>
      <c r="N304" s="65">
        <v>500</v>
      </c>
      <c r="O304" s="363" t="s">
        <v>59</v>
      </c>
      <c r="P304" s="65">
        <v>500</v>
      </c>
      <c r="Q304" s="363" t="s">
        <v>60</v>
      </c>
      <c r="R304" s="65">
        <v>1046</v>
      </c>
      <c r="S304" s="363" t="s">
        <v>61</v>
      </c>
      <c r="T304" s="65">
        <v>98</v>
      </c>
      <c r="U304" s="363" t="s">
        <v>54</v>
      </c>
      <c r="V304" s="66" t="s">
        <v>118</v>
      </c>
      <c r="W304" s="12"/>
      <c r="X304" s="12"/>
      <c r="Y304" s="12"/>
    </row>
    <row r="305" spans="1:25" x14ac:dyDescent="0.2">
      <c r="A305" s="362" t="s">
        <v>33</v>
      </c>
      <c r="B305" s="370">
        <v>0</v>
      </c>
      <c r="C305" s="371">
        <v>3.0000000000000001E-3</v>
      </c>
      <c r="D305" s="371">
        <v>0.05</v>
      </c>
      <c r="E305" s="371">
        <v>7.8E-2</v>
      </c>
      <c r="F305" s="371">
        <v>0.121</v>
      </c>
      <c r="G305" s="371">
        <v>0.65200000000000002</v>
      </c>
      <c r="H305" s="371">
        <v>1.123</v>
      </c>
      <c r="I305" s="371">
        <v>1.655</v>
      </c>
      <c r="J305" s="371">
        <v>2.3530000000000002</v>
      </c>
      <c r="K305" s="371">
        <v>3.0350000000000001</v>
      </c>
      <c r="L305" s="371">
        <v>3.7</v>
      </c>
      <c r="M305" s="371">
        <v>3.7330000000000001</v>
      </c>
      <c r="N305" s="371">
        <v>3.887</v>
      </c>
      <c r="O305" s="371">
        <v>4.0359999999999996</v>
      </c>
      <c r="P305" s="371">
        <v>4.1970000000000001</v>
      </c>
      <c r="Q305" s="371">
        <v>4.2619999999999996</v>
      </c>
      <c r="R305" s="371">
        <v>4.3</v>
      </c>
      <c r="S305" s="371">
        <v>5</v>
      </c>
      <c r="T305" s="371">
        <v>5</v>
      </c>
      <c r="U305" s="371">
        <v>5</v>
      </c>
      <c r="V305" s="371">
        <v>5</v>
      </c>
      <c r="W305" s="371">
        <v>5</v>
      </c>
      <c r="X305" s="371">
        <v>5</v>
      </c>
      <c r="Y305" s="381">
        <v>1000</v>
      </c>
    </row>
    <row r="306" spans="1:25" x14ac:dyDescent="0.2">
      <c r="A306" s="378" t="s">
        <v>34</v>
      </c>
      <c r="B306" s="372">
        <v>0</v>
      </c>
      <c r="C306" s="373">
        <v>203.87700000000001</v>
      </c>
      <c r="D306" s="373">
        <v>2362.8789999999999</v>
      </c>
      <c r="E306" s="373">
        <v>3946.8449999999998</v>
      </c>
      <c r="F306" s="373">
        <v>4281.4120000000003</v>
      </c>
      <c r="G306" s="373">
        <v>4370.2809999999999</v>
      </c>
      <c r="H306" s="373">
        <v>4453.9229999999998</v>
      </c>
      <c r="I306" s="373">
        <v>4772.8069999999998</v>
      </c>
      <c r="J306" s="373">
        <v>4621.2060000000001</v>
      </c>
      <c r="K306" s="373">
        <v>4511.4269999999997</v>
      </c>
      <c r="L306" s="373">
        <v>4375.509</v>
      </c>
      <c r="M306" s="373">
        <v>4182.0870000000004</v>
      </c>
      <c r="N306" s="373">
        <v>2969.2820000000002</v>
      </c>
      <c r="O306" s="373">
        <v>1589.193</v>
      </c>
      <c r="P306" s="373">
        <v>533.21600000000001</v>
      </c>
      <c r="Q306" s="373">
        <v>240.47</v>
      </c>
      <c r="R306" s="373">
        <v>0</v>
      </c>
      <c r="S306" s="373">
        <v>0</v>
      </c>
      <c r="T306" s="373">
        <v>0</v>
      </c>
      <c r="U306" s="373">
        <v>0</v>
      </c>
      <c r="V306" s="373">
        <v>0</v>
      </c>
      <c r="W306" s="373">
        <v>0</v>
      </c>
      <c r="X306" s="373">
        <v>0</v>
      </c>
      <c r="Y306" s="382">
        <v>0</v>
      </c>
    </row>
    <row r="307" spans="1:25" ht="13.5" thickBot="1" x14ac:dyDescent="0.25">
      <c r="A307" s="379" t="s">
        <v>116</v>
      </c>
      <c r="B307" s="374">
        <f t="shared" ref="B307" si="100">(C306+B306)*(C305-B305)/2</f>
        <v>0.30581550000000002</v>
      </c>
      <c r="C307" s="375">
        <f t="shared" ref="C307" si="101">(D306+C306)*(D305-C305)/2</f>
        <v>60.318765999999997</v>
      </c>
      <c r="D307" s="375">
        <f t="shared" ref="D307" si="102">(E306+D306)*(E305-D305)/2</f>
        <v>88.336135999999996</v>
      </c>
      <c r="E307" s="375">
        <f t="shared" ref="E307" si="103">(F306+E306)*(F305-E305)/2</f>
        <v>176.90752549999999</v>
      </c>
      <c r="F307" s="375">
        <f t="shared" ref="F307" si="104">(G306+F306)*(G305-F305)/2</f>
        <v>2297.0244914999998</v>
      </c>
      <c r="G307" s="375">
        <f t="shared" ref="G307" si="105">(H306+G306)*(H305-G305)/2</f>
        <v>2078.100042</v>
      </c>
      <c r="H307" s="375">
        <f t="shared" ref="H307" si="106">(I306+H306)*(I305-H305)/2</f>
        <v>2454.3101799999999</v>
      </c>
      <c r="I307" s="375">
        <f t="shared" ref="I307" si="107">(J306+I306)*(J305-I305)/2</f>
        <v>3278.5105370000006</v>
      </c>
      <c r="J307" s="375">
        <f t="shared" ref="J307" si="108">(K306+J306)*(K305-J305)/2</f>
        <v>3114.2278529999999</v>
      </c>
      <c r="K307" s="375">
        <f t="shared" ref="K307" si="109">(L306+K306)*(L305-K305)/2</f>
        <v>2954.9062199999998</v>
      </c>
      <c r="L307" s="375">
        <f t="shared" ref="L307" si="110">(M306+L306)*(M305-L305)/2</f>
        <v>141.20033399999969</v>
      </c>
      <c r="M307" s="375">
        <f t="shared" ref="M307" si="111">(N306+M306)*(N305-M305)/2</f>
        <v>550.65541299999973</v>
      </c>
      <c r="N307" s="375">
        <f t="shared" ref="N307" si="112">(O306+N306)*(O305-N305)/2</f>
        <v>339.60638749999907</v>
      </c>
      <c r="O307" s="375">
        <f t="shared" ref="O307" si="113">(P306+O306)*(P305-O305)/2</f>
        <v>170.85392450000052</v>
      </c>
      <c r="P307" s="375">
        <f t="shared" ref="P307" si="114">(Q306+P306)*(Q305-P305)/2</f>
        <v>25.14479499999981</v>
      </c>
      <c r="Q307" s="375">
        <f t="shared" ref="Q307" si="115">(R306+Q306)*(R305-Q305)/2</f>
        <v>4.568930000000031</v>
      </c>
      <c r="R307" s="375">
        <f t="shared" ref="R307" si="116">(S306+R306)*(S305-R305)/2</f>
        <v>0</v>
      </c>
      <c r="S307" s="375">
        <f t="shared" ref="S307" si="117">(T306+S306)*(T305-S305)/2</f>
        <v>0</v>
      </c>
      <c r="T307" s="375">
        <f t="shared" ref="T307" si="118">(U306+T306)*(U305-T305)/2</f>
        <v>0</v>
      </c>
      <c r="U307" s="375">
        <f t="shared" ref="U307" si="119">(V306+U306)*(V305-U305)/2</f>
        <v>0</v>
      </c>
      <c r="V307" s="375">
        <f t="shared" ref="V307" si="120">(W306+V306)*(W305-V305)/2</f>
        <v>0</v>
      </c>
      <c r="W307" s="375">
        <f t="shared" ref="W307" si="121">(X306+W306)*(X305-W305)/2</f>
        <v>0</v>
      </c>
      <c r="X307" s="375">
        <f t="shared" ref="X307" si="122">(Y306+X306)*(Y305-X305)/2</f>
        <v>0</v>
      </c>
      <c r="Y307" s="369"/>
    </row>
    <row r="308" spans="1:25" ht="13.5" thickBot="1" x14ac:dyDescent="0.25">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row>
    <row r="309" spans="1:25" ht="13.5" thickBot="1" x14ac:dyDescent="0.25">
      <c r="A309" s="361" t="s">
        <v>44</v>
      </c>
      <c r="B309" s="359">
        <f>ROW(A309)</f>
        <v>309</v>
      </c>
      <c r="C309" s="363" t="s">
        <v>115</v>
      </c>
      <c r="D309" s="353">
        <f>SUM(B312:Y312)</f>
        <v>1E-3</v>
      </c>
      <c r="E309" s="363" t="s">
        <v>114</v>
      </c>
      <c r="F309" s="354">
        <f>D309/g/J309</f>
        <v>1.019367991845056</v>
      </c>
      <c r="G309" s="363" t="s">
        <v>56</v>
      </c>
      <c r="H309" s="64">
        <v>1E-4</v>
      </c>
      <c r="I309" s="363" t="s">
        <v>271</v>
      </c>
      <c r="J309" s="355">
        <f>H309-L309</f>
        <v>1E-4</v>
      </c>
      <c r="K309" s="363" t="s">
        <v>272</v>
      </c>
      <c r="L309" s="64">
        <v>0</v>
      </c>
      <c r="M309" s="363" t="s">
        <v>57</v>
      </c>
      <c r="N309" s="65">
        <v>0</v>
      </c>
      <c r="O309" s="363" t="s">
        <v>59</v>
      </c>
      <c r="P309" s="65">
        <v>0</v>
      </c>
      <c r="Q309" s="363" t="s">
        <v>60</v>
      </c>
      <c r="R309" s="65">
        <v>0</v>
      </c>
      <c r="S309" s="363" t="s">
        <v>61</v>
      </c>
      <c r="T309" s="65">
        <v>0</v>
      </c>
      <c r="U309" s="363" t="s">
        <v>54</v>
      </c>
      <c r="V309" s="66" t="s">
        <v>118</v>
      </c>
      <c r="W309" s="12"/>
      <c r="X309" s="12"/>
      <c r="Y309" s="12"/>
    </row>
    <row r="310" spans="1:25" x14ac:dyDescent="0.2">
      <c r="A310" s="362" t="s">
        <v>33</v>
      </c>
      <c r="B310" s="370">
        <v>0</v>
      </c>
      <c r="C310" s="371">
        <v>0.1</v>
      </c>
      <c r="D310" s="371">
        <v>0.2</v>
      </c>
      <c r="E310" s="371">
        <v>1</v>
      </c>
      <c r="F310" s="371">
        <v>1</v>
      </c>
      <c r="G310" s="371">
        <v>1</v>
      </c>
      <c r="H310" s="371">
        <v>1</v>
      </c>
      <c r="I310" s="371">
        <v>1</v>
      </c>
      <c r="J310" s="371">
        <v>1</v>
      </c>
      <c r="K310" s="371">
        <v>1</v>
      </c>
      <c r="L310" s="371">
        <v>1</v>
      </c>
      <c r="M310" s="371">
        <v>1</v>
      </c>
      <c r="N310" s="371">
        <v>1</v>
      </c>
      <c r="O310" s="371">
        <v>1</v>
      </c>
      <c r="P310" s="371">
        <v>1</v>
      </c>
      <c r="Q310" s="371">
        <v>1</v>
      </c>
      <c r="R310" s="371">
        <v>1</v>
      </c>
      <c r="S310" s="371">
        <v>1</v>
      </c>
      <c r="T310" s="371">
        <v>1</v>
      </c>
      <c r="U310" s="371">
        <v>1</v>
      </c>
      <c r="V310" s="371">
        <v>1</v>
      </c>
      <c r="W310" s="371">
        <v>1</v>
      </c>
      <c r="X310" s="371">
        <v>1</v>
      </c>
      <c r="Y310" s="381">
        <v>1000</v>
      </c>
    </row>
    <row r="311" spans="1:25" x14ac:dyDescent="0.2">
      <c r="A311" s="378" t="s">
        <v>34</v>
      </c>
      <c r="B311" s="372">
        <v>0</v>
      </c>
      <c r="C311" s="373">
        <v>0.01</v>
      </c>
      <c r="D311" s="373">
        <v>0</v>
      </c>
      <c r="E311" s="373">
        <v>0</v>
      </c>
      <c r="F311" s="373">
        <v>0</v>
      </c>
      <c r="G311" s="373">
        <v>0</v>
      </c>
      <c r="H311" s="373">
        <v>0</v>
      </c>
      <c r="I311" s="373">
        <v>0</v>
      </c>
      <c r="J311" s="373">
        <v>0</v>
      </c>
      <c r="K311" s="373">
        <v>0</v>
      </c>
      <c r="L311" s="373">
        <v>0</v>
      </c>
      <c r="M311" s="373">
        <v>0</v>
      </c>
      <c r="N311" s="373">
        <v>0</v>
      </c>
      <c r="O311" s="373">
        <v>0</v>
      </c>
      <c r="P311" s="373">
        <v>0</v>
      </c>
      <c r="Q311" s="373">
        <v>0</v>
      </c>
      <c r="R311" s="373">
        <v>0</v>
      </c>
      <c r="S311" s="373">
        <v>0</v>
      </c>
      <c r="T311" s="373">
        <v>0</v>
      </c>
      <c r="U311" s="373">
        <v>0</v>
      </c>
      <c r="V311" s="373">
        <v>0</v>
      </c>
      <c r="W311" s="373">
        <v>0</v>
      </c>
      <c r="X311" s="373">
        <v>0</v>
      </c>
      <c r="Y311" s="382">
        <v>0</v>
      </c>
    </row>
    <row r="312" spans="1:25" ht="13.5" thickBot="1" x14ac:dyDescent="0.25">
      <c r="A312" s="379" t="s">
        <v>116</v>
      </c>
      <c r="B312" s="374">
        <f t="shared" ref="B312:G312" si="123">(C311+B311)*(C310-B310)/2</f>
        <v>5.0000000000000001E-4</v>
      </c>
      <c r="C312" s="375">
        <f t="shared" si="123"/>
        <v>5.0000000000000001E-4</v>
      </c>
      <c r="D312" s="375">
        <f t="shared" si="123"/>
        <v>0</v>
      </c>
      <c r="E312" s="375">
        <f t="shared" si="123"/>
        <v>0</v>
      </c>
      <c r="F312" s="375">
        <f t="shared" si="123"/>
        <v>0</v>
      </c>
      <c r="G312" s="375">
        <f t="shared" si="123"/>
        <v>0</v>
      </c>
      <c r="H312" s="375">
        <f t="shared" ref="H312:V312" si="124">(I311+H311)*(I310-H310)/2</f>
        <v>0</v>
      </c>
      <c r="I312" s="375">
        <f t="shared" si="124"/>
        <v>0</v>
      </c>
      <c r="J312" s="375">
        <f>(K311+J311)*(K310-J310)/2</f>
        <v>0</v>
      </c>
      <c r="K312" s="375">
        <f t="shared" si="124"/>
        <v>0</v>
      </c>
      <c r="L312" s="375">
        <f t="shared" si="124"/>
        <v>0</v>
      </c>
      <c r="M312" s="375">
        <f t="shared" si="124"/>
        <v>0</v>
      </c>
      <c r="N312" s="375">
        <f t="shared" si="124"/>
        <v>0</v>
      </c>
      <c r="O312" s="375">
        <f t="shared" si="124"/>
        <v>0</v>
      </c>
      <c r="P312" s="375">
        <f t="shared" si="124"/>
        <v>0</v>
      </c>
      <c r="Q312" s="375">
        <f t="shared" si="124"/>
        <v>0</v>
      </c>
      <c r="R312" s="375">
        <f t="shared" si="124"/>
        <v>0</v>
      </c>
      <c r="S312" s="375">
        <f>(T311+S311)*(T310-S310)/2</f>
        <v>0</v>
      </c>
      <c r="T312" s="375">
        <f t="shared" si="124"/>
        <v>0</v>
      </c>
      <c r="U312" s="375">
        <f t="shared" si="124"/>
        <v>0</v>
      </c>
      <c r="V312" s="375">
        <f t="shared" si="124"/>
        <v>0</v>
      </c>
      <c r="W312" s="375">
        <f>(X311+W311)*(X310-W310)/2</f>
        <v>0</v>
      </c>
      <c r="X312" s="375">
        <f>(Y311+X311)*(Y310-X310)/2</f>
        <v>0</v>
      </c>
      <c r="Y312" s="369"/>
    </row>
    <row r="314" spans="1:25" x14ac:dyDescent="0.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row>
    <row r="316" spans="1:25" x14ac:dyDescent="0.2">
      <c r="A316" s="397" t="str">
        <f>IF(Lang="Français","Liste des propu affichés :","Motor list (shown):")</f>
        <v>Liste des propu affichés :</v>
      </c>
      <c r="C316" s="651" t="s">
        <v>276</v>
      </c>
      <c r="D316" s="652"/>
      <c r="F316" s="651" t="s">
        <v>181</v>
      </c>
      <c r="G316" s="652"/>
      <c r="H316" s="12"/>
      <c r="I316" s="651" t="s">
        <v>397</v>
      </c>
      <c r="J316" s="652"/>
      <c r="K316" s="12"/>
      <c r="L316" s="651" t="s">
        <v>182</v>
      </c>
      <c r="M316" s="652"/>
      <c r="O316" s="651" t="s">
        <v>396</v>
      </c>
      <c r="P316" s="652"/>
      <c r="R316" s="651" t="s">
        <v>118</v>
      </c>
      <c r="S316" s="652"/>
    </row>
    <row r="317" spans="1:25" x14ac:dyDescent="0.2">
      <c r="A317" s="398" t="str">
        <f t="array" ref="A317:A346">IF(RIGHT(Type_fusee,1)=".",Liste_fusex, IF(LEFT(Type_fusee,4)="Mini",Liste_minif, IF(LEFT(Type_fusee,5)="Micro",Liste_µfu, IF(RIGHT(Type_fusee,1)=" ",Liste_H2O, IF(LEFT(Type_fusee,1)="R",Liste_RC, IF(LEFT(Type_fusee,1)=",",Liste_minifT))))))</f>
        <v>Pro54-5G WT</v>
      </c>
      <c r="C317" s="643" t="str">
        <f>A26</f>
        <v>H2O 1.5L 300g 6bar</v>
      </c>
      <c r="D317" s="644"/>
      <c r="F317" s="643" t="str">
        <f>A67</f>
        <v>µ-propu A8-3</v>
      </c>
      <c r="G317" s="644"/>
      <c r="H317" s="472"/>
      <c r="I317" s="641" t="str">
        <f>A148</f>
        <v>p29-1G 56F31</v>
      </c>
      <c r="J317" s="642"/>
      <c r="K317" s="472"/>
      <c r="L317" s="641" t="str">
        <f>A158</f>
        <v>p29-1G 57F59</v>
      </c>
      <c r="M317" s="642"/>
      <c r="O317" s="643" t="str">
        <f>A108</f>
        <v>p24-1G 24E22</v>
      </c>
      <c r="P317" s="644"/>
      <c r="R317" s="643" t="str">
        <f>A284</f>
        <v>Pro54-5G WT</v>
      </c>
      <c r="S317" s="644"/>
    </row>
    <row r="318" spans="1:25" x14ac:dyDescent="0.2">
      <c r="A318" s="398" t="str">
        <v>Barasinga (Pro54-5G C)</v>
      </c>
      <c r="C318" s="643" t="str">
        <f>A31</f>
        <v>H2O 1.5L 450g 6bar</v>
      </c>
      <c r="D318" s="644"/>
      <c r="F318" s="643" t="str">
        <f>A72</f>
        <v>µ-propu B4-4</v>
      </c>
      <c r="G318" s="644"/>
      <c r="H318" s="472"/>
      <c r="I318" s="641" t="str">
        <f>A153</f>
        <v>p29-1G 56F120</v>
      </c>
      <c r="J318" s="642"/>
      <c r="K318" s="472"/>
      <c r="L318" s="641" t="str">
        <f>A183</f>
        <v>p24-3G 74F85</v>
      </c>
      <c r="M318" s="642"/>
      <c r="O318" s="643" t="str">
        <f>A113</f>
        <v>p24-1G 25E75 (Rufina)</v>
      </c>
      <c r="P318" s="644"/>
      <c r="R318" s="643" t="str">
        <f>A279</f>
        <v>Barasinga (Pro54-5G C)</v>
      </c>
      <c r="S318" s="644"/>
    </row>
    <row r="319" spans="1:25" x14ac:dyDescent="0.2">
      <c r="A319" s="398" t="str">
        <v>Orignal (Pro75-3G C)</v>
      </c>
      <c r="C319" s="643" t="str">
        <f>A36</f>
        <v>H2O 1.5L 600g 6bar</v>
      </c>
      <c r="D319" s="644"/>
      <c r="F319" s="643" t="str">
        <f>A77</f>
        <v>µ-propu C6-3</v>
      </c>
      <c r="G319" s="644"/>
      <c r="H319" s="472"/>
      <c r="I319" s="641" t="str">
        <f>A158</f>
        <v>p29-1G 57F59</v>
      </c>
      <c r="J319" s="642"/>
      <c r="K319" s="472"/>
      <c r="L319" s="641" t="str">
        <f>A188</f>
        <v>p24-3G 75F51</v>
      </c>
      <c r="M319" s="642"/>
      <c r="O319" s="643" t="str">
        <f>A118</f>
        <v>p24-1G 26E31</v>
      </c>
      <c r="P319" s="644"/>
      <c r="R319" s="643" t="str">
        <f>A289</f>
        <v>Orignal (Pro75-3G C)</v>
      </c>
      <c r="S319" s="644"/>
    </row>
    <row r="320" spans="1:25" x14ac:dyDescent="0.2">
      <c r="A320" s="398" t="str">
        <v>Pro98-6G Green</v>
      </c>
      <c r="C320" s="643" t="str">
        <f>A41</f>
        <v>H2O 1.5L 750g 6bar</v>
      </c>
      <c r="D320" s="644"/>
      <c r="F320" s="643" t="str">
        <f>A82</f>
        <v>µ-propu C6-3 x2</v>
      </c>
      <c r="G320" s="644"/>
      <c r="H320" s="472"/>
      <c r="I320" s="641" t="str">
        <f>A183</f>
        <v>p24-3G 74F85</v>
      </c>
      <c r="J320" s="642"/>
      <c r="K320" s="472"/>
      <c r="L320" s="641" t="str">
        <f>A228</f>
        <v>p29-2G 116G126</v>
      </c>
      <c r="M320" s="642"/>
      <c r="O320" s="643" t="str">
        <f>A123</f>
        <v>p24-2G 50E51</v>
      </c>
      <c r="P320" s="644"/>
      <c r="R320" s="643" t="str">
        <f>A294</f>
        <v>Pro98-6G Green</v>
      </c>
      <c r="S320" s="644"/>
    </row>
    <row r="321" spans="1:19" x14ac:dyDescent="0.2">
      <c r="A321" s="398" t="str">
        <v xml:space="preserve"> </v>
      </c>
      <c r="C321" s="643" t="str">
        <f>A46</f>
        <v>H2O 2.0L 400g 6bar</v>
      </c>
      <c r="D321" s="644"/>
      <c r="F321" s="643" t="str">
        <f>A87</f>
        <v>µ-propu C6-3 x3</v>
      </c>
      <c r="G321" s="644"/>
      <c r="H321" s="472"/>
      <c r="I321" s="641" t="str">
        <f>A188</f>
        <v>p24-3G 75F51</v>
      </c>
      <c r="J321" s="642"/>
      <c r="K321" s="472"/>
      <c r="L321" s="641" t="str">
        <f>A198</f>
        <v>Pandora (Pro24-6G BS)</v>
      </c>
      <c r="M321" s="642"/>
      <c r="O321" s="643" t="str">
        <f>A128</f>
        <v>p24-1G 53E70</v>
      </c>
      <c r="P321" s="644"/>
      <c r="R321" s="643" t="s">
        <v>183</v>
      </c>
      <c r="S321" s="644"/>
    </row>
    <row r="322" spans="1:19" x14ac:dyDescent="0.2">
      <c r="A322" s="398" t="str">
        <v xml:space="preserve"> </v>
      </c>
      <c r="C322" s="643" t="str">
        <f>A51</f>
        <v>H2O 2.0L 600g 6bar</v>
      </c>
      <c r="D322" s="644"/>
      <c r="F322" s="643" t="s">
        <v>183</v>
      </c>
      <c r="G322" s="644"/>
      <c r="H322" s="472"/>
      <c r="I322" s="641" t="s">
        <v>183</v>
      </c>
      <c r="J322" s="642"/>
      <c r="K322" s="472"/>
      <c r="L322" s="643" t="str">
        <f>A92</f>
        <v>Klima D9-7</v>
      </c>
      <c r="M322" s="644"/>
      <c r="O322" s="643" t="str">
        <f>A133</f>
        <v>p29-1G 41F36</v>
      </c>
      <c r="P322" s="644"/>
      <c r="R322" s="643" t="s">
        <v>183</v>
      </c>
      <c r="S322" s="644"/>
    </row>
    <row r="323" spans="1:19" x14ac:dyDescent="0.2">
      <c r="A323" s="398" t="str">
        <v xml:space="preserve"> </v>
      </c>
      <c r="C323" s="643" t="str">
        <f>A56</f>
        <v>H2O 2.0L 800g 6bar</v>
      </c>
      <c r="D323" s="644"/>
      <c r="F323" s="643" t="s">
        <v>183</v>
      </c>
      <c r="G323" s="644"/>
      <c r="H323" s="472"/>
      <c r="I323" s="641" t="s">
        <v>183</v>
      </c>
      <c r="J323" s="642"/>
      <c r="K323" s="472"/>
      <c r="L323" s="643" t="str">
        <f>A97</f>
        <v>Klima D9-7 x2</v>
      </c>
      <c r="M323" s="644"/>
      <c r="O323" s="643" t="str">
        <f>A138</f>
        <v>p29-1G 51F36</v>
      </c>
      <c r="P323" s="644"/>
      <c r="R323" s="643" t="s">
        <v>183</v>
      </c>
      <c r="S323" s="644"/>
    </row>
    <row r="324" spans="1:19" x14ac:dyDescent="0.2">
      <c r="A324" s="398" t="str">
        <v xml:space="preserve"> </v>
      </c>
      <c r="C324" s="643" t="str">
        <f>A61</f>
        <v>H2O 2.0L 1000g 6bar</v>
      </c>
      <c r="D324" s="644"/>
      <c r="F324" s="643" t="s">
        <v>183</v>
      </c>
      <c r="G324" s="644"/>
      <c r="H324" s="472"/>
      <c r="I324" s="641" t="s">
        <v>183</v>
      </c>
      <c r="J324" s="642"/>
      <c r="K324" s="472"/>
      <c r="L324" s="643" t="str">
        <f>A102</f>
        <v>Klima D9-7 x3</v>
      </c>
      <c r="M324" s="644"/>
      <c r="O324" s="643" t="str">
        <f>A143</f>
        <v>p29-1G 55F29</v>
      </c>
      <c r="P324" s="644"/>
      <c r="R324" s="643" t="s">
        <v>183</v>
      </c>
      <c r="S324" s="644"/>
    </row>
    <row r="325" spans="1:19" x14ac:dyDescent="0.2">
      <c r="A325" s="398" t="str">
        <v xml:space="preserve"> </v>
      </c>
      <c r="C325" s="643" t="s">
        <v>183</v>
      </c>
      <c r="D325" s="644"/>
      <c r="F325" s="643" t="s">
        <v>183</v>
      </c>
      <c r="G325" s="644"/>
      <c r="H325" s="472"/>
      <c r="I325" s="641" t="s">
        <v>183</v>
      </c>
      <c r="J325" s="642"/>
      <c r="K325" s="472"/>
      <c r="L325" s="643" t="s">
        <v>183</v>
      </c>
      <c r="M325" s="644"/>
      <c r="O325" s="643" t="str">
        <f>A153</f>
        <v>p29-1G 56F120</v>
      </c>
      <c r="P325" s="644"/>
      <c r="R325" s="643" t="s">
        <v>183</v>
      </c>
      <c r="S325" s="644"/>
    </row>
    <row r="326" spans="1:19" x14ac:dyDescent="0.2">
      <c r="A326" s="398" t="str">
        <v xml:space="preserve"> </v>
      </c>
      <c r="C326" s="643" t="s">
        <v>183</v>
      </c>
      <c r="D326" s="644"/>
      <c r="F326" s="643" t="s">
        <v>183</v>
      </c>
      <c r="G326" s="644"/>
      <c r="H326" s="472"/>
      <c r="I326" s="641" t="s">
        <v>183</v>
      </c>
      <c r="J326" s="642"/>
      <c r="K326" s="472"/>
      <c r="L326" s="643" t="s">
        <v>183</v>
      </c>
      <c r="M326" s="644"/>
      <c r="O326" s="643" t="str">
        <f>A158</f>
        <v>p29-1G 57F59</v>
      </c>
      <c r="P326" s="644"/>
      <c r="R326" s="643" t="s">
        <v>183</v>
      </c>
      <c r="S326" s="644"/>
    </row>
    <row r="327" spans="1:19" x14ac:dyDescent="0.2">
      <c r="A327" s="398" t="str">
        <v xml:space="preserve"> </v>
      </c>
      <c r="C327" s="643" t="s">
        <v>183</v>
      </c>
      <c r="D327" s="644"/>
      <c r="F327" s="643" t="s">
        <v>183</v>
      </c>
      <c r="G327" s="644"/>
      <c r="H327" s="472"/>
      <c r="I327" s="641" t="s">
        <v>183</v>
      </c>
      <c r="J327" s="642"/>
      <c r="K327" s="472"/>
      <c r="L327" s="643" t="s">
        <v>183</v>
      </c>
      <c r="M327" s="644"/>
      <c r="O327" s="643" t="str">
        <f>A163</f>
        <v>p24-3G 60F50</v>
      </c>
      <c r="P327" s="644"/>
      <c r="R327" s="643" t="s">
        <v>183</v>
      </c>
      <c r="S327" s="644"/>
    </row>
    <row r="328" spans="1:19" x14ac:dyDescent="0.2">
      <c r="A328" s="398" t="str">
        <v xml:space="preserve"> </v>
      </c>
      <c r="C328" s="643" t="s">
        <v>183</v>
      </c>
      <c r="D328" s="644"/>
      <c r="F328" s="643" t="s">
        <v>183</v>
      </c>
      <c r="G328" s="644"/>
      <c r="H328" s="472"/>
      <c r="I328" s="641" t="s">
        <v>183</v>
      </c>
      <c r="J328" s="642"/>
      <c r="K328" s="472"/>
      <c r="L328" s="643" t="s">
        <v>183</v>
      </c>
      <c r="M328" s="644"/>
      <c r="O328" s="643" t="str">
        <f>A168</f>
        <v>p24-3G 68F79</v>
      </c>
      <c r="P328" s="644"/>
      <c r="R328" s="643" t="s">
        <v>183</v>
      </c>
      <c r="S328" s="644"/>
    </row>
    <row r="329" spans="1:19" x14ac:dyDescent="0.2">
      <c r="A329" s="398" t="str">
        <v xml:space="preserve"> </v>
      </c>
      <c r="C329" s="643" t="s">
        <v>183</v>
      </c>
      <c r="D329" s="644"/>
      <c r="F329" s="643" t="s">
        <v>183</v>
      </c>
      <c r="G329" s="644"/>
      <c r="H329" s="472"/>
      <c r="I329" s="641" t="s">
        <v>183</v>
      </c>
      <c r="J329" s="642"/>
      <c r="K329" s="472"/>
      <c r="L329" s="643" t="s">
        <v>183</v>
      </c>
      <c r="M329" s="644"/>
      <c r="O329" s="643" t="str">
        <f>A173</f>
        <v>p24-3G 68F240</v>
      </c>
      <c r="P329" s="644"/>
      <c r="R329" s="643" t="s">
        <v>183</v>
      </c>
      <c r="S329" s="644"/>
    </row>
    <row r="330" spans="1:19" x14ac:dyDescent="0.2">
      <c r="A330" s="398" t="str">
        <v xml:space="preserve"> </v>
      </c>
      <c r="C330" s="643" t="s">
        <v>183</v>
      </c>
      <c r="D330" s="644"/>
      <c r="F330" s="643" t="s">
        <v>183</v>
      </c>
      <c r="G330" s="644"/>
      <c r="H330" s="472"/>
      <c r="I330" s="641" t="s">
        <v>183</v>
      </c>
      <c r="J330" s="642"/>
      <c r="K330" s="472"/>
      <c r="L330" s="643" t="s">
        <v>183</v>
      </c>
      <c r="M330" s="644"/>
      <c r="O330" s="643" t="str">
        <f>A178</f>
        <v>p24-3G 73F30</v>
      </c>
      <c r="P330" s="644"/>
      <c r="R330" s="643" t="s">
        <v>183</v>
      </c>
      <c r="S330" s="644"/>
    </row>
    <row r="331" spans="1:19" x14ac:dyDescent="0.2">
      <c r="A331" s="398" t="str">
        <v xml:space="preserve"> </v>
      </c>
      <c r="C331" s="643" t="s">
        <v>183</v>
      </c>
      <c r="D331" s="644"/>
      <c r="F331" s="643" t="s">
        <v>183</v>
      </c>
      <c r="G331" s="644"/>
      <c r="H331" s="472"/>
      <c r="I331" s="649" t="s">
        <v>183</v>
      </c>
      <c r="J331" s="650"/>
      <c r="K331" s="472"/>
      <c r="L331" s="643" t="s">
        <v>183</v>
      </c>
      <c r="M331" s="644"/>
      <c r="O331" s="643" t="str">
        <f>A183</f>
        <v>p24-3G 74F85</v>
      </c>
      <c r="P331" s="644"/>
      <c r="R331" s="643" t="s">
        <v>183</v>
      </c>
      <c r="S331" s="644"/>
    </row>
    <row r="332" spans="1:19" x14ac:dyDescent="0.2">
      <c r="A332" s="462" t="str">
        <v xml:space="preserve"> </v>
      </c>
      <c r="C332" s="646" t="s">
        <v>183</v>
      </c>
      <c r="D332" s="647"/>
      <c r="F332" s="646" t="s">
        <v>183</v>
      </c>
      <c r="G332" s="647"/>
      <c r="H332" s="472"/>
      <c r="I332" s="646" t="s">
        <v>183</v>
      </c>
      <c r="J332" s="647"/>
      <c r="K332" s="472"/>
      <c r="L332" s="646" t="s">
        <v>183</v>
      </c>
      <c r="M332" s="647"/>
      <c r="O332" s="643" t="str">
        <f>A188</f>
        <v>p24-3G 75F51</v>
      </c>
      <c r="P332" s="644"/>
      <c r="R332" s="646" t="s">
        <v>183</v>
      </c>
      <c r="S332" s="647"/>
    </row>
    <row r="333" spans="1:19" x14ac:dyDescent="0.2">
      <c r="A333" s="398" t="str">
        <v xml:space="preserve"> </v>
      </c>
      <c r="C333" s="653" t="s">
        <v>183</v>
      </c>
      <c r="D333" s="653"/>
      <c r="F333" s="653" t="s">
        <v>183</v>
      </c>
      <c r="G333" s="653"/>
      <c r="I333" s="640" t="s">
        <v>183</v>
      </c>
      <c r="J333" s="640"/>
      <c r="L333" s="640" t="s">
        <v>183</v>
      </c>
      <c r="M333" s="640"/>
      <c r="O333" s="643" t="str">
        <f>A213</f>
        <v>p29-2G 84G88</v>
      </c>
      <c r="P333" s="644"/>
      <c r="R333" s="648" t="s">
        <v>183</v>
      </c>
      <c r="S333" s="648"/>
    </row>
    <row r="334" spans="1:19" x14ac:dyDescent="0.2">
      <c r="A334" s="398" t="str">
        <v>Isard</v>
      </c>
      <c r="C334" s="637" t="s">
        <v>183</v>
      </c>
      <c r="D334" s="637"/>
      <c r="F334" s="637" t="s">
        <v>183</v>
      </c>
      <c r="G334" s="637"/>
      <c r="I334" s="640" t="s">
        <v>183</v>
      </c>
      <c r="J334" s="640"/>
      <c r="L334" s="640" t="s">
        <v>183</v>
      </c>
      <c r="M334" s="640"/>
      <c r="O334" s="643" t="str">
        <f>A218</f>
        <v>p29-2G 93G80</v>
      </c>
      <c r="P334" s="644"/>
      <c r="R334" s="645" t="str">
        <f>A269</f>
        <v>Isard</v>
      </c>
      <c r="S334" s="645"/>
    </row>
    <row r="335" spans="1:19" x14ac:dyDescent="0.2">
      <c r="A335" s="398" t="str">
        <v>Chamois</v>
      </c>
      <c r="C335" s="637" t="s">
        <v>183</v>
      </c>
      <c r="D335" s="637"/>
      <c r="F335" s="637" t="s">
        <v>183</v>
      </c>
      <c r="G335" s="637"/>
      <c r="I335" s="640" t="s">
        <v>183</v>
      </c>
      <c r="J335" s="640"/>
      <c r="L335" s="640" t="s">
        <v>183</v>
      </c>
      <c r="M335" s="640"/>
      <c r="O335" s="643" t="str">
        <f>A223</f>
        <v>p29-2G 110G250</v>
      </c>
      <c r="P335" s="644"/>
      <c r="R335" s="645" t="str">
        <f>A274</f>
        <v>Chamois</v>
      </c>
      <c r="S335" s="645"/>
    </row>
    <row r="336" spans="1:19" x14ac:dyDescent="0.2">
      <c r="A336" s="398" t="str">
        <v>Pro54-5G WT</v>
      </c>
      <c r="C336" s="637" t="s">
        <v>183</v>
      </c>
      <c r="D336" s="637"/>
      <c r="F336" s="637" t="s">
        <v>183</v>
      </c>
      <c r="G336" s="637"/>
      <c r="I336" s="640" t="s">
        <v>183</v>
      </c>
      <c r="J336" s="640"/>
      <c r="L336" s="640" t="s">
        <v>183</v>
      </c>
      <c r="M336" s="640"/>
      <c r="O336" s="643" t="str">
        <f>A228</f>
        <v>p29-2G 116G126</v>
      </c>
      <c r="P336" s="644"/>
      <c r="R336" s="645" t="str">
        <f>A284</f>
        <v>Pro54-5G WT</v>
      </c>
      <c r="S336" s="645"/>
    </row>
    <row r="337" spans="1:19" x14ac:dyDescent="0.2">
      <c r="A337" s="398" t="str">
        <v>Pro98-6G Green</v>
      </c>
      <c r="C337" s="637" t="s">
        <v>183</v>
      </c>
      <c r="D337" s="637"/>
      <c r="F337" s="637" t="s">
        <v>183</v>
      </c>
      <c r="G337" s="637"/>
      <c r="I337" s="640" t="s">
        <v>183</v>
      </c>
      <c r="J337" s="640"/>
      <c r="L337" s="640" t="s">
        <v>183</v>
      </c>
      <c r="M337" s="640"/>
      <c r="O337" s="643" t="str">
        <f>A233</f>
        <v>p29-3G 125G131</v>
      </c>
      <c r="P337" s="644"/>
      <c r="R337" s="645" t="str">
        <f>A294</f>
        <v>Pro98-6G Green</v>
      </c>
      <c r="S337" s="645"/>
    </row>
    <row r="338" spans="1:19" x14ac:dyDescent="0.2">
      <c r="A338" s="398" t="str">
        <v>Pro98-3G WT</v>
      </c>
      <c r="C338" s="637" t="s">
        <v>183</v>
      </c>
      <c r="D338" s="637"/>
      <c r="F338" s="637" t="s">
        <v>183</v>
      </c>
      <c r="G338" s="637"/>
      <c r="I338" s="640" t="s">
        <v>183</v>
      </c>
      <c r="J338" s="640"/>
      <c r="L338" s="640" t="s">
        <v>183</v>
      </c>
      <c r="M338" s="640"/>
      <c r="O338" s="643" t="str">
        <f>A248</f>
        <v>p38-1G 128G185</v>
      </c>
      <c r="P338" s="644"/>
      <c r="R338" s="645" t="str">
        <f>A299</f>
        <v>Pro98-3G WT</v>
      </c>
      <c r="S338" s="645"/>
    </row>
    <row r="339" spans="1:19" x14ac:dyDescent="0.2">
      <c r="A339" s="398" t="str">
        <v>Aucun (2e ét. inerte)</v>
      </c>
      <c r="C339" s="637" t="s">
        <v>183</v>
      </c>
      <c r="D339" s="637"/>
      <c r="F339" s="637" t="s">
        <v>183</v>
      </c>
      <c r="G339" s="637"/>
      <c r="I339" s="640" t="s">
        <v>183</v>
      </c>
      <c r="J339" s="640"/>
      <c r="L339" s="640" t="s">
        <v>183</v>
      </c>
      <c r="M339" s="640"/>
      <c r="O339" s="643" t="str">
        <f>A243</f>
        <v>p38-1G 137G58</v>
      </c>
      <c r="P339" s="644"/>
      <c r="R339" s="645" t="str">
        <f>A309</f>
        <v>Aucun (2e ét. inerte)</v>
      </c>
      <c r="S339" s="645"/>
    </row>
    <row r="340" spans="1:19" x14ac:dyDescent="0.2">
      <c r="A340" s="398" t="str">
        <v xml:space="preserve"> </v>
      </c>
      <c r="C340" s="637" t="s">
        <v>183</v>
      </c>
      <c r="D340" s="637"/>
      <c r="F340" s="637" t="s">
        <v>183</v>
      </c>
      <c r="G340" s="637"/>
      <c r="I340" s="640" t="s">
        <v>183</v>
      </c>
      <c r="J340" s="640"/>
      <c r="L340" s="640" t="s">
        <v>183</v>
      </c>
      <c r="M340" s="640"/>
      <c r="O340" s="643" t="str">
        <f>A253</f>
        <v>p38-1G 141G78</v>
      </c>
      <c r="P340" s="644"/>
      <c r="R340" s="640" t="s">
        <v>183</v>
      </c>
      <c r="S340" s="640"/>
    </row>
    <row r="341" spans="1:19" x14ac:dyDescent="0.2">
      <c r="A341" s="398" t="str">
        <v xml:space="preserve"> </v>
      </c>
      <c r="C341" s="637" t="s">
        <v>183</v>
      </c>
      <c r="D341" s="637"/>
      <c r="F341" s="637" t="s">
        <v>183</v>
      </c>
      <c r="G341" s="637"/>
      <c r="I341" s="637" t="s">
        <v>183</v>
      </c>
      <c r="J341" s="637"/>
      <c r="L341" s="640" t="s">
        <v>183</v>
      </c>
      <c r="M341" s="640"/>
      <c r="O341" s="643" t="str">
        <f>A193</f>
        <v>p24-6G 140G145 PK</v>
      </c>
      <c r="P341" s="644"/>
      <c r="R341" s="637" t="s">
        <v>183</v>
      </c>
      <c r="S341" s="637"/>
    </row>
    <row r="342" spans="1:19" x14ac:dyDescent="0.2">
      <c r="A342" s="398" t="str">
        <v xml:space="preserve"> </v>
      </c>
      <c r="C342" s="637" t="s">
        <v>183</v>
      </c>
      <c r="D342" s="637"/>
      <c r="F342" s="637" t="s">
        <v>183</v>
      </c>
      <c r="G342" s="637"/>
      <c r="I342" s="637" t="s">
        <v>183</v>
      </c>
      <c r="J342" s="637"/>
      <c r="L342" s="640" t="s">
        <v>183</v>
      </c>
      <c r="M342" s="640"/>
      <c r="O342" s="643" t="str">
        <f>A198</f>
        <v>Pandora (Pro24-6G BS)</v>
      </c>
      <c r="P342" s="644"/>
      <c r="R342" s="637" t="s">
        <v>183</v>
      </c>
      <c r="S342" s="637"/>
    </row>
    <row r="343" spans="1:19" x14ac:dyDescent="0.2">
      <c r="A343" s="398" t="str">
        <v xml:space="preserve"> </v>
      </c>
      <c r="C343" s="637" t="s">
        <v>183</v>
      </c>
      <c r="D343" s="637"/>
      <c r="F343" s="637" t="s">
        <v>183</v>
      </c>
      <c r="G343" s="637"/>
      <c r="I343" s="637" t="s">
        <v>183</v>
      </c>
      <c r="J343" s="637"/>
      <c r="L343" s="637" t="s">
        <v>183</v>
      </c>
      <c r="M343" s="637"/>
      <c r="O343" s="641" t="str">
        <f>A203</f>
        <v>p24-6G 142G117 WT</v>
      </c>
      <c r="P343" s="642"/>
      <c r="R343" s="637" t="s">
        <v>183</v>
      </c>
      <c r="S343" s="637"/>
    </row>
    <row r="344" spans="1:19" x14ac:dyDescent="0.2">
      <c r="A344" s="398" t="str">
        <v xml:space="preserve"> </v>
      </c>
      <c r="C344" s="637" t="s">
        <v>183</v>
      </c>
      <c r="D344" s="637"/>
      <c r="F344" s="637" t="s">
        <v>183</v>
      </c>
      <c r="G344" s="637"/>
      <c r="I344" s="637" t="s">
        <v>183</v>
      </c>
      <c r="J344" s="637"/>
      <c r="L344" s="637" t="s">
        <v>183</v>
      </c>
      <c r="M344" s="637"/>
      <c r="O344" s="641" t="str">
        <f>A208</f>
        <v>p24-6G 139G107 DT</v>
      </c>
      <c r="P344" s="642"/>
      <c r="R344" s="637" t="s">
        <v>183</v>
      </c>
      <c r="S344" s="637"/>
    </row>
    <row r="345" spans="1:19" x14ac:dyDescent="0.2">
      <c r="A345" s="398" t="str">
        <v xml:space="preserve"> </v>
      </c>
      <c r="C345" s="637" t="s">
        <v>183</v>
      </c>
      <c r="D345" s="637"/>
      <c r="F345" s="637" t="s">
        <v>183</v>
      </c>
      <c r="G345" s="637"/>
      <c r="I345" s="637" t="s">
        <v>183</v>
      </c>
      <c r="J345" s="637"/>
      <c r="L345" s="637" t="s">
        <v>183</v>
      </c>
      <c r="M345" s="637"/>
      <c r="O345" s="641" t="str">
        <f>A263</f>
        <v>Cariacou</v>
      </c>
      <c r="P345" s="642"/>
      <c r="R345" s="637" t="s">
        <v>183</v>
      </c>
      <c r="S345" s="637"/>
    </row>
    <row r="346" spans="1:19" x14ac:dyDescent="0.2">
      <c r="A346" s="473" t="str">
        <v xml:space="preserve"> </v>
      </c>
      <c r="C346" s="637" t="s">
        <v>183</v>
      </c>
      <c r="D346" s="637"/>
      <c r="F346" s="637" t="s">
        <v>183</v>
      </c>
      <c r="G346" s="637"/>
      <c r="I346" s="637" t="s">
        <v>183</v>
      </c>
      <c r="J346" s="637"/>
      <c r="L346" s="637" t="s">
        <v>183</v>
      </c>
      <c r="M346" s="637"/>
      <c r="O346" s="638" t="str">
        <f>A258</f>
        <v>Wapiti</v>
      </c>
      <c r="P346" s="639"/>
      <c r="R346" s="637" t="s">
        <v>183</v>
      </c>
      <c r="S346" s="637"/>
    </row>
  </sheetData>
  <dataConsolidate/>
  <mergeCells count="186">
    <mergeCell ref="C333:D333"/>
    <mergeCell ref="L343:M343"/>
    <mergeCell ref="L344:M344"/>
    <mergeCell ref="F338:G338"/>
    <mergeCell ref="C341:D341"/>
    <mergeCell ref="C342:D342"/>
    <mergeCell ref="C343:D343"/>
    <mergeCell ref="I342:J342"/>
    <mergeCell ref="I343:J343"/>
    <mergeCell ref="L341:M341"/>
    <mergeCell ref="L342:M342"/>
    <mergeCell ref="C344:D344"/>
    <mergeCell ref="L338:M338"/>
    <mergeCell ref="F333:G333"/>
    <mergeCell ref="L335:M335"/>
    <mergeCell ref="L336:M336"/>
    <mergeCell ref="I333:J333"/>
    <mergeCell ref="I334:J334"/>
    <mergeCell ref="L339:M339"/>
    <mergeCell ref="L340:M340"/>
    <mergeCell ref="I340:J340"/>
    <mergeCell ref="I339:J339"/>
    <mergeCell ref="F334:G334"/>
    <mergeCell ref="F335:G335"/>
    <mergeCell ref="C345:D345"/>
    <mergeCell ref="C346:D346"/>
    <mergeCell ref="C335:D335"/>
    <mergeCell ref="C336:D336"/>
    <mergeCell ref="C337:D337"/>
    <mergeCell ref="C338:D338"/>
    <mergeCell ref="C339:D339"/>
    <mergeCell ref="C340:D340"/>
    <mergeCell ref="C334:D334"/>
    <mergeCell ref="R316:S316"/>
    <mergeCell ref="R317:S317"/>
    <mergeCell ref="R318:S318"/>
    <mergeCell ref="R319:S319"/>
    <mergeCell ref="R320:S320"/>
    <mergeCell ref="C328:D328"/>
    <mergeCell ref="O328:P328"/>
    <mergeCell ref="R327:S327"/>
    <mergeCell ref="R326:S326"/>
    <mergeCell ref="C321:D321"/>
    <mergeCell ref="O321:P321"/>
    <mergeCell ref="R321:S321"/>
    <mergeCell ref="R325:S325"/>
    <mergeCell ref="R324:S324"/>
    <mergeCell ref="R323:S323"/>
    <mergeCell ref="I321:J321"/>
    <mergeCell ref="I322:J322"/>
    <mergeCell ref="I323:J323"/>
    <mergeCell ref="I324:J324"/>
    <mergeCell ref="I325:J325"/>
    <mergeCell ref="I326:J326"/>
    <mergeCell ref="I327:J327"/>
    <mergeCell ref="L323:M323"/>
    <mergeCell ref="L324:M324"/>
    <mergeCell ref="L317:M317"/>
    <mergeCell ref="C332:D332"/>
    <mergeCell ref="R322:S322"/>
    <mergeCell ref="R328:S328"/>
    <mergeCell ref="R332:S332"/>
    <mergeCell ref="F328:G328"/>
    <mergeCell ref="F322:G322"/>
    <mergeCell ref="O326:P326"/>
    <mergeCell ref="F323:G323"/>
    <mergeCell ref="O331:P331"/>
    <mergeCell ref="R330:S330"/>
    <mergeCell ref="R329:S329"/>
    <mergeCell ref="O329:P329"/>
    <mergeCell ref="R331:S331"/>
    <mergeCell ref="L331:M331"/>
    <mergeCell ref="L332:M332"/>
    <mergeCell ref="L329:M329"/>
    <mergeCell ref="L330:M330"/>
    <mergeCell ref="L325:M325"/>
    <mergeCell ref="C329:D329"/>
    <mergeCell ref="C330:D330"/>
    <mergeCell ref="I332:J332"/>
    <mergeCell ref="C331:D331"/>
    <mergeCell ref="F325:G325"/>
    <mergeCell ref="L316:M316"/>
    <mergeCell ref="C327:D327"/>
    <mergeCell ref="C326:D326"/>
    <mergeCell ref="C325:D325"/>
    <mergeCell ref="C324:D324"/>
    <mergeCell ref="C323:D323"/>
    <mergeCell ref="C322:D322"/>
    <mergeCell ref="O316:P316"/>
    <mergeCell ref="F318:G318"/>
    <mergeCell ref="F317:G317"/>
    <mergeCell ref="O318:P318"/>
    <mergeCell ref="O317:P317"/>
    <mergeCell ref="L318:M318"/>
    <mergeCell ref="C316:D316"/>
    <mergeCell ref="C317:D317"/>
    <mergeCell ref="C318:D318"/>
    <mergeCell ref="C319:D319"/>
    <mergeCell ref="C320:D320"/>
    <mergeCell ref="F316:G316"/>
    <mergeCell ref="L320:M320"/>
    <mergeCell ref="I316:J316"/>
    <mergeCell ref="I317:J317"/>
    <mergeCell ref="I318:J318"/>
    <mergeCell ref="I319:J319"/>
    <mergeCell ref="F331:G331"/>
    <mergeCell ref="F324:G324"/>
    <mergeCell ref="F321:G321"/>
    <mergeCell ref="F320:G320"/>
    <mergeCell ref="O323:P323"/>
    <mergeCell ref="O320:P320"/>
    <mergeCell ref="O319:P319"/>
    <mergeCell ref="O324:P324"/>
    <mergeCell ref="F319:G319"/>
    <mergeCell ref="O322:P322"/>
    <mergeCell ref="I320:J320"/>
    <mergeCell ref="L319:M319"/>
    <mergeCell ref="L326:M326"/>
    <mergeCell ref="L327:M327"/>
    <mergeCell ref="L321:M321"/>
    <mergeCell ref="L322:M322"/>
    <mergeCell ref="O325:P325"/>
    <mergeCell ref="O330:P330"/>
    <mergeCell ref="F327:G327"/>
    <mergeCell ref="F326:G326"/>
    <mergeCell ref="F336:G336"/>
    <mergeCell ref="F337:G337"/>
    <mergeCell ref="O327:P327"/>
    <mergeCell ref="O333:P333"/>
    <mergeCell ref="L328:M328"/>
    <mergeCell ref="I336:J336"/>
    <mergeCell ref="O332:P332"/>
    <mergeCell ref="L333:M333"/>
    <mergeCell ref="I341:J341"/>
    <mergeCell ref="O337:P337"/>
    <mergeCell ref="F339:G339"/>
    <mergeCell ref="F340:G340"/>
    <mergeCell ref="O338:P338"/>
    <mergeCell ref="O336:P336"/>
    <mergeCell ref="I328:J328"/>
    <mergeCell ref="I329:J329"/>
    <mergeCell ref="I330:J330"/>
    <mergeCell ref="I331:J331"/>
    <mergeCell ref="I335:J335"/>
    <mergeCell ref="L337:M337"/>
    <mergeCell ref="O341:P341"/>
    <mergeCell ref="L334:M334"/>
    <mergeCell ref="F329:G329"/>
    <mergeCell ref="F330:G330"/>
    <mergeCell ref="R340:S340"/>
    <mergeCell ref="R341:S341"/>
    <mergeCell ref="R343:S343"/>
    <mergeCell ref="R344:S344"/>
    <mergeCell ref="R345:S345"/>
    <mergeCell ref="O345:P345"/>
    <mergeCell ref="O340:P340"/>
    <mergeCell ref="R339:S339"/>
    <mergeCell ref="F332:G332"/>
    <mergeCell ref="O343:P343"/>
    <mergeCell ref="R338:S338"/>
    <mergeCell ref="R336:S336"/>
    <mergeCell ref="R337:S337"/>
    <mergeCell ref="R334:S334"/>
    <mergeCell ref="F341:G341"/>
    <mergeCell ref="O342:P342"/>
    <mergeCell ref="O335:P335"/>
    <mergeCell ref="O334:P334"/>
    <mergeCell ref="O339:P339"/>
    <mergeCell ref="O344:P344"/>
    <mergeCell ref="R335:S335"/>
    <mergeCell ref="R333:S333"/>
    <mergeCell ref="I337:J337"/>
    <mergeCell ref="I338:J338"/>
    <mergeCell ref="R346:S346"/>
    <mergeCell ref="R342:S342"/>
    <mergeCell ref="F342:G342"/>
    <mergeCell ref="F343:G343"/>
    <mergeCell ref="F344:G344"/>
    <mergeCell ref="F345:G345"/>
    <mergeCell ref="F346:G346"/>
    <mergeCell ref="O346:P346"/>
    <mergeCell ref="L345:M345"/>
    <mergeCell ref="L346:M346"/>
    <mergeCell ref="I344:J344"/>
    <mergeCell ref="I346:J346"/>
    <mergeCell ref="I345:J345"/>
  </mergeCells>
  <phoneticPr fontId="8" type="noConversion"/>
  <pageMargins left="0.39370078740157483" right="0.39370078740157483" top="0.39370078740157483" bottom="0.39370078740157483" header="0" footer="0"/>
  <pageSetup scale="44" firstPageNumber="0" fitToHeight="3" orientation="landscape" horizontalDpi="300" verticalDpi="300" r:id="rId1"/>
  <headerFooter alignWithMargins="0"/>
  <ignoredErrors>
    <ignoredError sqref="S318 C317:D324 F317:G321 O322:P339 O342:P342 R334:S339 O340:O341 O317:P319 O320:P321 P341 M324 S317" unlockedFormula="1"/>
  </ignoredErrors>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4">
    <pageSetUpPr fitToPage="1"/>
  </sheetPr>
  <dimension ref="A1:IN1075"/>
  <sheetViews>
    <sheetView showGridLines="0" workbookViewId="0">
      <pane xSplit="3" ySplit="7" topLeftCell="D8" activePane="bottomRight" state="frozen"/>
      <selection pane="topRight" activeCell="D1" sqref="D1"/>
      <selection pane="bottomLeft" activeCell="A8" sqref="A8"/>
      <selection pane="bottomRight" activeCell="K2" sqref="K1:K1048576"/>
    </sheetView>
  </sheetViews>
  <sheetFormatPr baseColWidth="10" defaultColWidth="11.5703125" defaultRowHeight="12.75" x14ac:dyDescent="0.2"/>
  <cols>
    <col min="1" max="1" width="4.5703125" style="7" bestFit="1" customWidth="1"/>
    <col min="2" max="2" width="6" style="7" bestFit="1" customWidth="1"/>
    <col min="3" max="3" width="1.42578125" style="8" customWidth="1"/>
    <col min="4" max="4" width="7.140625" style="7" customWidth="1"/>
    <col min="5" max="6" width="7.42578125" style="7" customWidth="1"/>
    <col min="7" max="7" width="7.140625" style="7" customWidth="1"/>
    <col min="8" max="8" width="7.42578125" style="7" customWidth="1"/>
    <col min="9" max="9" width="7.140625" style="7" customWidth="1"/>
    <col min="10" max="12" width="7.5703125" style="7" bestFit="1" customWidth="1"/>
    <col min="13" max="13" width="5.85546875" style="7" customWidth="1"/>
    <col min="14" max="14" width="6.42578125" style="7" customWidth="1"/>
    <col min="15" max="15" width="1.42578125" style="8" customWidth="1"/>
    <col min="16" max="16" width="4" style="7" customWidth="1"/>
    <col min="17" max="17" width="8.5703125" style="7" customWidth="1"/>
    <col min="18" max="18" width="5.85546875" style="7" customWidth="1"/>
    <col min="19" max="19" width="5.140625" style="7" customWidth="1"/>
    <col min="20" max="20" width="6" style="7" customWidth="1"/>
    <col min="21" max="21" width="8.85546875" style="7" customWidth="1"/>
    <col min="22" max="22" width="6.85546875" style="7" customWidth="1"/>
    <col min="23" max="23" width="7.140625" style="7" customWidth="1"/>
    <col min="24" max="24" width="1.42578125" style="8" customWidth="1"/>
    <col min="25" max="25" width="15.85546875" style="7" customWidth="1"/>
    <col min="26" max="26" width="5.85546875" style="7" customWidth="1"/>
    <col min="27" max="27" width="7.85546875" style="7" customWidth="1"/>
    <col min="28" max="28" width="1.5703125" style="7" customWidth="1"/>
    <col min="29" max="29" width="7.140625" style="7" bestFit="1" customWidth="1"/>
    <col min="30" max="31" width="6.85546875" style="7" bestFit="1" customWidth="1"/>
    <col min="32" max="32" width="1.85546875" style="7" customWidth="1"/>
    <col min="33" max="238" width="11.42578125" style="7" customWidth="1"/>
    <col min="239" max="239" width="11" style="7" customWidth="1"/>
  </cols>
  <sheetData>
    <row r="1" spans="1:248" ht="13.5" thickBot="1" x14ac:dyDescent="0.25">
      <c r="D1" s="654" t="s">
        <v>265</v>
      </c>
      <c r="E1" s="655"/>
      <c r="F1" s="655"/>
      <c r="G1" s="655"/>
      <c r="H1" s="655"/>
      <c r="I1" s="655"/>
      <c r="J1" s="655"/>
      <c r="K1" s="655"/>
      <c r="L1" s="655"/>
      <c r="M1" s="655"/>
      <c r="N1" s="656"/>
      <c r="P1" s="654" t="s">
        <v>17</v>
      </c>
      <c r="Q1" s="655"/>
      <c r="R1" s="655"/>
      <c r="S1" s="655"/>
      <c r="T1" s="655"/>
      <c r="U1" s="655"/>
      <c r="V1" s="655"/>
      <c r="W1" s="656"/>
      <c r="Y1" s="9"/>
      <c r="Z1" s="9"/>
      <c r="AA1" s="9"/>
      <c r="AC1" s="661" t="s">
        <v>185</v>
      </c>
      <c r="AD1" s="661"/>
      <c r="AE1" s="661"/>
      <c r="AG1" s="657" t="s">
        <v>18</v>
      </c>
      <c r="AH1" s="657"/>
    </row>
    <row r="2" spans="1:248" s="12" customFormat="1" x14ac:dyDescent="0.2">
      <c r="A2" s="330" t="s">
        <v>19</v>
      </c>
      <c r="B2" s="331" t="s">
        <v>2</v>
      </c>
      <c r="C2" s="10"/>
      <c r="D2" s="334" t="s">
        <v>192</v>
      </c>
      <c r="E2" s="335" t="s">
        <v>193</v>
      </c>
      <c r="F2" s="331" t="s">
        <v>194</v>
      </c>
      <c r="G2" s="334" t="s">
        <v>189</v>
      </c>
      <c r="H2" s="335" t="s">
        <v>190</v>
      </c>
      <c r="I2" s="331" t="s">
        <v>191</v>
      </c>
      <c r="J2" s="334" t="s">
        <v>186</v>
      </c>
      <c r="K2" s="335" t="s">
        <v>187</v>
      </c>
      <c r="L2" s="331" t="s">
        <v>188</v>
      </c>
      <c r="M2" s="330" t="s">
        <v>20</v>
      </c>
      <c r="N2" s="331" t="s">
        <v>21</v>
      </c>
      <c r="O2" s="10"/>
      <c r="P2" s="330" t="s">
        <v>26</v>
      </c>
      <c r="Q2" s="331" t="s">
        <v>25</v>
      </c>
      <c r="R2" s="330" t="s">
        <v>22</v>
      </c>
      <c r="S2" s="335" t="s">
        <v>38</v>
      </c>
      <c r="T2" s="331" t="s">
        <v>27</v>
      </c>
      <c r="U2" s="338" t="s">
        <v>28</v>
      </c>
      <c r="V2" s="330" t="s">
        <v>24</v>
      </c>
      <c r="W2" s="331" t="s">
        <v>23</v>
      </c>
      <c r="X2" s="11"/>
      <c r="Y2" s="658" t="s">
        <v>184</v>
      </c>
      <c r="Z2" s="659"/>
      <c r="AA2" s="660"/>
      <c r="AC2" s="330" t="s">
        <v>11</v>
      </c>
      <c r="AD2" s="335" t="s">
        <v>3</v>
      </c>
      <c r="AE2" s="331" t="s">
        <v>29</v>
      </c>
      <c r="AG2" s="345" t="s">
        <v>31</v>
      </c>
      <c r="AH2" s="346" t="s">
        <v>30</v>
      </c>
      <c r="IF2"/>
      <c r="IG2"/>
      <c r="IH2"/>
      <c r="II2"/>
      <c r="IJ2"/>
      <c r="IK2"/>
      <c r="IL2"/>
      <c r="IM2"/>
      <c r="IN2"/>
    </row>
    <row r="3" spans="1:248" s="12" customFormat="1" x14ac:dyDescent="0.2">
      <c r="A3" s="332" t="s">
        <v>153</v>
      </c>
      <c r="B3" s="333" t="s">
        <v>153</v>
      </c>
      <c r="C3" s="10"/>
      <c r="D3" s="336" t="s">
        <v>7</v>
      </c>
      <c r="E3" s="337" t="s">
        <v>7</v>
      </c>
      <c r="F3" s="333" t="s">
        <v>7</v>
      </c>
      <c r="G3" s="336" t="s">
        <v>154</v>
      </c>
      <c r="H3" s="337" t="s">
        <v>154</v>
      </c>
      <c r="I3" s="333" t="s">
        <v>154</v>
      </c>
      <c r="J3" s="336" t="s">
        <v>38</v>
      </c>
      <c r="K3" s="337" t="s">
        <v>38</v>
      </c>
      <c r="L3" s="333" t="s">
        <v>38</v>
      </c>
      <c r="M3" s="332" t="s">
        <v>243</v>
      </c>
      <c r="N3" s="333" t="s">
        <v>155</v>
      </c>
      <c r="O3" s="10"/>
      <c r="P3" s="336" t="s">
        <v>14</v>
      </c>
      <c r="Q3" s="339" t="s">
        <v>226</v>
      </c>
      <c r="R3" s="336" t="s">
        <v>244</v>
      </c>
      <c r="S3" s="340" t="s">
        <v>227</v>
      </c>
      <c r="T3" s="339" t="s">
        <v>226</v>
      </c>
      <c r="U3" s="341" t="s">
        <v>226</v>
      </c>
      <c r="V3" s="336" t="s">
        <v>8</v>
      </c>
      <c r="W3" s="339" t="s">
        <v>226</v>
      </c>
      <c r="X3" s="11"/>
      <c r="Y3" s="342"/>
      <c r="Z3" s="343"/>
      <c r="AA3" s="344"/>
      <c r="AC3" s="336" t="s">
        <v>153</v>
      </c>
      <c r="AD3" s="340" t="s">
        <v>38</v>
      </c>
      <c r="AE3" s="339" t="s">
        <v>38</v>
      </c>
      <c r="AG3" s="342" t="s">
        <v>7</v>
      </c>
      <c r="AH3" s="339" t="s">
        <v>7</v>
      </c>
      <c r="IF3"/>
      <c r="IG3"/>
      <c r="IH3"/>
      <c r="II3"/>
      <c r="IJ3"/>
      <c r="IK3"/>
      <c r="IL3"/>
      <c r="IM3"/>
      <c r="IN3"/>
    </row>
    <row r="4" spans="1:248" x14ac:dyDescent="0.2">
      <c r="A4" s="292" t="s">
        <v>14</v>
      </c>
      <c r="B4" s="349">
        <f>T_ini</f>
        <v>0</v>
      </c>
      <c r="D4" s="292" t="s">
        <v>14</v>
      </c>
      <c r="E4" s="293" t="s">
        <v>14</v>
      </c>
      <c r="F4" s="294" t="s">
        <v>14</v>
      </c>
      <c r="G4" s="292">
        <f>vit_xz*COS(Beta)</f>
        <v>38.963856146951009</v>
      </c>
      <c r="H4" s="293">
        <f>vit_xz*SIN(Beta)</f>
        <v>150.38816293146255</v>
      </c>
      <c r="I4" s="349">
        <f>V_ini</f>
        <v>155.35373067854024</v>
      </c>
      <c r="J4" s="350">
        <f>X_ini</f>
        <v>133.2454606677656</v>
      </c>
      <c r="K4" s="351">
        <f>Z_ini</f>
        <v>574.95818926659933</v>
      </c>
      <c r="L4" s="327">
        <f t="shared" ref="L4:L67" si="0">SQRT(pos_x^2+pos_z^2)</f>
        <v>590.19596084122065</v>
      </c>
      <c r="M4" s="292">
        <f>RADIANS(N4)</f>
        <v>1.3172821633078158</v>
      </c>
      <c r="N4" s="349">
        <f>Beta_rampe</f>
        <v>75.474708385400717</v>
      </c>
      <c r="P4" s="292" t="s">
        <v>14</v>
      </c>
      <c r="Q4" s="294" t="s">
        <v>14</v>
      </c>
      <c r="R4" s="292" t="s">
        <v>14</v>
      </c>
      <c r="S4" s="351">
        <f ca="1">m_tot</f>
        <v>5.0831</v>
      </c>
      <c r="T4" s="327">
        <f t="shared" ref="T4:T67" ca="1" si="1">m*g</f>
        <v>49.865211000000002</v>
      </c>
      <c r="U4" s="328">
        <f t="shared" ref="U4:U67" si="2">IF(pos_xz&lt;L_rampe,Poids*COS(Beta),0)</f>
        <v>0</v>
      </c>
      <c r="V4" s="329">
        <f t="shared" ref="V4:V67" si="3">Rho_moyen*(20000-Alt_rampe-pos_z)/(20000+Alt_rampe+pos_z)</f>
        <v>1.1565358237550141</v>
      </c>
      <c r="W4" s="327">
        <f t="shared" ref="W4:W67" si="4">1/2*Rho*Sref*Cx*vit_xz^2</f>
        <v>85.704949210145557</v>
      </c>
      <c r="Y4" s="295" t="s">
        <v>14</v>
      </c>
      <c r="Z4" s="296" t="s">
        <v>14</v>
      </c>
      <c r="AA4" s="297" t="s">
        <v>14</v>
      </c>
      <c r="AC4" s="320">
        <f>IF(ABS(t-ROUND(t,0))&lt;0.001,t,-1)</f>
        <v>0</v>
      </c>
      <c r="AD4" s="321">
        <f>IF(ABS(t-ROUND(t,0))&lt;0.001,pos_x,-1)</f>
        <v>133.2454606677656</v>
      </c>
      <c r="AE4" s="322">
        <f t="shared" ref="AE4:AE67" si="5">IF(t&lt;T_para, pos_z, NA())</f>
        <v>574.95818926659933</v>
      </c>
      <c r="AG4" s="292" t="s">
        <v>14</v>
      </c>
      <c r="AH4" s="294" t="s">
        <v>14</v>
      </c>
    </row>
    <row r="5" spans="1:248" x14ac:dyDescent="0.2">
      <c r="A5" s="347">
        <f t="shared" ref="A5:A68" ca="1" si="6">IF(B4+0.01&lt;=T_ini+ROUNDUP(Temps_fin_propu,0), 0.01, IF(K4&gt;0, 0.1, 0.0001))</f>
        <v>0.01</v>
      </c>
      <c r="B5" s="304">
        <f t="shared" ref="B5:B68" ca="1" si="7">B4+pas</f>
        <v>0.01</v>
      </c>
      <c r="D5" s="306">
        <f t="shared" ref="D5:D68" ca="1" si="8">IF(AND(L4&lt;L_rampe,Poussee&lt;Poids*SIN(M4)),0,(-W4+Poussee)/m*COS(M4)-U4/m*SIN(M4))</f>
        <v>-4.2287791220503781</v>
      </c>
      <c r="E5" s="307">
        <f t="shared" ref="E5:E68" ca="1" si="9">IF(AND(L4&lt;L_rampe,Poussee&lt;Poids*SIN(M4)),0,(-W4+Poussee)/m*SIN(M4)+U4/m*COS(M4)-Poids/m)</f>
        <v>-26.131750116558841</v>
      </c>
      <c r="F5" s="304">
        <f t="shared" ref="F5:F68" ca="1" si="10">SQRT(acc_x^2+acc_z^2)</f>
        <v>26.471700682377062</v>
      </c>
      <c r="G5" s="306">
        <f t="shared" ref="G5:G68" ca="1" si="11">G4+acc_x*pas</f>
        <v>38.921568355730507</v>
      </c>
      <c r="H5" s="307">
        <f t="shared" ref="H5:H68" ca="1" si="12">H4+acc_z*pas</f>
        <v>150.12684543029695</v>
      </c>
      <c r="I5" s="304">
        <f t="shared" ref="I5:I68" ca="1" si="13">SQRT(vit_x^2+vit_z^2)</f>
        <v>155.09016152587523</v>
      </c>
      <c r="J5" s="306">
        <f t="shared" ref="J5:J68" ca="1" si="14">J4+0.5*(vit_x+G4)*pas*(K4&gt;=0)</f>
        <v>133.63488779027901</v>
      </c>
      <c r="K5" s="307">
        <f t="shared" ref="K5:K68" ca="1" si="15">K4+0.5*(vit_z+H4)*pas</f>
        <v>576.4607643084081</v>
      </c>
      <c r="L5" s="304">
        <f t="shared" ca="1" si="0"/>
        <v>591.74766245567423</v>
      </c>
      <c r="M5" s="306">
        <f t="shared" ref="M5:M68" ca="1" si="16">IF(AND(L4&gt;L_rampe,G5&gt;0),ATAN2(G5,H5),$M$4)</f>
        <v>1.3171235188132899</v>
      </c>
      <c r="N5" s="304">
        <f t="shared" ref="N5:N68" ca="1" si="17">DEGREES(Beta)</f>
        <v>75.465618725421393</v>
      </c>
      <c r="P5" s="310">
        <f t="shared" ref="P5:P68" ca="1" si="18">MATCH(t-pas/2-T_ini,CdP_t)</f>
        <v>1</v>
      </c>
      <c r="Q5" s="304">
        <f t="shared" ref="Q5:Q68" ca="1" si="19">(INDEX(CdP,2,i_P+1)-INDEX(CdP,2,i_P+0))/(INDEX(CdP,1,i_P+1)-INDEX(CdP,1,i_P+0))*(t-pas/2-T_ini-INDEX(CdP,1,i_P+0))+INDEX(CdP,2,i_P+0)</f>
        <v>5.0000000000000001E-4</v>
      </c>
      <c r="R5" s="306">
        <f t="shared" ref="R5:R68" ca="1" si="20">Poussee/(g*ISP)</f>
        <v>5.0000000000000002E-5</v>
      </c>
      <c r="S5" s="307">
        <f t="shared" ref="S5:S68" ca="1" si="21">S4-Débit*pas</f>
        <v>5.0830995000000003</v>
      </c>
      <c r="T5" s="304">
        <f t="shared" ca="1" si="1"/>
        <v>49.865206095000005</v>
      </c>
      <c r="U5" s="311">
        <f t="shared" ca="1" si="2"/>
        <v>0</v>
      </c>
      <c r="V5" s="306">
        <f t="shared" ca="1" si="3"/>
        <v>1.156361914532678</v>
      </c>
      <c r="W5" s="304">
        <f t="shared" ca="1" si="4"/>
        <v>85.401542435432191</v>
      </c>
      <c r="Y5" s="314" t="str">
        <f t="shared" ref="Y5:Y68" ca="1" si="22">IF(AND(pos_z&lt;=0,K4&gt;0),"Impact balistique","") &amp; IF(AND(H6&lt;0,vit_z&gt;=0),"Apogée","") &amp; IF(AND(Poussee=0,Q4&gt;0),"Fin de propulsion","") &amp; IF(AND(L6&gt;L_rampe,pos_xz&lt;=L_rampe),"Sortie de rampe","")</f>
        <v/>
      </c>
      <c r="Z5" s="315" t="str">
        <f t="shared" ref="Z5:Z68" ca="1" si="23">IF(ABS(t-T_para)&lt;pas/2,"Para","")</f>
        <v/>
      </c>
      <c r="AA5" s="316" t="str">
        <f t="shared" ref="AA5:AA68" ca="1" si="24">IF(ABS(t-T_satellite)&lt;pas/2,"Satellite","")</f>
        <v/>
      </c>
      <c r="AC5" s="310" t="e">
        <f t="shared" ref="AC5:AC68" ca="1" si="25">IF(ABS(t-ROUND(t,0))&lt;0.001,t,NA())</f>
        <v>#N/A</v>
      </c>
      <c r="AD5" s="323" t="e">
        <f t="shared" ref="AD5:AD68" ca="1" si="26">IF(ABS(t-ROUND(t,0))&lt;0.001,pos_x,NA())</f>
        <v>#N/A</v>
      </c>
      <c r="AE5" s="324">
        <f t="shared" ca="1" si="5"/>
        <v>576.4607643084081</v>
      </c>
      <c r="AG5" s="306">
        <f t="shared" ref="AG5:AG68" ca="1" si="27">IF(AND(L4&lt;L_rampe,Poussee&lt;Poids*SIN(M4)),0,(-W4+Poussee)/m-Poids*SIN(M4)/m)</f>
        <v>-26.35711043254485</v>
      </c>
      <c r="AH5" s="304">
        <f t="shared" ref="AH5:AH68" ca="1" si="28">IF(AND(L4&lt;L_rampe,Poussee&lt;Poids*SIN(M4)), g*SIN(M4), (-W4+Poussee)/m)</f>
        <v>-16.860667238590459</v>
      </c>
    </row>
    <row r="6" spans="1:248" x14ac:dyDescent="0.2">
      <c r="A6" s="347">
        <f t="shared" ca="1" si="6"/>
        <v>0.01</v>
      </c>
      <c r="B6" s="304">
        <f t="shared" ca="1" si="7"/>
        <v>0.02</v>
      </c>
      <c r="D6" s="306">
        <f t="shared" ca="1" si="8"/>
        <v>-4.2163406099495004</v>
      </c>
      <c r="E6" s="307">
        <f t="shared" ca="1" si="9"/>
        <v>-26.073114303259494</v>
      </c>
      <c r="F6" s="304">
        <f t="shared" ca="1" si="10"/>
        <v>26.411831015852425</v>
      </c>
      <c r="G6" s="306">
        <f t="shared" ca="1" si="11"/>
        <v>38.879404949631009</v>
      </c>
      <c r="H6" s="307">
        <f t="shared" ca="1" si="12"/>
        <v>149.86611428726437</v>
      </c>
      <c r="I6" s="304">
        <f t="shared" ca="1" si="13"/>
        <v>154.82719509440446</v>
      </c>
      <c r="J6" s="306">
        <f t="shared" ca="1" si="14"/>
        <v>134.02389265680583</v>
      </c>
      <c r="K6" s="307">
        <f t="shared" ca="1" si="15"/>
        <v>577.96072910699593</v>
      </c>
      <c r="L6" s="304">
        <f t="shared" ca="1" si="0"/>
        <v>593.296728621331</v>
      </c>
      <c r="M6" s="306">
        <f t="shared" ca="1" si="16"/>
        <v>1.3169645075650309</v>
      </c>
      <c r="N6" s="304">
        <f t="shared" ca="1" si="17"/>
        <v>75.456508052001041</v>
      </c>
      <c r="P6" s="310">
        <f t="shared" ca="1" si="18"/>
        <v>1</v>
      </c>
      <c r="Q6" s="304">
        <f t="shared" ca="1" si="19"/>
        <v>1.4999999999999998E-3</v>
      </c>
      <c r="R6" s="306">
        <f t="shared" ca="1" si="20"/>
        <v>1.4999999999999999E-4</v>
      </c>
      <c r="S6" s="307">
        <f t="shared" ca="1" si="21"/>
        <v>5.0830980000000006</v>
      </c>
      <c r="T6" s="304">
        <f t="shared" ca="1" si="1"/>
        <v>49.865191380000006</v>
      </c>
      <c r="U6" s="311">
        <f t="shared" ca="1" si="2"/>
        <v>0</v>
      </c>
      <c r="V6" s="306">
        <f t="shared" ca="1" si="3"/>
        <v>1.1561883327530491</v>
      </c>
      <c r="W6" s="304">
        <f t="shared" ca="1" si="4"/>
        <v>85.099402937074643</v>
      </c>
      <c r="Y6" s="314" t="str">
        <f t="shared" ca="1" si="22"/>
        <v/>
      </c>
      <c r="Z6" s="315" t="str">
        <f t="shared" ca="1" si="23"/>
        <v/>
      </c>
      <c r="AA6" s="316" t="str">
        <f t="shared" ca="1" si="24"/>
        <v/>
      </c>
      <c r="AC6" s="310" t="e">
        <f t="shared" ca="1" si="25"/>
        <v>#N/A</v>
      </c>
      <c r="AD6" s="323" t="e">
        <f t="shared" ca="1" si="26"/>
        <v>#N/A</v>
      </c>
      <c r="AE6" s="324">
        <f t="shared" ca="1" si="5"/>
        <v>577.96072910699593</v>
      </c>
      <c r="AG6" s="306">
        <f t="shared" ca="1" si="27"/>
        <v>-26.296838884087805</v>
      </c>
      <c r="AH6" s="304">
        <f t="shared" ca="1" si="28"/>
        <v>-16.800786141725418</v>
      </c>
    </row>
    <row r="7" spans="1:248" x14ac:dyDescent="0.2">
      <c r="A7" s="347">
        <f t="shared" ca="1" si="6"/>
        <v>0.01</v>
      </c>
      <c r="B7" s="304">
        <f t="shared" ca="1" si="7"/>
        <v>0.03</v>
      </c>
      <c r="D7" s="306">
        <f t="shared" ca="1" si="8"/>
        <v>-4.2039529672956686</v>
      </c>
      <c r="E7" s="307">
        <f t="shared" ca="1" si="9"/>
        <v>-26.014725784029672</v>
      </c>
      <c r="F7" s="304">
        <f t="shared" ca="1" si="10"/>
        <v>26.352213914005258</v>
      </c>
      <c r="G7" s="306">
        <f t="shared" ca="1" si="11"/>
        <v>38.837365419958054</v>
      </c>
      <c r="H7" s="307">
        <f t="shared" ca="1" si="12"/>
        <v>149.60596702942408</v>
      </c>
      <c r="I7" s="304">
        <f t="shared" ca="1" si="13"/>
        <v>154.56482886987089</v>
      </c>
      <c r="J7" s="306">
        <f t="shared" ca="1" si="14"/>
        <v>134.41247650865378</v>
      </c>
      <c r="K7" s="307">
        <f t="shared" ca="1" si="15"/>
        <v>579.45808951357935</v>
      </c>
      <c r="L7" s="304">
        <f t="shared" ca="1" si="0"/>
        <v>594.84316533344884</v>
      </c>
      <c r="M7" s="306">
        <f t="shared" ca="1" si="16"/>
        <v>1.3168051287126896</v>
      </c>
      <c r="N7" s="304">
        <f t="shared" ca="1" si="17"/>
        <v>75.447376316418257</v>
      </c>
      <c r="P7" s="310">
        <f t="shared" ca="1" si="18"/>
        <v>1</v>
      </c>
      <c r="Q7" s="304">
        <f t="shared" ca="1" si="19"/>
        <v>2.4999999999999996E-3</v>
      </c>
      <c r="R7" s="306">
        <f t="shared" ca="1" si="20"/>
        <v>2.4999999999999995E-4</v>
      </c>
      <c r="S7" s="307">
        <f t="shared" ca="1" si="21"/>
        <v>5.0830955000000007</v>
      </c>
      <c r="T7" s="304">
        <f t="shared" ca="1" si="1"/>
        <v>49.865166855000012</v>
      </c>
      <c r="U7" s="311">
        <f t="shared" ca="1" si="2"/>
        <v>0</v>
      </c>
      <c r="V7" s="306">
        <f t="shared" ca="1" si="3"/>
        <v>1.1560150776015004</v>
      </c>
      <c r="W7" s="304">
        <f t="shared" ca="1" si="4"/>
        <v>84.798523754679408</v>
      </c>
      <c r="Y7" s="314" t="str">
        <f t="shared" ca="1" si="22"/>
        <v/>
      </c>
      <c r="Z7" s="315" t="str">
        <f t="shared" ca="1" si="23"/>
        <v/>
      </c>
      <c r="AA7" s="316" t="str">
        <f t="shared" ca="1" si="24"/>
        <v/>
      </c>
      <c r="AC7" s="310" t="e">
        <f t="shared" ca="1" si="25"/>
        <v>#N/A</v>
      </c>
      <c r="AD7" s="323" t="e">
        <f t="shared" ca="1" si="26"/>
        <v>#N/A</v>
      </c>
      <c r="AE7" s="324">
        <f t="shared" ca="1" si="5"/>
        <v>579.45808951357935</v>
      </c>
      <c r="AG7" s="306">
        <f t="shared" ca="1" si="27"/>
        <v>-26.236818763196304</v>
      </c>
      <c r="AH7" s="304">
        <f t="shared" ca="1" si="28"/>
        <v>-16.74115761489719</v>
      </c>
    </row>
    <row r="8" spans="1:248" x14ac:dyDescent="0.2">
      <c r="A8" s="347">
        <f t="shared" ca="1" si="6"/>
        <v>0.01</v>
      </c>
      <c r="B8" s="304">
        <f t="shared" ca="1" si="7"/>
        <v>0.04</v>
      </c>
      <c r="D8" s="306">
        <f t="shared" ca="1" si="8"/>
        <v>-4.1916159084552742</v>
      </c>
      <c r="E8" s="307">
        <f t="shared" ca="1" si="9"/>
        <v>-25.956583183989991</v>
      </c>
      <c r="F8" s="304">
        <f t="shared" ca="1" si="10"/>
        <v>26.292847972621896</v>
      </c>
      <c r="G8" s="306">
        <f t="shared" ca="1" si="11"/>
        <v>38.795449260873504</v>
      </c>
      <c r="H8" s="307">
        <f t="shared" ca="1" si="12"/>
        <v>149.34640119758419</v>
      </c>
      <c r="I8" s="304">
        <f t="shared" ca="1" si="13"/>
        <v>154.30306035209668</v>
      </c>
      <c r="J8" s="306">
        <f t="shared" ca="1" si="14"/>
        <v>134.80064058205795</v>
      </c>
      <c r="K8" s="307">
        <f t="shared" ca="1" si="15"/>
        <v>580.95285135471443</v>
      </c>
      <c r="L8" s="304">
        <f t="shared" ca="1" si="0"/>
        <v>596.38697856216311</v>
      </c>
      <c r="M8" s="306">
        <f t="shared" ca="1" si="16"/>
        <v>1.316645381402787</v>
      </c>
      <c r="N8" s="304">
        <f t="shared" ca="1" si="17"/>
        <v>75.438223469772268</v>
      </c>
      <c r="P8" s="310">
        <f t="shared" ca="1" si="18"/>
        <v>1</v>
      </c>
      <c r="Q8" s="304">
        <f t="shared" ca="1" si="19"/>
        <v>3.5000000000000001E-3</v>
      </c>
      <c r="R8" s="306">
        <f t="shared" ca="1" si="20"/>
        <v>3.5E-4</v>
      </c>
      <c r="S8" s="307">
        <f t="shared" ca="1" si="21"/>
        <v>5.0830920000000006</v>
      </c>
      <c r="T8" s="304">
        <f t="shared" ca="1" si="1"/>
        <v>49.86513252000001</v>
      </c>
      <c r="U8" s="311">
        <f t="shared" ca="1" si="2"/>
        <v>0</v>
      </c>
      <c r="V8" s="306">
        <f t="shared" ca="1" si="3"/>
        <v>1.1558421482669419</v>
      </c>
      <c r="W8" s="304">
        <f t="shared" ca="1" si="4"/>
        <v>84.498897976396137</v>
      </c>
      <c r="Y8" s="314" t="str">
        <f t="shared" ca="1" si="22"/>
        <v/>
      </c>
      <c r="Z8" s="315" t="str">
        <f t="shared" ca="1" si="23"/>
        <v/>
      </c>
      <c r="AA8" s="316" t="str">
        <f t="shared" ca="1" si="24"/>
        <v/>
      </c>
      <c r="AC8" s="310" t="e">
        <f t="shared" ca="1" si="25"/>
        <v>#N/A</v>
      </c>
      <c r="AD8" s="323" t="e">
        <f t="shared" ca="1" si="26"/>
        <v>#N/A</v>
      </c>
      <c r="AE8" s="324">
        <f t="shared" ca="1" si="5"/>
        <v>580.95285135471443</v>
      </c>
      <c r="AG8" s="306">
        <f t="shared" ca="1" si="27"/>
        <v>-26.177048661980486</v>
      </c>
      <c r="AH8" s="304">
        <f t="shared" ca="1" si="28"/>
        <v>-16.681780253963414</v>
      </c>
    </row>
    <row r="9" spans="1:248" x14ac:dyDescent="0.2">
      <c r="A9" s="347">
        <f t="shared" ca="1" si="6"/>
        <v>0.01</v>
      </c>
      <c r="B9" s="304">
        <f t="shared" ca="1" si="7"/>
        <v>0.05</v>
      </c>
      <c r="D9" s="306">
        <f t="shared" ca="1" si="8"/>
        <v>-4.1793291497916405</v>
      </c>
      <c r="E9" s="307">
        <f t="shared" ca="1" si="9"/>
        <v>-25.898685137899264</v>
      </c>
      <c r="F9" s="304">
        <f t="shared" ca="1" si="10"/>
        <v>26.233731797331892</v>
      </c>
      <c r="G9" s="306">
        <f t="shared" ca="1" si="11"/>
        <v>38.753655969375586</v>
      </c>
      <c r="H9" s="307">
        <f t="shared" ca="1" si="12"/>
        <v>149.08741434620518</v>
      </c>
      <c r="I9" s="304">
        <f t="shared" ca="1" si="13"/>
        <v>154.04188705488448</v>
      </c>
      <c r="J9" s="306">
        <f t="shared" ca="1" si="14"/>
        <v>135.18838610820919</v>
      </c>
      <c r="K9" s="307">
        <f t="shared" ca="1" si="15"/>
        <v>582.44502043243335</v>
      </c>
      <c r="L9" s="304">
        <f t="shared" ca="1" si="0"/>
        <v>597.92817425262706</v>
      </c>
      <c r="M9" s="306">
        <f t="shared" ca="1" si="16"/>
        <v>1.3164852647787026</v>
      </c>
      <c r="N9" s="304">
        <f t="shared" ca="1" si="17"/>
        <v>75.429049462982348</v>
      </c>
      <c r="P9" s="310">
        <f t="shared" ca="1" si="18"/>
        <v>1</v>
      </c>
      <c r="Q9" s="304">
        <f t="shared" ca="1" si="19"/>
        <v>4.5000000000000005E-3</v>
      </c>
      <c r="R9" s="306">
        <f t="shared" ca="1" si="20"/>
        <v>4.5000000000000004E-4</v>
      </c>
      <c r="S9" s="307">
        <f t="shared" ca="1" si="21"/>
        <v>5.0830875000000004</v>
      </c>
      <c r="T9" s="304">
        <f t="shared" ca="1" si="1"/>
        <v>49.865088375000006</v>
      </c>
      <c r="U9" s="311">
        <f t="shared" ca="1" si="2"/>
        <v>0</v>
      </c>
      <c r="V9" s="306">
        <f t="shared" ca="1" si="3"/>
        <v>1.1556695439417972</v>
      </c>
      <c r="W9" s="304">
        <f t="shared" ca="1" si="4"/>
        <v>84.200518738509885</v>
      </c>
      <c r="Y9" s="314" t="str">
        <f t="shared" ca="1" si="22"/>
        <v/>
      </c>
      <c r="Z9" s="315" t="str">
        <f t="shared" ca="1" si="23"/>
        <v/>
      </c>
      <c r="AA9" s="316" t="str">
        <f t="shared" ca="1" si="24"/>
        <v/>
      </c>
      <c r="AC9" s="310" t="e">
        <f t="shared" ca="1" si="25"/>
        <v>#N/A</v>
      </c>
      <c r="AD9" s="323" t="e">
        <f t="shared" ca="1" si="26"/>
        <v>#N/A</v>
      </c>
      <c r="AE9" s="324">
        <f t="shared" ca="1" si="5"/>
        <v>582.44502043243335</v>
      </c>
      <c r="AG9" s="306">
        <f t="shared" ca="1" si="27"/>
        <v>-26.11752718237701</v>
      </c>
      <c r="AH9" s="304">
        <f t="shared" ca="1" si="28"/>
        <v>-16.622652664624823</v>
      </c>
    </row>
    <row r="10" spans="1:248" x14ac:dyDescent="0.2">
      <c r="A10" s="347">
        <f t="shared" ca="1" si="6"/>
        <v>0.01</v>
      </c>
      <c r="B10" s="304">
        <f t="shared" ca="1" si="7"/>
        <v>6.0000000000000005E-2</v>
      </c>
      <c r="D10" s="306">
        <f t="shared" ca="1" si="8"/>
        <v>-4.1670924096481539</v>
      </c>
      <c r="E10" s="307">
        <f t="shared" ca="1" si="9"/>
        <v>-25.841030290073313</v>
      </c>
      <c r="F10" s="304">
        <f t="shared" ca="1" si="10"/>
        <v>26.174864003525094</v>
      </c>
      <c r="G10" s="306">
        <f t="shared" ca="1" si="11"/>
        <v>38.711985045279107</v>
      </c>
      <c r="H10" s="307">
        <f t="shared" ca="1" si="12"/>
        <v>148.82900404330445</v>
      </c>
      <c r="I10" s="304">
        <f t="shared" ca="1" si="13"/>
        <v>153.78130650592044</v>
      </c>
      <c r="J10" s="306">
        <f t="shared" ca="1" si="14"/>
        <v>135.57571431328245</v>
      </c>
      <c r="K10" s="307">
        <f t="shared" ca="1" si="15"/>
        <v>583.93460252438092</v>
      </c>
      <c r="L10" s="304">
        <f t="shared" ca="1" si="0"/>
        <v>599.46675832514973</v>
      </c>
      <c r="M10" s="306">
        <f t="shared" ca="1" si="16"/>
        <v>1.3163247779806619</v>
      </c>
      <c r="N10" s="304">
        <f t="shared" ca="1" si="17"/>
        <v>75.419854246787054</v>
      </c>
      <c r="P10" s="310">
        <f t="shared" ca="1" si="18"/>
        <v>1</v>
      </c>
      <c r="Q10" s="304">
        <f t="shared" ca="1" si="19"/>
        <v>5.5000000000000005E-3</v>
      </c>
      <c r="R10" s="306">
        <f t="shared" ca="1" si="20"/>
        <v>5.5000000000000003E-4</v>
      </c>
      <c r="S10" s="307">
        <f t="shared" ca="1" si="21"/>
        <v>5.0830820000000001</v>
      </c>
      <c r="T10" s="304">
        <f t="shared" ca="1" si="1"/>
        <v>49.865034420000001</v>
      </c>
      <c r="U10" s="311">
        <f t="shared" ca="1" si="2"/>
        <v>0</v>
      </c>
      <c r="V10" s="306">
        <f t="shared" ca="1" si="3"/>
        <v>1.1554972638219869</v>
      </c>
      <c r="W10" s="304">
        <f t="shared" ca="1" si="4"/>
        <v>83.903379225038378</v>
      </c>
      <c r="Y10" s="314" t="str">
        <f t="shared" ca="1" si="22"/>
        <v/>
      </c>
      <c r="Z10" s="315" t="str">
        <f t="shared" ca="1" si="23"/>
        <v/>
      </c>
      <c r="AA10" s="316" t="str">
        <f t="shared" ca="1" si="24"/>
        <v/>
      </c>
      <c r="AC10" s="310" t="e">
        <f t="shared" ca="1" si="25"/>
        <v>#N/A</v>
      </c>
      <c r="AD10" s="323" t="e">
        <f t="shared" ca="1" si="26"/>
        <v>#N/A</v>
      </c>
      <c r="AE10" s="324">
        <f t="shared" ca="1" si="5"/>
        <v>583.93460252438092</v>
      </c>
      <c r="AG10" s="306">
        <f t="shared" ca="1" si="27"/>
        <v>-26.058252936066062</v>
      </c>
      <c r="AH10" s="304">
        <f t="shared" ca="1" si="28"/>
        <v>-16.563773462342311</v>
      </c>
    </row>
    <row r="11" spans="1:248" x14ac:dyDescent="0.2">
      <c r="A11" s="347">
        <f t="shared" ca="1" si="6"/>
        <v>0.01</v>
      </c>
      <c r="B11" s="304">
        <f t="shared" ca="1" si="7"/>
        <v>7.0000000000000007E-2</v>
      </c>
      <c r="D11" s="306">
        <f t="shared" ca="1" si="8"/>
        <v>-4.1549054083316488</v>
      </c>
      <c r="E11" s="307">
        <f t="shared" ca="1" si="9"/>
        <v>-25.783617294304779</v>
      </c>
      <c r="F11" s="304">
        <f t="shared" ca="1" si="10"/>
        <v>26.116243216269755</v>
      </c>
      <c r="G11" s="306">
        <f t="shared" ca="1" si="11"/>
        <v>38.670435991195788</v>
      </c>
      <c r="H11" s="307">
        <f t="shared" ca="1" si="12"/>
        <v>148.57116787036139</v>
      </c>
      <c r="I11" s="304">
        <f t="shared" ca="1" si="13"/>
        <v>153.5213162466772</v>
      </c>
      <c r="J11" s="306">
        <f t="shared" ca="1" si="14"/>
        <v>135.96262641846482</v>
      </c>
      <c r="K11" s="307">
        <f t="shared" ca="1" si="15"/>
        <v>585.42160338394922</v>
      </c>
      <c r="L11" s="304">
        <f t="shared" ca="1" si="0"/>
        <v>601.00273667533406</v>
      </c>
      <c r="M11" s="306">
        <f t="shared" ca="1" si="16"/>
        <v>1.3161639201457229</v>
      </c>
      <c r="N11" s="304">
        <f t="shared" ca="1" si="17"/>
        <v>75.410637771743424</v>
      </c>
      <c r="P11" s="310">
        <f t="shared" ca="1" si="18"/>
        <v>1</v>
      </c>
      <c r="Q11" s="304">
        <f t="shared" ca="1" si="19"/>
        <v>6.4999999999999997E-3</v>
      </c>
      <c r="R11" s="306">
        <f t="shared" ca="1" si="20"/>
        <v>6.4999999999999997E-4</v>
      </c>
      <c r="S11" s="307">
        <f t="shared" ca="1" si="21"/>
        <v>5.0830755000000005</v>
      </c>
      <c r="T11" s="304">
        <f t="shared" ca="1" si="1"/>
        <v>49.864970655000008</v>
      </c>
      <c r="U11" s="311">
        <f t="shared" ca="1" si="2"/>
        <v>0</v>
      </c>
      <c r="V11" s="306">
        <f t="shared" ca="1" si="3"/>
        <v>1.1553253071069045</v>
      </c>
      <c r="W11" s="304">
        <f t="shared" ca="1" si="4"/>
        <v>83.607472667332175</v>
      </c>
      <c r="Y11" s="314" t="str">
        <f t="shared" ca="1" si="22"/>
        <v/>
      </c>
      <c r="Z11" s="315" t="str">
        <f t="shared" ca="1" si="23"/>
        <v/>
      </c>
      <c r="AA11" s="316" t="str">
        <f t="shared" ca="1" si="24"/>
        <v/>
      </c>
      <c r="AC11" s="310" t="e">
        <f t="shared" ca="1" si="25"/>
        <v>#N/A</v>
      </c>
      <c r="AD11" s="323" t="e">
        <f t="shared" ca="1" si="26"/>
        <v>#N/A</v>
      </c>
      <c r="AE11" s="324">
        <f t="shared" ca="1" si="5"/>
        <v>585.42160338394922</v>
      </c>
      <c r="AG11" s="306">
        <f t="shared" ca="1" si="27"/>
        <v>-25.999224544389328</v>
      </c>
      <c r="AH11" s="304">
        <f t="shared" ca="1" si="28"/>
        <v>-16.505141272255027</v>
      </c>
    </row>
    <row r="12" spans="1:248" x14ac:dyDescent="0.2">
      <c r="A12" s="347">
        <f t="shared" ca="1" si="6"/>
        <v>0.01</v>
      </c>
      <c r="B12" s="304">
        <f t="shared" ca="1" si="7"/>
        <v>0.08</v>
      </c>
      <c r="D12" s="306">
        <f t="shared" ca="1" si="8"/>
        <v>-4.1427678680958939</v>
      </c>
      <c r="E12" s="307">
        <f t="shared" ca="1" si="9"/>
        <v>-25.726444813783477</v>
      </c>
      <c r="F12" s="304">
        <f t="shared" ca="1" si="10"/>
        <v>26.057868070231198</v>
      </c>
      <c r="G12" s="306">
        <f t="shared" ca="1" si="11"/>
        <v>38.629008312514827</v>
      </c>
      <c r="H12" s="307">
        <f t="shared" ca="1" si="12"/>
        <v>148.31390342222355</v>
      </c>
      <c r="I12" s="304">
        <f t="shared" ca="1" si="13"/>
        <v>153.26191383231841</v>
      </c>
      <c r="J12" s="306">
        <f t="shared" ca="1" si="14"/>
        <v>136.34912363998336</v>
      </c>
      <c r="K12" s="307">
        <f t="shared" ca="1" si="15"/>
        <v>586.90602874041213</v>
      </c>
      <c r="L12" s="304">
        <f t="shared" ca="1" si="0"/>
        <v>602.53611517421336</v>
      </c>
      <c r="M12" s="306">
        <f t="shared" ca="1" si="16"/>
        <v>1.3160026904077644</v>
      </c>
      <c r="N12" s="304">
        <f t="shared" ca="1" si="17"/>
        <v>75.401399988226402</v>
      </c>
      <c r="P12" s="310">
        <f t="shared" ca="1" si="18"/>
        <v>1</v>
      </c>
      <c r="Q12" s="304">
        <f t="shared" ca="1" si="19"/>
        <v>7.4999999999999989E-3</v>
      </c>
      <c r="R12" s="306">
        <f t="shared" ca="1" si="20"/>
        <v>7.4999999999999991E-4</v>
      </c>
      <c r="S12" s="307">
        <f t="shared" ca="1" si="21"/>
        <v>5.0830680000000008</v>
      </c>
      <c r="T12" s="304">
        <f t="shared" ca="1" si="1"/>
        <v>49.864897080000013</v>
      </c>
      <c r="U12" s="311">
        <f t="shared" ca="1" si="2"/>
        <v>0</v>
      </c>
      <c r="V12" s="306">
        <f t="shared" ca="1" si="3"/>
        <v>1.1551536729994007</v>
      </c>
      <c r="W12" s="304">
        <f t="shared" ca="1" si="4"/>
        <v>83.312792343679732</v>
      </c>
      <c r="Y12" s="314" t="str">
        <f t="shared" ca="1" si="22"/>
        <v/>
      </c>
      <c r="Z12" s="315" t="str">
        <f t="shared" ca="1" si="23"/>
        <v/>
      </c>
      <c r="AA12" s="316" t="str">
        <f t="shared" ca="1" si="24"/>
        <v/>
      </c>
      <c r="AC12" s="310" t="e">
        <f t="shared" ca="1" si="25"/>
        <v>#N/A</v>
      </c>
      <c r="AD12" s="323" t="e">
        <f t="shared" ca="1" si="26"/>
        <v>#N/A</v>
      </c>
      <c r="AE12" s="324">
        <f t="shared" ca="1" si="5"/>
        <v>586.90602874041213</v>
      </c>
      <c r="AG12" s="306">
        <f t="shared" ca="1" si="27"/>
        <v>-25.940440638268647</v>
      </c>
      <c r="AH12" s="304">
        <f t="shared" ca="1" si="28"/>
        <v>-16.446754729099073</v>
      </c>
    </row>
    <row r="13" spans="1:248" x14ac:dyDescent="0.2">
      <c r="A13" s="347">
        <f t="shared" ca="1" si="6"/>
        <v>0.01</v>
      </c>
      <c r="B13" s="304">
        <f t="shared" ca="1" si="7"/>
        <v>0.09</v>
      </c>
      <c r="D13" s="306">
        <f t="shared" ca="1" si="8"/>
        <v>-4.1306795131252763</v>
      </c>
      <c r="E13" s="307">
        <f t="shared" ca="1" si="9"/>
        <v>-25.669511521017757</v>
      </c>
      <c r="F13" s="304">
        <f t="shared" ca="1" si="10"/>
        <v>25.99973720959149</v>
      </c>
      <c r="G13" s="306">
        <f t="shared" ca="1" si="11"/>
        <v>38.587701517383572</v>
      </c>
      <c r="H13" s="307">
        <f t="shared" ca="1" si="12"/>
        <v>148.05720830701338</v>
      </c>
      <c r="I13" s="304">
        <f t="shared" ca="1" si="13"/>
        <v>153.0030968316035</v>
      </c>
      <c r="J13" s="306">
        <f t="shared" ca="1" si="14"/>
        <v>136.73520718913286</v>
      </c>
      <c r="K13" s="307">
        <f t="shared" ca="1" si="15"/>
        <v>588.38788429905833</v>
      </c>
      <c r="L13" s="304">
        <f t="shared" ca="1" si="0"/>
        <v>604.06689966838701</v>
      </c>
      <c r="M13" s="306">
        <f t="shared" ca="1" si="16"/>
        <v>1.3158410878974722</v>
      </c>
      <c r="N13" s="304">
        <f t="shared" ca="1" si="17"/>
        <v>75.392140846427949</v>
      </c>
      <c r="P13" s="310">
        <f t="shared" ca="1" si="18"/>
        <v>1</v>
      </c>
      <c r="Q13" s="304">
        <f t="shared" ca="1" si="19"/>
        <v>8.4999999999999989E-3</v>
      </c>
      <c r="R13" s="306">
        <f t="shared" ca="1" si="20"/>
        <v>8.4999999999999984E-4</v>
      </c>
      <c r="S13" s="307">
        <f t="shared" ca="1" si="21"/>
        <v>5.083059500000001</v>
      </c>
      <c r="T13" s="304">
        <f t="shared" ca="1" si="1"/>
        <v>49.864813695000009</v>
      </c>
      <c r="U13" s="311">
        <f t="shared" ca="1" si="2"/>
        <v>0</v>
      </c>
      <c r="V13" s="306">
        <f t="shared" ca="1" si="3"/>
        <v>1.1549823607057628</v>
      </c>
      <c r="W13" s="304">
        <f t="shared" ca="1" si="4"/>
        <v>83.019331578915754</v>
      </c>
      <c r="Y13" s="314" t="str">
        <f t="shared" ca="1" si="22"/>
        <v/>
      </c>
      <c r="Z13" s="315" t="str">
        <f t="shared" ca="1" si="23"/>
        <v/>
      </c>
      <c r="AA13" s="316" t="str">
        <f t="shared" ca="1" si="24"/>
        <v/>
      </c>
      <c r="AC13" s="310" t="e">
        <f t="shared" ca="1" si="25"/>
        <v>#N/A</v>
      </c>
      <c r="AD13" s="323" t="e">
        <f t="shared" ca="1" si="26"/>
        <v>#N/A</v>
      </c>
      <c r="AE13" s="324">
        <f t="shared" ca="1" si="5"/>
        <v>588.38788429905833</v>
      </c>
      <c r="AG13" s="306">
        <f t="shared" ca="1" si="27"/>
        <v>-25.881899858125557</v>
      </c>
      <c r="AH13" s="304">
        <f t="shared" ca="1" si="28"/>
        <v>-16.388612477127154</v>
      </c>
    </row>
    <row r="14" spans="1:248" x14ac:dyDescent="0.2">
      <c r="A14" s="347">
        <f t="shared" ca="1" si="6"/>
        <v>0.01</v>
      </c>
      <c r="B14" s="304">
        <f t="shared" ca="1" si="7"/>
        <v>9.9999999999999992E-2</v>
      </c>
      <c r="D14" s="306">
        <f t="shared" ca="1" si="8"/>
        <v>-4.1186400695186407</v>
      </c>
      <c r="E14" s="307">
        <f t="shared" ca="1" si="9"/>
        <v>-25.612816097756532</v>
      </c>
      <c r="F14" s="304">
        <f t="shared" ca="1" si="10"/>
        <v>25.941849287969827</v>
      </c>
      <c r="G14" s="306">
        <f t="shared" ca="1" si="11"/>
        <v>38.546515116688383</v>
      </c>
      <c r="H14" s="307">
        <f t="shared" ca="1" si="12"/>
        <v>147.80108014603582</v>
      </c>
      <c r="I14" s="304">
        <f t="shared" ca="1" si="13"/>
        <v>152.74486282679359</v>
      </c>
      <c r="J14" s="306">
        <f t="shared" ca="1" si="14"/>
        <v>137.12087827230323</v>
      </c>
      <c r="K14" s="307">
        <f t="shared" ca="1" si="15"/>
        <v>589.86717574132354</v>
      </c>
      <c r="L14" s="304">
        <f t="shared" ca="1" si="0"/>
        <v>605.59509598015507</v>
      </c>
      <c r="M14" s="306">
        <f t="shared" ca="1" si="16"/>
        <v>1.3156791117423274</v>
      </c>
      <c r="N14" s="304">
        <f t="shared" ca="1" si="17"/>
        <v>75.382860296356398</v>
      </c>
      <c r="P14" s="310">
        <f t="shared" ca="1" si="18"/>
        <v>1</v>
      </c>
      <c r="Q14" s="304">
        <f t="shared" ca="1" si="19"/>
        <v>9.499999999999998E-3</v>
      </c>
      <c r="R14" s="306">
        <f t="shared" ca="1" si="20"/>
        <v>9.4999999999999978E-4</v>
      </c>
      <c r="S14" s="307">
        <f t="shared" ca="1" si="21"/>
        <v>5.083050000000001</v>
      </c>
      <c r="T14" s="304">
        <f t="shared" ca="1" si="1"/>
        <v>49.864720500000011</v>
      </c>
      <c r="U14" s="311">
        <f t="shared" ca="1" si="2"/>
        <v>0</v>
      </c>
      <c r="V14" s="306">
        <f t="shared" ca="1" si="3"/>
        <v>1.1548113694356936</v>
      </c>
      <c r="W14" s="304">
        <f t="shared" ca="1" si="4"/>
        <v>82.727083744033266</v>
      </c>
      <c r="Y14" s="314" t="str">
        <f t="shared" ca="1" si="22"/>
        <v/>
      </c>
      <c r="Z14" s="315" t="str">
        <f t="shared" ca="1" si="23"/>
        <v/>
      </c>
      <c r="AA14" s="316" t="str">
        <f t="shared" ca="1" si="24"/>
        <v/>
      </c>
      <c r="AC14" s="310" t="e">
        <f t="shared" ca="1" si="25"/>
        <v>#N/A</v>
      </c>
      <c r="AD14" s="323" t="e">
        <f t="shared" ca="1" si="26"/>
        <v>#N/A</v>
      </c>
      <c r="AE14" s="324">
        <f t="shared" ca="1" si="5"/>
        <v>589.86717574132354</v>
      </c>
      <c r="AG14" s="306">
        <f t="shared" ca="1" si="27"/>
        <v>-25.823600853801601</v>
      </c>
      <c r="AH14" s="304">
        <f t="shared" ca="1" si="28"/>
        <v>-16.330713170028964</v>
      </c>
    </row>
    <row r="15" spans="1:248" x14ac:dyDescent="0.2">
      <c r="A15" s="347">
        <f t="shared" ca="1" si="6"/>
        <v>0.01</v>
      </c>
      <c r="B15" s="304">
        <f t="shared" ca="1" si="7"/>
        <v>0.10999999999999999</v>
      </c>
      <c r="D15" s="306">
        <f t="shared" ca="1" si="8"/>
        <v>-4.106698104581608</v>
      </c>
      <c r="E15" s="307">
        <f t="shared" ca="1" si="9"/>
        <v>-25.556544502230633</v>
      </c>
      <c r="F15" s="304">
        <f t="shared" ca="1" si="10"/>
        <v>25.884395612350481</v>
      </c>
      <c r="G15" s="306">
        <f t="shared" ca="1" si="11"/>
        <v>38.505448135642567</v>
      </c>
      <c r="H15" s="307">
        <f t="shared" ca="1" si="12"/>
        <v>147.5455147010135</v>
      </c>
      <c r="I15" s="304">
        <f t="shared" ca="1" si="13"/>
        <v>152.48720747824603</v>
      </c>
      <c r="J15" s="306">
        <f t="shared" ca="1" si="14"/>
        <v>137.50613808856488</v>
      </c>
      <c r="K15" s="307">
        <f t="shared" ca="1" si="15"/>
        <v>591.34390871555877</v>
      </c>
      <c r="L15" s="304">
        <f t="shared" ca="1" si="0"/>
        <v>607.12070989797951</v>
      </c>
      <c r="M15" s="306">
        <f t="shared" ca="1" si="16"/>
        <v>1.315516761064532</v>
      </c>
      <c r="N15" s="304">
        <f t="shared" ca="1" si="17"/>
        <v>75.373558287717628</v>
      </c>
      <c r="P15" s="310">
        <f t="shared" ca="1" si="18"/>
        <v>2</v>
      </c>
      <c r="Q15" s="304">
        <f t="shared" ca="1" si="19"/>
        <v>9.5000000000000032E-3</v>
      </c>
      <c r="R15" s="306">
        <f t="shared" ca="1" si="20"/>
        <v>9.5000000000000032E-4</v>
      </c>
      <c r="S15" s="307">
        <f t="shared" ca="1" si="21"/>
        <v>5.083040500000001</v>
      </c>
      <c r="T15" s="304">
        <f t="shared" ca="1" si="1"/>
        <v>49.864627305000013</v>
      </c>
      <c r="U15" s="311">
        <f t="shared" ca="1" si="2"/>
        <v>0</v>
      </c>
      <c r="V15" s="306">
        <f t="shared" ca="1" si="3"/>
        <v>1.1546406984033764</v>
      </c>
      <c r="W15" s="304">
        <f t="shared" ca="1" si="4"/>
        <v>82.436040163380838</v>
      </c>
      <c r="Y15" s="314" t="str">
        <f t="shared" ca="1" si="22"/>
        <v/>
      </c>
      <c r="Z15" s="315" t="str">
        <f t="shared" ca="1" si="23"/>
        <v/>
      </c>
      <c r="AA15" s="316" t="str">
        <f t="shared" ca="1" si="24"/>
        <v/>
      </c>
      <c r="AC15" s="310" t="e">
        <f t="shared" ca="1" si="25"/>
        <v>#N/A</v>
      </c>
      <c r="AD15" s="323" t="e">
        <f t="shared" ca="1" si="26"/>
        <v>#N/A</v>
      </c>
      <c r="AE15" s="324">
        <f t="shared" ca="1" si="5"/>
        <v>591.34390871555877</v>
      </c>
      <c r="AG15" s="306">
        <f t="shared" ca="1" si="27"/>
        <v>-25.765735815682667</v>
      </c>
      <c r="AH15" s="304">
        <f t="shared" ca="1" si="28"/>
        <v>-16.273249002055611</v>
      </c>
    </row>
    <row r="16" spans="1:248" x14ac:dyDescent="0.2">
      <c r="A16" s="347">
        <f t="shared" ca="1" si="6"/>
        <v>0.01</v>
      </c>
      <c r="B16" s="304">
        <f t="shared" ca="1" si="7"/>
        <v>0.11999999999999998</v>
      </c>
      <c r="D16" s="306">
        <f t="shared" ca="1" si="8"/>
        <v>-4.0948525387242292</v>
      </c>
      <c r="E16" s="307">
        <f t="shared" ca="1" si="9"/>
        <v>-25.500691959290869</v>
      </c>
      <c r="F16" s="304">
        <f t="shared" ca="1" si="10"/>
        <v>25.827371289322848</v>
      </c>
      <c r="G16" s="306">
        <f t="shared" ca="1" si="11"/>
        <v>38.464499610255324</v>
      </c>
      <c r="H16" s="307">
        <f t="shared" ca="1" si="12"/>
        <v>147.29050778142059</v>
      </c>
      <c r="I16" s="304">
        <f t="shared" ca="1" si="13"/>
        <v>152.23012649530332</v>
      </c>
      <c r="J16" s="306">
        <f t="shared" ca="1" si="14"/>
        <v>137.89098782729437</v>
      </c>
      <c r="K16" s="307">
        <f t="shared" ca="1" si="15"/>
        <v>592.81808882797088</v>
      </c>
      <c r="L16" s="304">
        <f t="shared" ca="1" si="0"/>
        <v>608.64374716712155</v>
      </c>
      <c r="M16" s="306">
        <f t="shared" ca="1" si="16"/>
        <v>1.315354034981</v>
      </c>
      <c r="N16" s="304">
        <f t="shared" ca="1" si="17"/>
        <v>75.364234769914546</v>
      </c>
      <c r="P16" s="310">
        <f t="shared" ca="1" si="18"/>
        <v>2</v>
      </c>
      <c r="Q16" s="304">
        <f t="shared" ca="1" si="19"/>
        <v>8.5000000000000041E-3</v>
      </c>
      <c r="R16" s="306">
        <f t="shared" ca="1" si="20"/>
        <v>8.5000000000000039E-4</v>
      </c>
      <c r="S16" s="307">
        <f t="shared" ca="1" si="21"/>
        <v>5.0830320000000011</v>
      </c>
      <c r="T16" s="304">
        <f t="shared" ca="1" si="1"/>
        <v>49.864543920000017</v>
      </c>
      <c r="U16" s="311">
        <f t="shared" ca="1" si="2"/>
        <v>0</v>
      </c>
      <c r="V16" s="306">
        <f t="shared" ca="1" si="3"/>
        <v>1.1544703468285147</v>
      </c>
      <c r="W16" s="304">
        <f t="shared" ca="1" si="4"/>
        <v>82.146192260692388</v>
      </c>
      <c r="Y16" s="314" t="str">
        <f t="shared" ca="1" si="22"/>
        <v/>
      </c>
      <c r="Z16" s="315" t="str">
        <f t="shared" ca="1" si="23"/>
        <v/>
      </c>
      <c r="AA16" s="316" t="str">
        <f t="shared" ca="1" si="24"/>
        <v/>
      </c>
      <c r="AC16" s="310" t="e">
        <f t="shared" ca="1" si="25"/>
        <v>#N/A</v>
      </c>
      <c r="AD16" s="323" t="e">
        <f t="shared" ca="1" si="26"/>
        <v>#N/A</v>
      </c>
      <c r="AE16" s="324">
        <f t="shared" ca="1" si="5"/>
        <v>592.81808882797088</v>
      </c>
      <c r="AG16" s="306">
        <f t="shared" ca="1" si="27"/>
        <v>-25.708299845269153</v>
      </c>
      <c r="AH16" s="304">
        <f t="shared" ca="1" si="28"/>
        <v>-16.216215078594985</v>
      </c>
    </row>
    <row r="17" spans="1:34" x14ac:dyDescent="0.2">
      <c r="A17" s="347">
        <f t="shared" ca="1" si="6"/>
        <v>0.01</v>
      </c>
      <c r="B17" s="304">
        <f t="shared" ca="1" si="7"/>
        <v>0.12999999999999998</v>
      </c>
      <c r="D17" s="306">
        <f t="shared" ca="1" si="8"/>
        <v>-4.0830534003090451</v>
      </c>
      <c r="E17" s="307">
        <f t="shared" ca="1" si="9"/>
        <v>-25.445066482701179</v>
      </c>
      <c r="F17" s="304">
        <f t="shared" ca="1" si="10"/>
        <v>25.770578832825198</v>
      </c>
      <c r="G17" s="306">
        <f t="shared" ca="1" si="11"/>
        <v>38.423669076252231</v>
      </c>
      <c r="H17" s="307">
        <f t="shared" ca="1" si="12"/>
        <v>147.03605711659358</v>
      </c>
      <c r="I17" s="304">
        <f t="shared" ca="1" si="13"/>
        <v>151.97361757119396</v>
      </c>
      <c r="J17" s="306">
        <f t="shared" ca="1" si="14"/>
        <v>138.27542867072691</v>
      </c>
      <c r="K17" s="307">
        <f t="shared" ca="1" si="15"/>
        <v>594.28972165246091</v>
      </c>
      <c r="L17" s="304">
        <f t="shared" ca="1" si="0"/>
        <v>610.16421349980271</v>
      </c>
      <c r="M17" s="306">
        <f t="shared" ca="1" si="16"/>
        <v>1.3151909326054256</v>
      </c>
      <c r="N17" s="304">
        <f t="shared" ca="1" si="17"/>
        <v>75.354889692165585</v>
      </c>
      <c r="P17" s="310">
        <f t="shared" ca="1" si="18"/>
        <v>2</v>
      </c>
      <c r="Q17" s="304">
        <f t="shared" ca="1" si="19"/>
        <v>7.5000000000000032E-3</v>
      </c>
      <c r="R17" s="306">
        <f t="shared" ca="1" si="20"/>
        <v>7.5000000000000034E-4</v>
      </c>
      <c r="S17" s="307">
        <f t="shared" ca="1" si="21"/>
        <v>5.0830245000000014</v>
      </c>
      <c r="T17" s="304">
        <f t="shared" ca="1" si="1"/>
        <v>49.864470345000015</v>
      </c>
      <c r="U17" s="311">
        <f t="shared" ca="1" si="2"/>
        <v>0</v>
      </c>
      <c r="V17" s="306">
        <f t="shared" ca="1" si="3"/>
        <v>1.1543003139351919</v>
      </c>
      <c r="W17" s="304">
        <f t="shared" ca="1" si="4"/>
        <v>81.857533642671015</v>
      </c>
      <c r="Y17" s="314" t="str">
        <f t="shared" ca="1" si="22"/>
        <v/>
      </c>
      <c r="Z17" s="315" t="str">
        <f t="shared" ca="1" si="23"/>
        <v/>
      </c>
      <c r="AA17" s="316" t="str">
        <f t="shared" ca="1" si="24"/>
        <v/>
      </c>
      <c r="AC17" s="310" t="e">
        <f t="shared" ca="1" si="25"/>
        <v>#N/A</v>
      </c>
      <c r="AD17" s="323" t="e">
        <f t="shared" ca="1" si="26"/>
        <v>#N/A</v>
      </c>
      <c r="AE17" s="324">
        <f t="shared" ca="1" si="5"/>
        <v>594.28972165246091</v>
      </c>
      <c r="AG17" s="306">
        <f t="shared" ca="1" si="27"/>
        <v>-25.651094553970403</v>
      </c>
      <c r="AH17" s="304">
        <f t="shared" ca="1" si="28"/>
        <v>-16.159413014966262</v>
      </c>
    </row>
    <row r="18" spans="1:34" x14ac:dyDescent="0.2">
      <c r="A18" s="347">
        <f t="shared" ca="1" si="6"/>
        <v>0.01</v>
      </c>
      <c r="B18" s="304">
        <f t="shared" ca="1" si="7"/>
        <v>0.13999999999999999</v>
      </c>
      <c r="D18" s="306">
        <f t="shared" ca="1" si="8"/>
        <v>-4.0713004418194059</v>
      </c>
      <c r="E18" s="307">
        <f t="shared" ca="1" si="9"/>
        <v>-25.389666874451432</v>
      </c>
      <c r="F18" s="304">
        <f t="shared" ca="1" si="10"/>
        <v>25.714017019578549</v>
      </c>
      <c r="G18" s="306">
        <f t="shared" ca="1" si="11"/>
        <v>38.382956071834037</v>
      </c>
      <c r="H18" s="307">
        <f t="shared" ca="1" si="12"/>
        <v>146.78216044784907</v>
      </c>
      <c r="I18" s="304">
        <f t="shared" ca="1" si="13"/>
        <v>151.71767841141798</v>
      </c>
      <c r="J18" s="306">
        <f t="shared" ca="1" si="14"/>
        <v>138.65946179646735</v>
      </c>
      <c r="K18" s="307">
        <f t="shared" ca="1" si="15"/>
        <v>595.75881274028313</v>
      </c>
      <c r="L18" s="304">
        <f t="shared" ca="1" si="0"/>
        <v>611.68211458518033</v>
      </c>
      <c r="M18" s="306">
        <f t="shared" ca="1" si="16"/>
        <v>1.3150274530482702</v>
      </c>
      <c r="N18" s="304">
        <f t="shared" ca="1" si="17"/>
        <v>75.345523003503899</v>
      </c>
      <c r="P18" s="310">
        <f t="shared" ca="1" si="18"/>
        <v>2</v>
      </c>
      <c r="Q18" s="304">
        <f t="shared" ca="1" si="19"/>
        <v>6.5000000000000023E-3</v>
      </c>
      <c r="R18" s="306">
        <f t="shared" ca="1" si="20"/>
        <v>6.5000000000000019E-4</v>
      </c>
      <c r="S18" s="307">
        <f t="shared" ca="1" si="21"/>
        <v>5.0830180000000018</v>
      </c>
      <c r="T18" s="304">
        <f t="shared" ca="1" si="1"/>
        <v>49.864406580000022</v>
      </c>
      <c r="U18" s="311">
        <f t="shared" ca="1" si="2"/>
        <v>0</v>
      </c>
      <c r="V18" s="306">
        <f t="shared" ca="1" si="3"/>
        <v>1.1541305989507513</v>
      </c>
      <c r="W18" s="304">
        <f t="shared" ca="1" si="4"/>
        <v>81.570057959056555</v>
      </c>
      <c r="Y18" s="314" t="str">
        <f t="shared" ca="1" si="22"/>
        <v/>
      </c>
      <c r="Z18" s="315" t="str">
        <f t="shared" ca="1" si="23"/>
        <v/>
      </c>
      <c r="AA18" s="316" t="str">
        <f t="shared" ca="1" si="24"/>
        <v/>
      </c>
      <c r="AC18" s="310" t="e">
        <f t="shared" ca="1" si="25"/>
        <v>#N/A</v>
      </c>
      <c r="AD18" s="323" t="e">
        <f t="shared" ca="1" si="26"/>
        <v>#N/A</v>
      </c>
      <c r="AE18" s="324">
        <f t="shared" ca="1" si="5"/>
        <v>595.75881274028313</v>
      </c>
      <c r="AG18" s="306">
        <f t="shared" ca="1" si="27"/>
        <v>-25.594118714634444</v>
      </c>
      <c r="AH18" s="304">
        <f t="shared" ca="1" si="28"/>
        <v>-16.102841587944599</v>
      </c>
    </row>
    <row r="19" spans="1:34" x14ac:dyDescent="0.2">
      <c r="A19" s="347">
        <f t="shared" ca="1" si="6"/>
        <v>0.01</v>
      </c>
      <c r="B19" s="304">
        <f t="shared" ca="1" si="7"/>
        <v>0.15</v>
      </c>
      <c r="D19" s="306">
        <f t="shared" ca="1" si="8"/>
        <v>-4.0595934173955719</v>
      </c>
      <c r="E19" s="307">
        <f t="shared" ca="1" si="9"/>
        <v>-25.334491944549605</v>
      </c>
      <c r="F19" s="304">
        <f t="shared" ca="1" si="10"/>
        <v>25.657684634491286</v>
      </c>
      <c r="G19" s="306">
        <f t="shared" ca="1" si="11"/>
        <v>38.34236013766008</v>
      </c>
      <c r="H19" s="307">
        <f t="shared" ca="1" si="12"/>
        <v>146.52881552840356</v>
      </c>
      <c r="I19" s="304">
        <f t="shared" ca="1" si="13"/>
        <v>151.4623067336654</v>
      </c>
      <c r="J19" s="306">
        <f t="shared" ca="1" si="14"/>
        <v>139.04308837751483</v>
      </c>
      <c r="K19" s="307">
        <f t="shared" ca="1" si="15"/>
        <v>597.22536762016443</v>
      </c>
      <c r="L19" s="304">
        <f t="shared" ca="1" si="0"/>
        <v>613.19745608947039</v>
      </c>
      <c r="M19" s="306">
        <f t="shared" ca="1" si="16"/>
        <v>1.314863595416748</v>
      </c>
      <c r="N19" s="304">
        <f t="shared" ca="1" si="17"/>
        <v>75.336134652776678</v>
      </c>
      <c r="P19" s="310">
        <f t="shared" ca="1" si="18"/>
        <v>2</v>
      </c>
      <c r="Q19" s="304">
        <f t="shared" ca="1" si="19"/>
        <v>5.5000000000000023E-3</v>
      </c>
      <c r="R19" s="306">
        <f t="shared" ca="1" si="20"/>
        <v>5.5000000000000025E-4</v>
      </c>
      <c r="S19" s="307">
        <f t="shared" ca="1" si="21"/>
        <v>5.0830125000000015</v>
      </c>
      <c r="T19" s="304">
        <f t="shared" ca="1" si="1"/>
        <v>49.864352625000016</v>
      </c>
      <c r="U19" s="311">
        <f t="shared" ca="1" si="2"/>
        <v>0</v>
      </c>
      <c r="V19" s="306">
        <f t="shared" ca="1" si="3"/>
        <v>1.1539612011057747</v>
      </c>
      <c r="W19" s="304">
        <f t="shared" ca="1" si="4"/>
        <v>81.283758902278478</v>
      </c>
      <c r="Y19" s="314" t="str">
        <f t="shared" ca="1" si="22"/>
        <v/>
      </c>
      <c r="Z19" s="315" t="str">
        <f t="shared" ca="1" si="23"/>
        <v/>
      </c>
      <c r="AA19" s="316" t="str">
        <f t="shared" ca="1" si="24"/>
        <v/>
      </c>
      <c r="AC19" s="310" t="e">
        <f t="shared" ca="1" si="25"/>
        <v>#N/A</v>
      </c>
      <c r="AD19" s="323" t="e">
        <f t="shared" ca="1" si="26"/>
        <v>#N/A</v>
      </c>
      <c r="AE19" s="324">
        <f t="shared" ca="1" si="5"/>
        <v>597.22536762016443</v>
      </c>
      <c r="AG19" s="306">
        <f t="shared" ca="1" si="27"/>
        <v>-25.537371108279725</v>
      </c>
      <c r="AH19" s="304">
        <f t="shared" ca="1" si="28"/>
        <v>-16.046499582492967</v>
      </c>
    </row>
    <row r="20" spans="1:34" x14ac:dyDescent="0.2">
      <c r="A20" s="347">
        <f t="shared" ca="1" si="6"/>
        <v>0.01</v>
      </c>
      <c r="B20" s="304">
        <f t="shared" ca="1" si="7"/>
        <v>0.16</v>
      </c>
      <c r="D20" s="306">
        <f t="shared" ca="1" si="8"/>
        <v>-4.0479320828214078</v>
      </c>
      <c r="E20" s="307">
        <f t="shared" ca="1" si="9"/>
        <v>-25.279540510957233</v>
      </c>
      <c r="F20" s="304">
        <f t="shared" ca="1" si="10"/>
        <v>25.601580470593269</v>
      </c>
      <c r="G20" s="306">
        <f t="shared" ca="1" si="11"/>
        <v>38.301880816831869</v>
      </c>
      <c r="H20" s="307">
        <f t="shared" ca="1" si="12"/>
        <v>146.27602012329399</v>
      </c>
      <c r="I20" s="304">
        <f t="shared" ca="1" si="13"/>
        <v>151.20750026773507</v>
      </c>
      <c r="J20" s="306">
        <f t="shared" ca="1" si="14"/>
        <v>139.4263095822873</v>
      </c>
      <c r="K20" s="307">
        <f t="shared" ca="1" si="15"/>
        <v>598.68939179842289</v>
      </c>
      <c r="L20" s="304">
        <f t="shared" ca="1" si="0"/>
        <v>614.71024365606706</v>
      </c>
      <c r="M20" s="306">
        <f t="shared" ca="1" si="16"/>
        <v>1.3146993588148141</v>
      </c>
      <c r="N20" s="304">
        <f t="shared" ca="1" si="17"/>
        <v>75.326724588644296</v>
      </c>
      <c r="P20" s="310">
        <f t="shared" ca="1" si="18"/>
        <v>2</v>
      </c>
      <c r="Q20" s="304">
        <f t="shared" ca="1" si="19"/>
        <v>4.5000000000000014E-3</v>
      </c>
      <c r="R20" s="306">
        <f t="shared" ca="1" si="20"/>
        <v>4.5000000000000015E-4</v>
      </c>
      <c r="S20" s="307">
        <f t="shared" ca="1" si="21"/>
        <v>5.0830080000000013</v>
      </c>
      <c r="T20" s="304">
        <f t="shared" ca="1" si="1"/>
        <v>49.864308480000012</v>
      </c>
      <c r="U20" s="311">
        <f t="shared" ca="1" si="2"/>
        <v>0</v>
      </c>
      <c r="V20" s="306">
        <f t="shared" ca="1" si="3"/>
        <v>1.1537921196340699</v>
      </c>
      <c r="W20" s="304">
        <f t="shared" ca="1" si="4"/>
        <v>80.998630207112313</v>
      </c>
      <c r="Y20" s="314" t="str">
        <f t="shared" ca="1" si="22"/>
        <v/>
      </c>
      <c r="Z20" s="315" t="str">
        <f t="shared" ca="1" si="23"/>
        <v/>
      </c>
      <c r="AA20" s="316" t="str">
        <f t="shared" ca="1" si="24"/>
        <v/>
      </c>
      <c r="AC20" s="310" t="e">
        <f t="shared" ca="1" si="25"/>
        <v>#N/A</v>
      </c>
      <c r="AD20" s="323" t="e">
        <f t="shared" ca="1" si="26"/>
        <v>#N/A</v>
      </c>
      <c r="AE20" s="324">
        <f t="shared" ca="1" si="5"/>
        <v>598.68939179842289</v>
      </c>
      <c r="AG20" s="306">
        <f t="shared" ca="1" si="27"/>
        <v>-25.480850524029165</v>
      </c>
      <c r="AH20" s="304">
        <f t="shared" ca="1" si="28"/>
        <v>-15.990385791696268</v>
      </c>
    </row>
    <row r="21" spans="1:34" x14ac:dyDescent="0.2">
      <c r="A21" s="347">
        <f t="shared" ca="1" si="6"/>
        <v>0.01</v>
      </c>
      <c r="B21" s="304">
        <f t="shared" ca="1" si="7"/>
        <v>0.17</v>
      </c>
      <c r="D21" s="306">
        <f t="shared" ca="1" si="8"/>
        <v>-4.0363161955111924</v>
      </c>
      <c r="E21" s="307">
        <f t="shared" ca="1" si="9"/>
        <v>-25.224811399525645</v>
      </c>
      <c r="F21" s="304">
        <f t="shared" ca="1" si="10"/>
        <v>25.545703328970703</v>
      </c>
      <c r="G21" s="306">
        <f t="shared" ca="1" si="11"/>
        <v>38.261517654876755</v>
      </c>
      <c r="H21" s="307">
        <f t="shared" ca="1" si="12"/>
        <v>146.02377200929874</v>
      </c>
      <c r="I21" s="304">
        <f t="shared" ca="1" si="13"/>
        <v>150.95325675545428</v>
      </c>
      <c r="J21" s="306">
        <f t="shared" ca="1" si="14"/>
        <v>139.80912657464586</v>
      </c>
      <c r="K21" s="307">
        <f t="shared" ca="1" si="15"/>
        <v>600.15089075908588</v>
      </c>
      <c r="L21" s="304">
        <f t="shared" ca="1" si="0"/>
        <v>616.22048290566386</v>
      </c>
      <c r="M21" s="306">
        <f t="shared" ca="1" si="16"/>
        <v>1.3145347423431504</v>
      </c>
      <c r="N21" s="304">
        <f t="shared" ca="1" si="17"/>
        <v>75.31729275957963</v>
      </c>
      <c r="P21" s="310">
        <f t="shared" ca="1" si="18"/>
        <v>2</v>
      </c>
      <c r="Q21" s="304">
        <f t="shared" ca="1" si="19"/>
        <v>3.5000000000000005E-3</v>
      </c>
      <c r="R21" s="306">
        <f t="shared" ca="1" si="20"/>
        <v>3.5000000000000005E-4</v>
      </c>
      <c r="S21" s="307">
        <f t="shared" ca="1" si="21"/>
        <v>5.0830045000000013</v>
      </c>
      <c r="T21" s="304">
        <f t="shared" ca="1" si="1"/>
        <v>49.864274145000017</v>
      </c>
      <c r="U21" s="311">
        <f t="shared" ca="1" si="2"/>
        <v>0</v>
      </c>
      <c r="V21" s="306">
        <f t="shared" ca="1" si="3"/>
        <v>1.153623353772649</v>
      </c>
      <c r="W21" s="304">
        <f t="shared" ca="1" si="4"/>
        <v>80.714665650338731</v>
      </c>
      <c r="Y21" s="314" t="str">
        <f t="shared" ca="1" si="22"/>
        <v/>
      </c>
      <c r="Z21" s="315" t="str">
        <f t="shared" ca="1" si="23"/>
        <v/>
      </c>
      <c r="AA21" s="316" t="str">
        <f t="shared" ca="1" si="24"/>
        <v/>
      </c>
      <c r="AC21" s="310" t="e">
        <f t="shared" ca="1" si="25"/>
        <v>#N/A</v>
      </c>
      <c r="AD21" s="323" t="e">
        <f t="shared" ca="1" si="26"/>
        <v>#N/A</v>
      </c>
      <c r="AE21" s="324">
        <f t="shared" ca="1" si="5"/>
        <v>600.15089075908588</v>
      </c>
      <c r="AG21" s="306">
        <f t="shared" ca="1" si="27"/>
        <v>-25.4245557590449</v>
      </c>
      <c r="AH21" s="304">
        <f t="shared" ca="1" si="28"/>
        <v>-15.934499016696186</v>
      </c>
    </row>
    <row r="22" spans="1:34" x14ac:dyDescent="0.2">
      <c r="A22" s="347">
        <f t="shared" ca="1" si="6"/>
        <v>0.01</v>
      </c>
      <c r="B22" s="304">
        <f t="shared" ca="1" si="7"/>
        <v>0.18000000000000002</v>
      </c>
      <c r="D22" s="306">
        <f t="shared" ca="1" si="8"/>
        <v>-4.0247455144965407</v>
      </c>
      <c r="E22" s="307">
        <f t="shared" ca="1" si="9"/>
        <v>-25.170303443932589</v>
      </c>
      <c r="F22" s="304">
        <f t="shared" ca="1" si="10"/>
        <v>25.49005201870143</v>
      </c>
      <c r="G22" s="306">
        <f t="shared" ca="1" si="11"/>
        <v>38.221270199731791</v>
      </c>
      <c r="H22" s="307">
        <f t="shared" ca="1" si="12"/>
        <v>145.77206897485942</v>
      </c>
      <c r="I22" s="304">
        <f t="shared" ca="1" si="13"/>
        <v>150.69957395059907</v>
      </c>
      <c r="J22" s="306">
        <f t="shared" ca="1" si="14"/>
        <v>140.19154051391891</v>
      </c>
      <c r="K22" s="307">
        <f t="shared" ca="1" si="15"/>
        <v>601.60986996400663</v>
      </c>
      <c r="L22" s="304">
        <f t="shared" ca="1" si="0"/>
        <v>617.7281794363721</v>
      </c>
      <c r="M22" s="306">
        <f t="shared" ca="1" si="16"/>
        <v>1.3143697450991514</v>
      </c>
      <c r="N22" s="304">
        <f t="shared" ca="1" si="17"/>
        <v>75.307839113867189</v>
      </c>
      <c r="P22" s="310">
        <f t="shared" ca="1" si="18"/>
        <v>2</v>
      </c>
      <c r="Q22" s="304">
        <f t="shared" ca="1" si="19"/>
        <v>2.4999999999999996E-3</v>
      </c>
      <c r="R22" s="306">
        <f t="shared" ca="1" si="20"/>
        <v>2.4999999999999995E-4</v>
      </c>
      <c r="S22" s="307">
        <f t="shared" ca="1" si="21"/>
        <v>5.0830020000000014</v>
      </c>
      <c r="T22" s="304">
        <f t="shared" ca="1" si="1"/>
        <v>49.864249620000017</v>
      </c>
      <c r="U22" s="311">
        <f t="shared" ca="1" si="2"/>
        <v>0</v>
      </c>
      <c r="V22" s="306">
        <f t="shared" ca="1" si="3"/>
        <v>1.1534549027617138</v>
      </c>
      <c r="W22" s="304">
        <f t="shared" ca="1" si="4"/>
        <v>80.431859050406516</v>
      </c>
      <c r="Y22" s="314" t="str">
        <f t="shared" ca="1" si="22"/>
        <v/>
      </c>
      <c r="Z22" s="315" t="str">
        <f t="shared" ca="1" si="23"/>
        <v/>
      </c>
      <c r="AA22" s="316" t="str">
        <f t="shared" ca="1" si="24"/>
        <v/>
      </c>
      <c r="AC22" s="310" t="e">
        <f t="shared" ca="1" si="25"/>
        <v>#N/A</v>
      </c>
      <c r="AD22" s="323" t="e">
        <f t="shared" ca="1" si="26"/>
        <v>#N/A</v>
      </c>
      <c r="AE22" s="324">
        <f t="shared" ca="1" si="5"/>
        <v>601.60986996400663</v>
      </c>
      <c r="AG22" s="306">
        <f t="shared" ca="1" si="27"/>
        <v>-25.368485618463531</v>
      </c>
      <c r="AH22" s="304">
        <f t="shared" ca="1" si="28"/>
        <v>-15.878838066626516</v>
      </c>
    </row>
    <row r="23" spans="1:34" x14ac:dyDescent="0.2">
      <c r="A23" s="347">
        <f t="shared" ca="1" si="6"/>
        <v>0.01</v>
      </c>
      <c r="B23" s="304">
        <f t="shared" ca="1" si="7"/>
        <v>0.19000000000000003</v>
      </c>
      <c r="D23" s="306">
        <f t="shared" ca="1" si="8"/>
        <v>-4.0132198004134851</v>
      </c>
      <c r="E23" s="307">
        <f t="shared" ca="1" si="9"/>
        <v>-25.116015485619606</v>
      </c>
      <c r="F23" s="304">
        <f t="shared" ca="1" si="10"/>
        <v>25.434625356790981</v>
      </c>
      <c r="G23" s="306">
        <f t="shared" ca="1" si="11"/>
        <v>38.181138001727653</v>
      </c>
      <c r="H23" s="307">
        <f t="shared" ca="1" si="12"/>
        <v>145.52090882000323</v>
      </c>
      <c r="I23" s="304">
        <f t="shared" ca="1" si="13"/>
        <v>150.44644961881508</v>
      </c>
      <c r="J23" s="306">
        <f t="shared" ca="1" si="14"/>
        <v>140.57355255492621</v>
      </c>
      <c r="K23" s="307">
        <f t="shared" ca="1" si="15"/>
        <v>603.06633485298096</v>
      </c>
      <c r="L23" s="304">
        <f t="shared" ca="1" si="0"/>
        <v>619.23333882383974</v>
      </c>
      <c r="M23" s="306">
        <f t="shared" ca="1" si="16"/>
        <v>1.3142043661769125</v>
      </c>
      <c r="N23" s="304">
        <f t="shared" ca="1" si="17"/>
        <v>75.298363599602482</v>
      </c>
      <c r="P23" s="310">
        <f t="shared" ca="1" si="18"/>
        <v>2</v>
      </c>
      <c r="Q23" s="304">
        <f t="shared" ca="1" si="19"/>
        <v>1.4999999999999996E-3</v>
      </c>
      <c r="R23" s="306">
        <f t="shared" ca="1" si="20"/>
        <v>1.4999999999999996E-4</v>
      </c>
      <c r="S23" s="307">
        <f t="shared" ca="1" si="21"/>
        <v>5.0830005000000016</v>
      </c>
      <c r="T23" s="304">
        <f t="shared" ca="1" si="1"/>
        <v>49.864234905000018</v>
      </c>
      <c r="U23" s="311">
        <f t="shared" ca="1" si="2"/>
        <v>0</v>
      </c>
      <c r="V23" s="306">
        <f t="shared" ca="1" si="3"/>
        <v>1.1532867658446364</v>
      </c>
      <c r="W23" s="304">
        <f t="shared" ca="1" si="4"/>
        <v>80.150204267098033</v>
      </c>
      <c r="Y23" s="314" t="str">
        <f t="shared" ca="1" si="22"/>
        <v/>
      </c>
      <c r="Z23" s="315" t="str">
        <f t="shared" ca="1" si="23"/>
        <v/>
      </c>
      <c r="AA23" s="316" t="str">
        <f t="shared" ca="1" si="24"/>
        <v/>
      </c>
      <c r="AC23" s="310" t="e">
        <f t="shared" ca="1" si="25"/>
        <v>#N/A</v>
      </c>
      <c r="AD23" s="323" t="e">
        <f t="shared" ca="1" si="26"/>
        <v>#N/A</v>
      </c>
      <c r="AE23" s="324">
        <f t="shared" ca="1" si="5"/>
        <v>603.06633485298096</v>
      </c>
      <c r="AG23" s="306">
        <f t="shared" ca="1" si="27"/>
        <v>-25.312638915332066</v>
      </c>
      <c r="AH23" s="304">
        <f t="shared" ca="1" si="28"/>
        <v>-15.823401758549206</v>
      </c>
    </row>
    <row r="24" spans="1:34" x14ac:dyDescent="0.2">
      <c r="A24" s="347">
        <f t="shared" ca="1" si="6"/>
        <v>0.01</v>
      </c>
      <c r="B24" s="304">
        <f t="shared" ca="1" si="7"/>
        <v>0.20000000000000004</v>
      </c>
      <c r="D24" s="306">
        <f t="shared" ca="1" si="8"/>
        <v>-4.0017388154896132</v>
      </c>
      <c r="E24" s="307">
        <f t="shared" ca="1" si="9"/>
        <v>-25.061946373729924</v>
      </c>
      <c r="F24" s="304">
        <f t="shared" ca="1" si="10"/>
        <v>25.379422168109162</v>
      </c>
      <c r="G24" s="306">
        <f t="shared" ca="1" si="11"/>
        <v>38.14112061357276</v>
      </c>
      <c r="H24" s="307">
        <f t="shared" ca="1" si="12"/>
        <v>145.27028935626592</v>
      </c>
      <c r="I24" s="304">
        <f t="shared" ca="1" si="13"/>
        <v>150.19388153753911</v>
      </c>
      <c r="J24" s="306">
        <f t="shared" ca="1" si="14"/>
        <v>140.95516384800271</v>
      </c>
      <c r="K24" s="307">
        <f t="shared" ca="1" si="15"/>
        <v>604.52029084386231</v>
      </c>
      <c r="L24" s="304">
        <f t="shared" ca="1" si="0"/>
        <v>620.7359666213689</v>
      </c>
      <c r="M24" s="306">
        <f t="shared" ca="1" si="16"/>
        <v>1.3140386046672146</v>
      </c>
      <c r="N24" s="304">
        <f t="shared" ca="1" si="17"/>
        <v>75.288866164691072</v>
      </c>
      <c r="P24" s="310">
        <f t="shared" ca="1" si="18"/>
        <v>2</v>
      </c>
      <c r="Q24" s="304">
        <f t="shared" ca="1" si="19"/>
        <v>4.9999999999999871E-4</v>
      </c>
      <c r="R24" s="306">
        <f t="shared" ca="1" si="20"/>
        <v>4.9999999999999874E-5</v>
      </c>
      <c r="S24" s="307">
        <f t="shared" ca="1" si="21"/>
        <v>5.083000000000002</v>
      </c>
      <c r="T24" s="304">
        <f t="shared" ca="1" si="1"/>
        <v>49.86423000000002</v>
      </c>
      <c r="U24" s="311">
        <f t="shared" ca="1" si="2"/>
        <v>0</v>
      </c>
      <c r="V24" s="306">
        <f t="shared" ca="1" si="3"/>
        <v>1.1531189422679442</v>
      </c>
      <c r="W24" s="304">
        <f t="shared" ca="1" si="4"/>
        <v>79.869695201198439</v>
      </c>
      <c r="Y24" s="314" t="str">
        <f t="shared" ca="1" si="22"/>
        <v/>
      </c>
      <c r="Z24" s="315" t="str">
        <f t="shared" ca="1" si="23"/>
        <v/>
      </c>
      <c r="AA24" s="316" t="str">
        <f t="shared" ca="1" si="24"/>
        <v/>
      </c>
      <c r="AC24" s="310" t="e">
        <f t="shared" ca="1" si="25"/>
        <v>#N/A</v>
      </c>
      <c r="AD24" s="323" t="e">
        <f t="shared" ca="1" si="26"/>
        <v>#N/A</v>
      </c>
      <c r="AE24" s="324">
        <f t="shared" ca="1" si="5"/>
        <v>604.52029084386231</v>
      </c>
      <c r="AG24" s="306">
        <f t="shared" ca="1" si="27"/>
        <v>-25.257014470544398</v>
      </c>
      <c r="AH24" s="304">
        <f t="shared" ca="1" si="28"/>
        <v>-15.76818891739091</v>
      </c>
    </row>
    <row r="25" spans="1:34" x14ac:dyDescent="0.2">
      <c r="A25" s="347">
        <f t="shared" ca="1" si="6"/>
        <v>0.01</v>
      </c>
      <c r="B25" s="304">
        <f t="shared" ca="1" si="7"/>
        <v>0.21000000000000005</v>
      </c>
      <c r="D25" s="306">
        <f t="shared" ca="1" si="8"/>
        <v>-3.990277736122501</v>
      </c>
      <c r="E25" s="307">
        <f t="shared" ca="1" si="9"/>
        <v>-25.008001317562304</v>
      </c>
      <c r="F25" s="304">
        <f t="shared" ca="1" si="10"/>
        <v>25.324344933494192</v>
      </c>
      <c r="G25" s="306">
        <f t="shared" ca="1" si="11"/>
        <v>38.101217836211532</v>
      </c>
      <c r="H25" s="307">
        <f t="shared" ca="1" si="12"/>
        <v>145.0202093430903</v>
      </c>
      <c r="I25" s="304">
        <f t="shared" ca="1" si="13"/>
        <v>149.94186846413572</v>
      </c>
      <c r="J25" s="306">
        <f t="shared" ca="1" si="14"/>
        <v>141.33637554025162</v>
      </c>
      <c r="K25" s="307">
        <f t="shared" ca="1" si="15"/>
        <v>605.97174333735904</v>
      </c>
      <c r="L25" s="304">
        <f t="shared" ca="1" si="0"/>
        <v>622.2360683648717</v>
      </c>
      <c r="M25" s="306">
        <f t="shared" ca="1" si="16"/>
        <v>1.313872459658584</v>
      </c>
      <c r="N25" s="304">
        <f t="shared" ca="1" si="17"/>
        <v>75.279346756909376</v>
      </c>
      <c r="P25" s="310">
        <f t="shared" ca="1" si="18"/>
        <v>3</v>
      </c>
      <c r="Q25" s="304">
        <f t="shared" ca="1" si="19"/>
        <v>0</v>
      </c>
      <c r="R25" s="306">
        <f t="shared" ca="1" si="20"/>
        <v>0</v>
      </c>
      <c r="S25" s="307">
        <f t="shared" ca="1" si="21"/>
        <v>5.083000000000002</v>
      </c>
      <c r="T25" s="304">
        <f t="shared" ca="1" si="1"/>
        <v>49.86423000000002</v>
      </c>
      <c r="U25" s="311">
        <f t="shared" ca="1" si="2"/>
        <v>0</v>
      </c>
      <c r="V25" s="306">
        <f t="shared" ca="1" si="3"/>
        <v>1.1529514312807616</v>
      </c>
      <c r="W25" s="304">
        <f t="shared" ca="1" si="4"/>
        <v>79.590326822002012</v>
      </c>
      <c r="Y25" s="314" t="str">
        <f t="shared" ca="1" si="22"/>
        <v>Fin de propulsion</v>
      </c>
      <c r="Z25" s="315" t="str">
        <f t="shared" ca="1" si="23"/>
        <v/>
      </c>
      <c r="AA25" s="316" t="str">
        <f t="shared" ca="1" si="24"/>
        <v/>
      </c>
      <c r="AC25" s="310" t="e">
        <f t="shared" ca="1" si="25"/>
        <v>#N/A</v>
      </c>
      <c r="AD25" s="323" t="e">
        <f t="shared" ca="1" si="26"/>
        <v>#N/A</v>
      </c>
      <c r="AE25" s="324">
        <f t="shared" ca="1" si="5"/>
        <v>605.97174333735904</v>
      </c>
      <c r="AG25" s="306">
        <f t="shared" ca="1" si="27"/>
        <v>-25.201514291334263</v>
      </c>
      <c r="AH25" s="304">
        <f t="shared" ca="1" si="28"/>
        <v>-15.713101554436044</v>
      </c>
    </row>
    <row r="26" spans="1:34" x14ac:dyDescent="0.2">
      <c r="A26" s="347">
        <f t="shared" ca="1" si="6"/>
        <v>0.01</v>
      </c>
      <c r="B26" s="304">
        <f t="shared" ca="1" si="7"/>
        <v>0.22000000000000006</v>
      </c>
      <c r="D26" s="306">
        <f t="shared" ca="1" si="8"/>
        <v>-3.9788367196623118</v>
      </c>
      <c r="E26" s="307">
        <f t="shared" ca="1" si="9"/>
        <v>-24.954180863400353</v>
      </c>
      <c r="F26" s="304">
        <f t="shared" ca="1" si="10"/>
        <v>25.269394219193888</v>
      </c>
      <c r="G26" s="306">
        <f t="shared" ca="1" si="11"/>
        <v>38.061429469014911</v>
      </c>
      <c r="H26" s="307">
        <f t="shared" ca="1" si="12"/>
        <v>144.77066753445629</v>
      </c>
      <c r="I26" s="304">
        <f t="shared" ca="1" si="13"/>
        <v>149.69040915034228</v>
      </c>
      <c r="J26" s="306">
        <f t="shared" ca="1" si="14"/>
        <v>141.71718877677776</v>
      </c>
      <c r="K26" s="307">
        <f t="shared" ca="1" si="15"/>
        <v>607.42069772174682</v>
      </c>
      <c r="L26" s="304">
        <f t="shared" ca="1" si="0"/>
        <v>623.7336495777397</v>
      </c>
      <c r="M26" s="306">
        <f t="shared" ca="1" si="16"/>
        <v>1.313705930237278</v>
      </c>
      <c r="N26" s="304">
        <f t="shared" ca="1" si="17"/>
        <v>75.269805323903782</v>
      </c>
      <c r="P26" s="310">
        <f t="shared" ca="1" si="18"/>
        <v>3</v>
      </c>
      <c r="Q26" s="304">
        <f t="shared" ca="1" si="19"/>
        <v>0</v>
      </c>
      <c r="R26" s="306">
        <f t="shared" ca="1" si="20"/>
        <v>0</v>
      </c>
      <c r="S26" s="307">
        <f t="shared" ca="1" si="21"/>
        <v>5.083000000000002</v>
      </c>
      <c r="T26" s="304">
        <f t="shared" ca="1" si="1"/>
        <v>49.86423000000002</v>
      </c>
      <c r="U26" s="311">
        <f t="shared" ca="1" si="2"/>
        <v>0</v>
      </c>
      <c r="V26" s="306">
        <f t="shared" ca="1" si="3"/>
        <v>1.1527842321342618</v>
      </c>
      <c r="W26" s="304">
        <f t="shared" ca="1" si="4"/>
        <v>79.312094113295501</v>
      </c>
      <c r="Y26" s="314" t="str">
        <f t="shared" ca="1" si="22"/>
        <v/>
      </c>
      <c r="Z26" s="315" t="str">
        <f t="shared" ca="1" si="23"/>
        <v/>
      </c>
      <c r="AA26" s="316" t="str">
        <f t="shared" ca="1" si="24"/>
        <v/>
      </c>
      <c r="AC26" s="310" t="e">
        <f t="shared" ca="1" si="25"/>
        <v>#N/A</v>
      </c>
      <c r="AD26" s="323" t="e">
        <f t="shared" ca="1" si="26"/>
        <v>#N/A</v>
      </c>
      <c r="AE26" s="324">
        <f t="shared" ca="1" si="5"/>
        <v>607.42069772174682</v>
      </c>
      <c r="AG26" s="306">
        <f t="shared" ca="1" si="27"/>
        <v>-25.146138940425942</v>
      </c>
      <c r="AH26" s="304">
        <f t="shared" ca="1" si="28"/>
        <v>-15.658140236474912</v>
      </c>
    </row>
    <row r="27" spans="1:34" x14ac:dyDescent="0.2">
      <c r="A27" s="347">
        <f t="shared" ca="1" si="6"/>
        <v>0.01</v>
      </c>
      <c r="B27" s="304">
        <f t="shared" ca="1" si="7"/>
        <v>0.23000000000000007</v>
      </c>
      <c r="D27" s="306">
        <f t="shared" ca="1" si="8"/>
        <v>-3.9674405404753412</v>
      </c>
      <c r="E27" s="307">
        <f t="shared" ca="1" si="9"/>
        <v>-24.900579188978234</v>
      </c>
      <c r="F27" s="304">
        <f t="shared" ca="1" si="10"/>
        <v>25.2146669299593</v>
      </c>
      <c r="G27" s="306">
        <f t="shared" ca="1" si="11"/>
        <v>38.021755063610158</v>
      </c>
      <c r="H27" s="307">
        <f t="shared" ca="1" si="12"/>
        <v>144.52166174256652</v>
      </c>
      <c r="I27" s="304">
        <f t="shared" ca="1" si="13"/>
        <v>149.43950137413461</v>
      </c>
      <c r="J27" s="306">
        <f t="shared" ca="1" si="14"/>
        <v>142.09760469944089</v>
      </c>
      <c r="K27" s="307">
        <f t="shared" ca="1" si="15"/>
        <v>608.86715936813198</v>
      </c>
      <c r="L27" s="304">
        <f t="shared" ca="1" si="0"/>
        <v>625.22871576594821</v>
      </c>
      <c r="M27" s="306">
        <f t="shared" ca="1" si="16"/>
        <v>1.3135390154861863</v>
      </c>
      <c r="N27" s="304">
        <f t="shared" ca="1" si="17"/>
        <v>75.260241813127763</v>
      </c>
      <c r="P27" s="310">
        <f t="shared" ca="1" si="18"/>
        <v>3</v>
      </c>
      <c r="Q27" s="304">
        <f t="shared" ca="1" si="19"/>
        <v>0</v>
      </c>
      <c r="R27" s="306">
        <f t="shared" ca="1" si="20"/>
        <v>0</v>
      </c>
      <c r="S27" s="307">
        <f t="shared" ca="1" si="21"/>
        <v>5.083000000000002</v>
      </c>
      <c r="T27" s="304">
        <f t="shared" ca="1" si="1"/>
        <v>49.86423000000002</v>
      </c>
      <c r="U27" s="311">
        <f t="shared" ca="1" si="2"/>
        <v>0</v>
      </c>
      <c r="V27" s="306">
        <f t="shared" ca="1" si="3"/>
        <v>1.1526173440822132</v>
      </c>
      <c r="W27" s="304">
        <f t="shared" ca="1" si="4"/>
        <v>79.034991049322898</v>
      </c>
      <c r="Y27" s="314" t="str">
        <f t="shared" ca="1" si="22"/>
        <v/>
      </c>
      <c r="Z27" s="315" t="str">
        <f t="shared" ca="1" si="23"/>
        <v/>
      </c>
      <c r="AA27" s="316" t="str">
        <f t="shared" ca="1" si="24"/>
        <v/>
      </c>
      <c r="AC27" s="310" t="e">
        <f t="shared" ca="1" si="25"/>
        <v>#N/A</v>
      </c>
      <c r="AD27" s="323" t="e">
        <f t="shared" ca="1" si="26"/>
        <v>#N/A</v>
      </c>
      <c r="AE27" s="324">
        <f t="shared" ca="1" si="5"/>
        <v>608.86715936813198</v>
      </c>
      <c r="AG27" s="306">
        <f t="shared" ca="1" si="27"/>
        <v>-25.090985793983279</v>
      </c>
      <c r="AH27" s="304">
        <f t="shared" ca="1" si="28"/>
        <v>-15.603402343752798</v>
      </c>
    </row>
    <row r="28" spans="1:34" x14ac:dyDescent="0.2">
      <c r="A28" s="347">
        <f t="shared" ca="1" si="6"/>
        <v>0.01</v>
      </c>
      <c r="B28" s="304">
        <f t="shared" ca="1" si="7"/>
        <v>0.24000000000000007</v>
      </c>
      <c r="D28" s="306">
        <f t="shared" ca="1" si="8"/>
        <v>-3.9560889579604162</v>
      </c>
      <c r="E28" s="307">
        <f t="shared" ca="1" si="9"/>
        <v>-24.847195133400319</v>
      </c>
      <c r="F28" s="304">
        <f t="shared" ca="1" si="10"/>
        <v>25.16016188025365</v>
      </c>
      <c r="G28" s="306">
        <f t="shared" ca="1" si="11"/>
        <v>37.982194174030553</v>
      </c>
      <c r="H28" s="307">
        <f t="shared" ca="1" si="12"/>
        <v>144.27318979123251</v>
      </c>
      <c r="I28" s="304">
        <f t="shared" ca="1" si="13"/>
        <v>149.18914292538435</v>
      </c>
      <c r="J28" s="306">
        <f t="shared" ca="1" si="14"/>
        <v>142.47762444562909</v>
      </c>
      <c r="K28" s="307">
        <f t="shared" ca="1" si="15"/>
        <v>610.31113362580095</v>
      </c>
      <c r="L28" s="304">
        <f t="shared" ca="1" si="0"/>
        <v>626.72127241324745</v>
      </c>
      <c r="M28" s="306">
        <f t="shared" ca="1" si="16"/>
        <v>1.3133717144848196</v>
      </c>
      <c r="N28" s="304">
        <f t="shared" ca="1" si="17"/>
        <v>75.250656171841129</v>
      </c>
      <c r="P28" s="310">
        <f t="shared" ca="1" si="18"/>
        <v>3</v>
      </c>
      <c r="Q28" s="304">
        <f t="shared" ca="1" si="19"/>
        <v>0</v>
      </c>
      <c r="R28" s="306">
        <f t="shared" ca="1" si="20"/>
        <v>0</v>
      </c>
      <c r="S28" s="307">
        <f t="shared" ca="1" si="21"/>
        <v>5.083000000000002</v>
      </c>
      <c r="T28" s="304">
        <f t="shared" ca="1" si="1"/>
        <v>49.86423000000002</v>
      </c>
      <c r="U28" s="311">
        <f t="shared" ca="1" si="2"/>
        <v>0</v>
      </c>
      <c r="V28" s="306">
        <f t="shared" ca="1" si="3"/>
        <v>1.1524507663815087</v>
      </c>
      <c r="W28" s="304">
        <f t="shared" ca="1" si="4"/>
        <v>78.759011644795379</v>
      </c>
      <c r="Y28" s="314" t="str">
        <f t="shared" ca="1" si="22"/>
        <v/>
      </c>
      <c r="Z28" s="315" t="str">
        <f t="shared" ca="1" si="23"/>
        <v/>
      </c>
      <c r="AA28" s="316" t="str">
        <f t="shared" ca="1" si="24"/>
        <v/>
      </c>
      <c r="AC28" s="310" t="e">
        <f t="shared" ca="1" si="25"/>
        <v>#N/A</v>
      </c>
      <c r="AD28" s="323" t="e">
        <f t="shared" ca="1" si="26"/>
        <v>#N/A</v>
      </c>
      <c r="AE28" s="324">
        <f t="shared" ca="1" si="5"/>
        <v>610.31113362580095</v>
      </c>
      <c r="AG28" s="306">
        <f t="shared" ca="1" si="27"/>
        <v>-25.036053662434242</v>
      </c>
      <c r="AH28" s="304">
        <f t="shared" ca="1" si="28"/>
        <v>-15.548886690797337</v>
      </c>
    </row>
    <row r="29" spans="1:34" x14ac:dyDescent="0.2">
      <c r="A29" s="347">
        <f t="shared" ca="1" si="6"/>
        <v>0.01</v>
      </c>
      <c r="B29" s="304">
        <f t="shared" ca="1" si="7"/>
        <v>0.25000000000000006</v>
      </c>
      <c r="D29" s="306">
        <f t="shared" ca="1" si="8"/>
        <v>-3.9447817331294921</v>
      </c>
      <c r="E29" s="307">
        <f t="shared" ca="1" si="9"/>
        <v>-24.794027543566859</v>
      </c>
      <c r="F29" s="304">
        <f t="shared" ca="1" si="10"/>
        <v>25.105877892501272</v>
      </c>
      <c r="G29" s="306">
        <f t="shared" ca="1" si="11"/>
        <v>37.94274635669926</v>
      </c>
      <c r="H29" s="307">
        <f t="shared" ca="1" si="12"/>
        <v>144.02524951579684</v>
      </c>
      <c r="I29" s="304">
        <f t="shared" ca="1" si="13"/>
        <v>148.93933160577953</v>
      </c>
      <c r="J29" s="306">
        <f t="shared" ca="1" si="14"/>
        <v>142.85724914828273</v>
      </c>
      <c r="K29" s="307">
        <f t="shared" ca="1" si="15"/>
        <v>611.75262582233609</v>
      </c>
      <c r="L29" s="304">
        <f t="shared" ca="1" si="0"/>
        <v>628.21132498128179</v>
      </c>
      <c r="M29" s="306">
        <f t="shared" ca="1" si="16"/>
        <v>1.3132040263092934</v>
      </c>
      <c r="N29" s="304">
        <f t="shared" ca="1" si="17"/>
        <v>75.241048347109242</v>
      </c>
      <c r="P29" s="310">
        <f t="shared" ca="1" si="18"/>
        <v>3</v>
      </c>
      <c r="Q29" s="304">
        <f t="shared" ca="1" si="19"/>
        <v>0</v>
      </c>
      <c r="R29" s="306">
        <f t="shared" ca="1" si="20"/>
        <v>0</v>
      </c>
      <c r="S29" s="307">
        <f t="shared" ca="1" si="21"/>
        <v>5.083000000000002</v>
      </c>
      <c r="T29" s="304">
        <f t="shared" ca="1" si="1"/>
        <v>49.86423000000002</v>
      </c>
      <c r="U29" s="311">
        <f t="shared" ca="1" si="2"/>
        <v>0</v>
      </c>
      <c r="V29" s="306">
        <f t="shared" ca="1" si="3"/>
        <v>1.1522844982921521</v>
      </c>
      <c r="W29" s="304">
        <f t="shared" ca="1" si="4"/>
        <v>78.484149954565439</v>
      </c>
      <c r="Y29" s="314" t="str">
        <f t="shared" ca="1" si="22"/>
        <v/>
      </c>
      <c r="Z29" s="315" t="str">
        <f t="shared" ca="1" si="23"/>
        <v/>
      </c>
      <c r="AA29" s="316" t="str">
        <f t="shared" ca="1" si="24"/>
        <v/>
      </c>
      <c r="AC29" s="310" t="e">
        <f t="shared" ca="1" si="25"/>
        <v>#N/A</v>
      </c>
      <c r="AD29" s="323" t="e">
        <f t="shared" ca="1" si="26"/>
        <v>#N/A</v>
      </c>
      <c r="AE29" s="324">
        <f t="shared" ca="1" si="5"/>
        <v>611.75262582233609</v>
      </c>
      <c r="AG29" s="306">
        <f t="shared" ca="1" si="27"/>
        <v>-24.981341364149802</v>
      </c>
      <c r="AH29" s="304">
        <f t="shared" ca="1" si="28"/>
        <v>-15.494592100097451</v>
      </c>
    </row>
    <row r="30" spans="1:34" x14ac:dyDescent="0.2">
      <c r="A30" s="347">
        <f t="shared" ca="1" si="6"/>
        <v>0.01</v>
      </c>
      <c r="B30" s="304">
        <f t="shared" ca="1" si="7"/>
        <v>0.26000000000000006</v>
      </c>
      <c r="D30" s="306">
        <f t="shared" ca="1" si="8"/>
        <v>-3.9335186285946881</v>
      </c>
      <c r="E30" s="307">
        <f t="shared" ca="1" si="9"/>
        <v>-24.7410752741112</v>
      </c>
      <c r="F30" s="304">
        <f t="shared" ca="1" si="10"/>
        <v>25.05181379702352</v>
      </c>
      <c r="G30" s="306">
        <f t="shared" ca="1" si="11"/>
        <v>37.903411170413314</v>
      </c>
      <c r="H30" s="307">
        <f t="shared" ca="1" si="12"/>
        <v>143.77783876305574</v>
      </c>
      <c r="I30" s="304">
        <f t="shared" ca="1" si="13"/>
        <v>148.69006522874577</v>
      </c>
      <c r="J30" s="306">
        <f t="shared" ca="1" si="14"/>
        <v>143.23647993591828</v>
      </c>
      <c r="K30" s="307">
        <f t="shared" ca="1" si="15"/>
        <v>613.19164126373039</v>
      </c>
      <c r="L30" s="304">
        <f t="shared" ca="1" si="0"/>
        <v>629.69887890970574</v>
      </c>
      <c r="M30" s="306">
        <f t="shared" ca="1" si="16"/>
        <v>1.3130359500323157</v>
      </c>
      <c r="N30" s="304">
        <f t="shared" ca="1" si="17"/>
        <v>75.231418285802135</v>
      </c>
      <c r="P30" s="310">
        <f t="shared" ca="1" si="18"/>
        <v>3</v>
      </c>
      <c r="Q30" s="304">
        <f t="shared" ca="1" si="19"/>
        <v>0</v>
      </c>
      <c r="R30" s="306">
        <f t="shared" ca="1" si="20"/>
        <v>0</v>
      </c>
      <c r="S30" s="307">
        <f t="shared" ca="1" si="21"/>
        <v>5.083000000000002</v>
      </c>
      <c r="T30" s="304">
        <f t="shared" ca="1" si="1"/>
        <v>49.86423000000002</v>
      </c>
      <c r="U30" s="311">
        <f t="shared" ca="1" si="2"/>
        <v>0</v>
      </c>
      <c r="V30" s="306">
        <f t="shared" ca="1" si="3"/>
        <v>1.1521185390772395</v>
      </c>
      <c r="W30" s="304">
        <f t="shared" ca="1" si="4"/>
        <v>78.210400073303532</v>
      </c>
      <c r="Y30" s="314" t="str">
        <f t="shared" ca="1" si="22"/>
        <v/>
      </c>
      <c r="Z30" s="315" t="str">
        <f t="shared" ca="1" si="23"/>
        <v/>
      </c>
      <c r="AA30" s="316" t="str">
        <f t="shared" ca="1" si="24"/>
        <v/>
      </c>
      <c r="AC30" s="310" t="e">
        <f t="shared" ca="1" si="25"/>
        <v>#N/A</v>
      </c>
      <c r="AD30" s="323" t="e">
        <f t="shared" ca="1" si="26"/>
        <v>#N/A</v>
      </c>
      <c r="AE30" s="324">
        <f t="shared" ca="1" si="5"/>
        <v>613.19164126373039</v>
      </c>
      <c r="AG30" s="306">
        <f t="shared" ca="1" si="27"/>
        <v>-24.926847725379695</v>
      </c>
      <c r="AH30" s="304">
        <f t="shared" ca="1" si="28"/>
        <v>-15.44051740203923</v>
      </c>
    </row>
    <row r="31" spans="1:34" x14ac:dyDescent="0.2">
      <c r="A31" s="347">
        <f t="shared" ca="1" si="6"/>
        <v>0.01</v>
      </c>
      <c r="B31" s="304">
        <f t="shared" ca="1" si="7"/>
        <v>0.27000000000000007</v>
      </c>
      <c r="D31" s="306">
        <f t="shared" ca="1" si="8"/>
        <v>-3.9222994085553791</v>
      </c>
      <c r="E31" s="307">
        <f t="shared" ca="1" si="9"/>
        <v>-24.688337187337503</v>
      </c>
      <c r="F31" s="304">
        <f t="shared" ca="1" si="10"/>
        <v>24.997968431975142</v>
      </c>
      <c r="G31" s="306">
        <f t="shared" ca="1" si="11"/>
        <v>37.864188176327758</v>
      </c>
      <c r="H31" s="307">
        <f t="shared" ca="1" si="12"/>
        <v>143.53095539118237</v>
      </c>
      <c r="I31" s="304">
        <f t="shared" ca="1" si="13"/>
        <v>148.4413416193681</v>
      </c>
      <c r="J31" s="306">
        <f t="shared" ca="1" si="14"/>
        <v>143.61531793265198</v>
      </c>
      <c r="K31" s="307">
        <f t="shared" ca="1" si="15"/>
        <v>614.62818523450153</v>
      </c>
      <c r="L31" s="304">
        <f t="shared" ca="1" si="0"/>
        <v>631.18393961630034</v>
      </c>
      <c r="M31" s="306">
        <f t="shared" ca="1" si="16"/>
        <v>1.3128674847231723</v>
      </c>
      <c r="N31" s="304">
        <f t="shared" ca="1" si="17"/>
        <v>75.221765934593847</v>
      </c>
      <c r="P31" s="310">
        <f t="shared" ca="1" si="18"/>
        <v>3</v>
      </c>
      <c r="Q31" s="304">
        <f t="shared" ca="1" si="19"/>
        <v>0</v>
      </c>
      <c r="R31" s="306">
        <f t="shared" ca="1" si="20"/>
        <v>0</v>
      </c>
      <c r="S31" s="307">
        <f t="shared" ca="1" si="21"/>
        <v>5.083000000000002</v>
      </c>
      <c r="T31" s="304">
        <f t="shared" ca="1" si="1"/>
        <v>49.86423000000002</v>
      </c>
      <c r="U31" s="311">
        <f t="shared" ca="1" si="2"/>
        <v>0</v>
      </c>
      <c r="V31" s="306">
        <f t="shared" ca="1" si="3"/>
        <v>1.1519528880029422</v>
      </c>
      <c r="W31" s="304">
        <f t="shared" ca="1" si="4"/>
        <v>77.937756135177935</v>
      </c>
      <c r="Y31" s="314" t="str">
        <f t="shared" ca="1" si="22"/>
        <v/>
      </c>
      <c r="Z31" s="315" t="str">
        <f t="shared" ca="1" si="23"/>
        <v/>
      </c>
      <c r="AA31" s="316" t="str">
        <f t="shared" ca="1" si="24"/>
        <v/>
      </c>
      <c r="AC31" s="310" t="e">
        <f t="shared" ca="1" si="25"/>
        <v>#N/A</v>
      </c>
      <c r="AD31" s="323" t="e">
        <f t="shared" ca="1" si="26"/>
        <v>#N/A</v>
      </c>
      <c r="AE31" s="324">
        <f t="shared" ca="1" si="5"/>
        <v>614.62818523450153</v>
      </c>
      <c r="AG31" s="306">
        <f t="shared" ca="1" si="27"/>
        <v>-24.872571580188716</v>
      </c>
      <c r="AH31" s="304">
        <f t="shared" ca="1" si="28"/>
        <v>-15.386661434842319</v>
      </c>
    </row>
    <row r="32" spans="1:34" x14ac:dyDescent="0.2">
      <c r="A32" s="347">
        <f t="shared" ca="1" si="6"/>
        <v>0.01</v>
      </c>
      <c r="B32" s="304">
        <f t="shared" ca="1" si="7"/>
        <v>0.28000000000000008</v>
      </c>
      <c r="D32" s="306">
        <f t="shared" ca="1" si="8"/>
        <v>-3.9111238387854246</v>
      </c>
      <c r="E32" s="307">
        <f t="shared" ca="1" si="9"/>
        <v>-24.635812153159041</v>
      </c>
      <c r="F32" s="304">
        <f t="shared" ca="1" si="10"/>
        <v>24.944340643281279</v>
      </c>
      <c r="G32" s="306">
        <f t="shared" ca="1" si="11"/>
        <v>37.825076937939905</v>
      </c>
      <c r="H32" s="307">
        <f t="shared" ca="1" si="12"/>
        <v>143.28459726965079</v>
      </c>
      <c r="I32" s="304">
        <f t="shared" ca="1" si="13"/>
        <v>148.19315861431355</v>
      </c>
      <c r="J32" s="306">
        <f t="shared" ca="1" si="14"/>
        <v>143.99376425822331</v>
      </c>
      <c r="K32" s="307">
        <f t="shared" ca="1" si="15"/>
        <v>616.06226299780565</v>
      </c>
      <c r="L32" s="304">
        <f t="shared" ca="1" si="0"/>
        <v>632.6665124970898</v>
      </c>
      <c r="M32" s="306">
        <f t="shared" ca="1" si="16"/>
        <v>1.3126986294477121</v>
      </c>
      <c r="N32" s="304">
        <f t="shared" ca="1" si="17"/>
        <v>75.212091239961467</v>
      </c>
      <c r="P32" s="310">
        <f t="shared" ca="1" si="18"/>
        <v>3</v>
      </c>
      <c r="Q32" s="304">
        <f t="shared" ca="1" si="19"/>
        <v>0</v>
      </c>
      <c r="R32" s="306">
        <f t="shared" ca="1" si="20"/>
        <v>0</v>
      </c>
      <c r="S32" s="307">
        <f t="shared" ca="1" si="21"/>
        <v>5.083000000000002</v>
      </c>
      <c r="T32" s="304">
        <f t="shared" ca="1" si="1"/>
        <v>49.86423000000002</v>
      </c>
      <c r="U32" s="311">
        <f t="shared" ca="1" si="2"/>
        <v>0</v>
      </c>
      <c r="V32" s="306">
        <f t="shared" ca="1" si="3"/>
        <v>1.1517875443384917</v>
      </c>
      <c r="W32" s="304">
        <f t="shared" ca="1" si="4"/>
        <v>77.666212313537926</v>
      </c>
      <c r="Y32" s="314" t="str">
        <f t="shared" ca="1" si="22"/>
        <v/>
      </c>
      <c r="Z32" s="315" t="str">
        <f t="shared" ca="1" si="23"/>
        <v/>
      </c>
      <c r="AA32" s="316" t="str">
        <f t="shared" ca="1" si="24"/>
        <v/>
      </c>
      <c r="AC32" s="310" t="e">
        <f t="shared" ca="1" si="25"/>
        <v>#N/A</v>
      </c>
      <c r="AD32" s="323" t="e">
        <f t="shared" ca="1" si="26"/>
        <v>#N/A</v>
      </c>
      <c r="AE32" s="324">
        <f t="shared" ca="1" si="5"/>
        <v>616.06226299780565</v>
      </c>
      <c r="AG32" s="306">
        <f t="shared" ca="1" si="27"/>
        <v>-24.818511770393648</v>
      </c>
      <c r="AH32" s="304">
        <f t="shared" ca="1" si="28"/>
        <v>-15.333023044496931</v>
      </c>
    </row>
    <row r="33" spans="1:34" x14ac:dyDescent="0.2">
      <c r="A33" s="347">
        <f t="shared" ca="1" si="6"/>
        <v>0.01</v>
      </c>
      <c r="B33" s="304">
        <f t="shared" ca="1" si="7"/>
        <v>0.29000000000000009</v>
      </c>
      <c r="D33" s="306">
        <f t="shared" ca="1" si="8"/>
        <v>-3.8999916866205639</v>
      </c>
      <c r="E33" s="307">
        <f t="shared" ca="1" si="9"/>
        <v>-24.58349904903719</v>
      </c>
      <c r="F33" s="304">
        <f t="shared" ca="1" si="10"/>
        <v>24.890929284575172</v>
      </c>
      <c r="G33" s="306">
        <f t="shared" ca="1" si="11"/>
        <v>37.786077021073702</v>
      </c>
      <c r="H33" s="307">
        <f t="shared" ca="1" si="12"/>
        <v>143.03876227916041</v>
      </c>
      <c r="I33" s="304">
        <f t="shared" ca="1" si="13"/>
        <v>147.9455140617541</v>
      </c>
      <c r="J33" s="306">
        <f t="shared" ca="1" si="14"/>
        <v>144.37182002801836</v>
      </c>
      <c r="K33" s="307">
        <f t="shared" ca="1" si="15"/>
        <v>617.49387979554967</v>
      </c>
      <c r="L33" s="304">
        <f t="shared" ca="1" si="0"/>
        <v>634.14660292645522</v>
      </c>
      <c r="M33" s="306">
        <f t="shared" ca="1" si="16"/>
        <v>1.312529383268334</v>
      </c>
      <c r="N33" s="304">
        <f t="shared" ca="1" si="17"/>
        <v>75.202394148184382</v>
      </c>
      <c r="P33" s="310">
        <f t="shared" ca="1" si="18"/>
        <v>3</v>
      </c>
      <c r="Q33" s="304">
        <f t="shared" ca="1" si="19"/>
        <v>0</v>
      </c>
      <c r="R33" s="306">
        <f t="shared" ca="1" si="20"/>
        <v>0</v>
      </c>
      <c r="S33" s="307">
        <f t="shared" ca="1" si="21"/>
        <v>5.083000000000002</v>
      </c>
      <c r="T33" s="304">
        <f t="shared" ca="1" si="1"/>
        <v>49.86423000000002</v>
      </c>
      <c r="U33" s="311">
        <f t="shared" ca="1" si="2"/>
        <v>0</v>
      </c>
      <c r="V33" s="306">
        <f t="shared" ca="1" si="3"/>
        <v>1.1516225073561608</v>
      </c>
      <c r="W33" s="304">
        <f t="shared" ca="1" si="4"/>
        <v>77.39576282059933</v>
      </c>
      <c r="Y33" s="314" t="str">
        <f t="shared" ca="1" si="22"/>
        <v/>
      </c>
      <c r="Z33" s="315" t="str">
        <f t="shared" ca="1" si="23"/>
        <v/>
      </c>
      <c r="AA33" s="316" t="str">
        <f t="shared" ca="1" si="24"/>
        <v/>
      </c>
      <c r="AC33" s="310" t="e">
        <f t="shared" ca="1" si="25"/>
        <v>#N/A</v>
      </c>
      <c r="AD33" s="323" t="e">
        <f t="shared" ca="1" si="26"/>
        <v>#N/A</v>
      </c>
      <c r="AE33" s="324">
        <f t="shared" ca="1" si="5"/>
        <v>617.49387979554967</v>
      </c>
      <c r="AG33" s="306">
        <f t="shared" ca="1" si="27"/>
        <v>-24.764667145500844</v>
      </c>
      <c r="AH33" s="304">
        <f t="shared" ca="1" si="28"/>
        <v>-15.279601084701534</v>
      </c>
    </row>
    <row r="34" spans="1:34" x14ac:dyDescent="0.2">
      <c r="A34" s="347">
        <f t="shared" ca="1" si="6"/>
        <v>0.01</v>
      </c>
      <c r="B34" s="304">
        <f t="shared" ca="1" si="7"/>
        <v>0.3000000000000001</v>
      </c>
      <c r="D34" s="306">
        <f t="shared" ca="1" si="8"/>
        <v>-3.8889027209458491</v>
      </c>
      <c r="E34" s="307">
        <f t="shared" ca="1" si="9"/>
        <v>-24.531396759920831</v>
      </c>
      <c r="F34" s="304">
        <f t="shared" ca="1" si="10"/>
        <v>24.837733217136268</v>
      </c>
      <c r="G34" s="306">
        <f t="shared" ca="1" si="11"/>
        <v>37.747187993864245</v>
      </c>
      <c r="H34" s="307">
        <f t="shared" ca="1" si="12"/>
        <v>142.79344831156121</v>
      </c>
      <c r="I34" s="304">
        <f t="shared" ca="1" si="13"/>
        <v>147.69840582129055</v>
      </c>
      <c r="J34" s="306">
        <f t="shared" ca="1" si="14"/>
        <v>144.74948635309306</v>
      </c>
      <c r="K34" s="307">
        <f t="shared" ca="1" si="15"/>
        <v>618.92304084850332</v>
      </c>
      <c r="L34" s="304">
        <f t="shared" ca="1" si="0"/>
        <v>635.62421625724926</v>
      </c>
      <c r="M34" s="306">
        <f t="shared" ca="1" si="16"/>
        <v>1.3123597452439721</v>
      </c>
      <c r="N34" s="304">
        <f t="shared" ca="1" si="17"/>
        <v>75.192674605343512</v>
      </c>
      <c r="P34" s="310">
        <f t="shared" ca="1" si="18"/>
        <v>3</v>
      </c>
      <c r="Q34" s="304">
        <f t="shared" ca="1" si="19"/>
        <v>0</v>
      </c>
      <c r="R34" s="306">
        <f t="shared" ca="1" si="20"/>
        <v>0</v>
      </c>
      <c r="S34" s="307">
        <f t="shared" ca="1" si="21"/>
        <v>5.083000000000002</v>
      </c>
      <c r="T34" s="304">
        <f t="shared" ca="1" si="1"/>
        <v>49.86423000000002</v>
      </c>
      <c r="U34" s="311">
        <f t="shared" ca="1" si="2"/>
        <v>0</v>
      </c>
      <c r="V34" s="306">
        <f t="shared" ca="1" si="3"/>
        <v>1.1514577763312499</v>
      </c>
      <c r="W34" s="304">
        <f t="shared" ca="1" si="4"/>
        <v>77.126401907133669</v>
      </c>
      <c r="Y34" s="314" t="str">
        <f t="shared" ca="1" si="22"/>
        <v/>
      </c>
      <c r="Z34" s="315" t="str">
        <f t="shared" ca="1" si="23"/>
        <v/>
      </c>
      <c r="AA34" s="316" t="str">
        <f t="shared" ca="1" si="24"/>
        <v/>
      </c>
      <c r="AC34" s="310" t="e">
        <f t="shared" ca="1" si="25"/>
        <v>#N/A</v>
      </c>
      <c r="AD34" s="323" t="e">
        <f t="shared" ca="1" si="26"/>
        <v>#N/A</v>
      </c>
      <c r="AE34" s="324">
        <f t="shared" ca="1" si="5"/>
        <v>618.92304084850332</v>
      </c>
      <c r="AG34" s="306">
        <f t="shared" ca="1" si="27"/>
        <v>-24.711036562644253</v>
      </c>
      <c r="AH34" s="304">
        <f t="shared" ca="1" si="28"/>
        <v>-15.226394416800964</v>
      </c>
    </row>
    <row r="35" spans="1:34" x14ac:dyDescent="0.2">
      <c r="A35" s="347">
        <f t="shared" ca="1" si="6"/>
        <v>0.01</v>
      </c>
      <c r="B35" s="304">
        <f t="shared" ca="1" si="7"/>
        <v>0.31000000000000011</v>
      </c>
      <c r="D35" s="306">
        <f t="shared" ca="1" si="8"/>
        <v>-3.8778567121832634</v>
      </c>
      <c r="E35" s="307">
        <f t="shared" ca="1" si="9"/>
        <v>-24.479504178186467</v>
      </c>
      <c r="F35" s="304">
        <f t="shared" ca="1" si="10"/>
        <v>24.784751309829062</v>
      </c>
      <c r="G35" s="306">
        <f t="shared" ca="1" si="11"/>
        <v>37.708409426742413</v>
      </c>
      <c r="H35" s="307">
        <f t="shared" ca="1" si="12"/>
        <v>142.54865326977935</v>
      </c>
      <c r="I35" s="304">
        <f t="shared" ca="1" si="13"/>
        <v>147.45183176387675</v>
      </c>
      <c r="J35" s="306">
        <f t="shared" ca="1" si="14"/>
        <v>145.1267643401961</v>
      </c>
      <c r="K35" s="307">
        <f t="shared" ca="1" si="15"/>
        <v>620.34975135641002</v>
      </c>
      <c r="L35" s="304">
        <f t="shared" ca="1" si="0"/>
        <v>637.09935782090895</v>
      </c>
      <c r="M35" s="306">
        <f t="shared" ca="1" si="16"/>
        <v>1.3121897144300811</v>
      </c>
      <c r="N35" s="304">
        <f t="shared" ca="1" si="17"/>
        <v>75.182932557320385</v>
      </c>
      <c r="P35" s="310">
        <f t="shared" ca="1" si="18"/>
        <v>3</v>
      </c>
      <c r="Q35" s="304">
        <f t="shared" ca="1" si="19"/>
        <v>0</v>
      </c>
      <c r="R35" s="306">
        <f t="shared" ca="1" si="20"/>
        <v>0</v>
      </c>
      <c r="S35" s="307">
        <f t="shared" ca="1" si="21"/>
        <v>5.083000000000002</v>
      </c>
      <c r="T35" s="304">
        <f t="shared" ca="1" si="1"/>
        <v>49.86423000000002</v>
      </c>
      <c r="U35" s="311">
        <f t="shared" ca="1" si="2"/>
        <v>0</v>
      </c>
      <c r="V35" s="306">
        <f t="shared" ca="1" si="3"/>
        <v>1.1512933505420668</v>
      </c>
      <c r="W35" s="304">
        <f t="shared" ca="1" si="4"/>
        <v>76.858123862159516</v>
      </c>
      <c r="Y35" s="314" t="str">
        <f t="shared" ca="1" si="22"/>
        <v/>
      </c>
      <c r="Z35" s="315" t="str">
        <f t="shared" ca="1" si="23"/>
        <v/>
      </c>
      <c r="AA35" s="316" t="str">
        <f t="shared" ca="1" si="24"/>
        <v/>
      </c>
      <c r="AC35" s="310" t="e">
        <f t="shared" ca="1" si="25"/>
        <v>#N/A</v>
      </c>
      <c r="AD35" s="323" t="e">
        <f t="shared" ca="1" si="26"/>
        <v>#N/A</v>
      </c>
      <c r="AE35" s="324">
        <f t="shared" ca="1" si="5"/>
        <v>620.34975135641002</v>
      </c>
      <c r="AG35" s="306">
        <f t="shared" ca="1" si="27"/>
        <v>-24.657618886524176</v>
      </c>
      <c r="AH35" s="304">
        <f t="shared" ca="1" si="28"/>
        <v>-15.173401909725287</v>
      </c>
    </row>
    <row r="36" spans="1:34" x14ac:dyDescent="0.2">
      <c r="A36" s="347">
        <f t="shared" ca="1" si="6"/>
        <v>0.01</v>
      </c>
      <c r="B36" s="304">
        <f t="shared" ca="1" si="7"/>
        <v>0.32000000000000012</v>
      </c>
      <c r="D36" s="306">
        <f t="shared" ca="1" si="8"/>
        <v>-3.8668534322794201</v>
      </c>
      <c r="E36" s="307">
        <f t="shared" ca="1" si="9"/>
        <v>-24.427820203578769</v>
      </c>
      <c r="F36" s="304">
        <f t="shared" ca="1" si="10"/>
        <v>24.731982439042412</v>
      </c>
      <c r="G36" s="306">
        <f t="shared" ca="1" si="11"/>
        <v>37.669740892419618</v>
      </c>
      <c r="H36" s="307">
        <f t="shared" ca="1" si="12"/>
        <v>142.30437506774356</v>
      </c>
      <c r="I36" s="304">
        <f t="shared" ca="1" si="13"/>
        <v>147.20578977174461</v>
      </c>
      <c r="J36" s="306">
        <f t="shared" ca="1" si="14"/>
        <v>145.50365509179193</v>
      </c>
      <c r="K36" s="307">
        <f t="shared" ca="1" si="15"/>
        <v>621.77401649809769</v>
      </c>
      <c r="L36" s="304">
        <f t="shared" ca="1" si="0"/>
        <v>638.57203292756867</v>
      </c>
      <c r="M36" s="306">
        <f t="shared" ca="1" si="16"/>
        <v>1.3120192898786223</v>
      </c>
      <c r="N36" s="304">
        <f t="shared" ca="1" si="17"/>
        <v>75.17316794979638</v>
      </c>
      <c r="P36" s="310">
        <f t="shared" ca="1" si="18"/>
        <v>3</v>
      </c>
      <c r="Q36" s="304">
        <f t="shared" ca="1" si="19"/>
        <v>0</v>
      </c>
      <c r="R36" s="306">
        <f t="shared" ca="1" si="20"/>
        <v>0</v>
      </c>
      <c r="S36" s="307">
        <f t="shared" ca="1" si="21"/>
        <v>5.083000000000002</v>
      </c>
      <c r="T36" s="304">
        <f t="shared" ca="1" si="1"/>
        <v>49.86423000000002</v>
      </c>
      <c r="U36" s="311">
        <f t="shared" ca="1" si="2"/>
        <v>0</v>
      </c>
      <c r="V36" s="306">
        <f t="shared" ca="1" si="3"/>
        <v>1.1511292292699158</v>
      </c>
      <c r="W36" s="304">
        <f t="shared" ca="1" si="4"/>
        <v>76.590923012637589</v>
      </c>
      <c r="Y36" s="314" t="str">
        <f t="shared" ca="1" si="22"/>
        <v/>
      </c>
      <c r="Z36" s="315" t="str">
        <f t="shared" ca="1" si="23"/>
        <v/>
      </c>
      <c r="AA36" s="316" t="str">
        <f t="shared" ca="1" si="24"/>
        <v/>
      </c>
      <c r="AC36" s="310" t="e">
        <f t="shared" ca="1" si="25"/>
        <v>#N/A</v>
      </c>
      <c r="AD36" s="323" t="e">
        <f t="shared" ca="1" si="26"/>
        <v>#N/A</v>
      </c>
      <c r="AE36" s="324">
        <f t="shared" ca="1" si="5"/>
        <v>621.77401649809769</v>
      </c>
      <c r="AG36" s="306">
        <f t="shared" ca="1" si="27"/>
        <v>-24.604412989346454</v>
      </c>
      <c r="AH36" s="304">
        <f t="shared" ca="1" si="28"/>
        <v>-15.120622439929075</v>
      </c>
    </row>
    <row r="37" spans="1:34" x14ac:dyDescent="0.2">
      <c r="A37" s="347">
        <f t="shared" ca="1" si="6"/>
        <v>0.01</v>
      </c>
      <c r="B37" s="304">
        <f t="shared" ca="1" si="7"/>
        <v>0.33000000000000013</v>
      </c>
      <c r="D37" s="306">
        <f t="shared" ca="1" si="8"/>
        <v>-3.8558926546933967</v>
      </c>
      <c r="E37" s="307">
        <f t="shared" ca="1" si="9"/>
        <v>-24.376343743151814</v>
      </c>
      <c r="F37" s="304">
        <f t="shared" ca="1" si="10"/>
        <v>24.679425488629491</v>
      </c>
      <c r="G37" s="306">
        <f t="shared" ca="1" si="11"/>
        <v>37.631181965872685</v>
      </c>
      <c r="H37" s="307">
        <f t="shared" ca="1" si="12"/>
        <v>142.06061163031205</v>
      </c>
      <c r="I37" s="304">
        <f t="shared" ca="1" si="13"/>
        <v>146.96027773832961</v>
      </c>
      <c r="J37" s="306">
        <f t="shared" ca="1" si="14"/>
        <v>145.88015970608339</v>
      </c>
      <c r="K37" s="307">
        <f t="shared" ca="1" si="15"/>
        <v>623.19584143158795</v>
      </c>
      <c r="L37" s="304">
        <f t="shared" ca="1" si="0"/>
        <v>640.04224686617158</v>
      </c>
      <c r="M37" s="306">
        <f t="shared" ca="1" si="16"/>
        <v>1.3118484706380489</v>
      </c>
      <c r="N37" s="304">
        <f t="shared" ca="1" si="17"/>
        <v>75.163380728251894</v>
      </c>
      <c r="P37" s="310">
        <f t="shared" ca="1" si="18"/>
        <v>3</v>
      </c>
      <c r="Q37" s="304">
        <f t="shared" ca="1" si="19"/>
        <v>0</v>
      </c>
      <c r="R37" s="306">
        <f t="shared" ca="1" si="20"/>
        <v>0</v>
      </c>
      <c r="S37" s="307">
        <f t="shared" ca="1" si="21"/>
        <v>5.083000000000002</v>
      </c>
      <c r="T37" s="304">
        <f t="shared" ca="1" si="1"/>
        <v>49.86423000000002</v>
      </c>
      <c r="U37" s="311">
        <f t="shared" ca="1" si="2"/>
        <v>0</v>
      </c>
      <c r="V37" s="306">
        <f t="shared" ca="1" si="3"/>
        <v>1.1509654117990762</v>
      </c>
      <c r="W37" s="304">
        <f t="shared" ca="1" si="4"/>
        <v>76.324793723167758</v>
      </c>
      <c r="Y37" s="314" t="str">
        <f t="shared" ca="1" si="22"/>
        <v/>
      </c>
      <c r="Z37" s="315" t="str">
        <f t="shared" ca="1" si="23"/>
        <v/>
      </c>
      <c r="AA37" s="316" t="str">
        <f t="shared" ca="1" si="24"/>
        <v/>
      </c>
      <c r="AC37" s="310" t="e">
        <f t="shared" ca="1" si="25"/>
        <v>#N/A</v>
      </c>
      <c r="AD37" s="323" t="e">
        <f t="shared" ca="1" si="26"/>
        <v>#N/A</v>
      </c>
      <c r="AE37" s="324">
        <f t="shared" ca="1" si="5"/>
        <v>623.19584143158795</v>
      </c>
      <c r="AG37" s="306">
        <f t="shared" ca="1" si="27"/>
        <v>-24.551417750762369</v>
      </c>
      <c r="AH37" s="304">
        <f t="shared" ca="1" si="28"/>
        <v>-15.068054891331411</v>
      </c>
    </row>
    <row r="38" spans="1:34" x14ac:dyDescent="0.2">
      <c r="A38" s="347">
        <f t="shared" ca="1" si="6"/>
        <v>0.01</v>
      </c>
      <c r="B38" s="304">
        <f t="shared" ca="1" si="7"/>
        <v>0.34000000000000014</v>
      </c>
      <c r="D38" s="306">
        <f t="shared" ca="1" si="8"/>
        <v>-3.8449741543846567</v>
      </c>
      <c r="E38" s="307">
        <f t="shared" ca="1" si="9"/>
        <v>-24.325073711210742</v>
      </c>
      <c r="F38" s="304">
        <f t="shared" ca="1" si="10"/>
        <v>24.627079349848248</v>
      </c>
      <c r="G38" s="306">
        <f t="shared" ca="1" si="11"/>
        <v>37.592732224328842</v>
      </c>
      <c r="H38" s="307">
        <f t="shared" ca="1" si="12"/>
        <v>141.81736089319995</v>
      </c>
      <c r="I38" s="304">
        <f t="shared" ca="1" si="13"/>
        <v>146.71529356819693</v>
      </c>
      <c r="J38" s="306">
        <f t="shared" ca="1" si="14"/>
        <v>146.25627927703439</v>
      </c>
      <c r="K38" s="307">
        <f t="shared" ca="1" si="15"/>
        <v>624.6152312942055</v>
      </c>
      <c r="L38" s="304">
        <f t="shared" ca="1" si="0"/>
        <v>641.51000490458114</v>
      </c>
      <c r="M38" s="306">
        <f t="shared" ca="1" si="16"/>
        <v>1.3116772557532912</v>
      </c>
      <c r="N38" s="304">
        <f t="shared" ca="1" si="17"/>
        <v>75.153570837965461</v>
      </c>
      <c r="P38" s="310">
        <f t="shared" ca="1" si="18"/>
        <v>3</v>
      </c>
      <c r="Q38" s="304">
        <f t="shared" ca="1" si="19"/>
        <v>0</v>
      </c>
      <c r="R38" s="306">
        <f t="shared" ca="1" si="20"/>
        <v>0</v>
      </c>
      <c r="S38" s="307">
        <f t="shared" ca="1" si="21"/>
        <v>5.083000000000002</v>
      </c>
      <c r="T38" s="304">
        <f t="shared" ca="1" si="1"/>
        <v>49.86423000000002</v>
      </c>
      <c r="U38" s="311">
        <f t="shared" ca="1" si="2"/>
        <v>0</v>
      </c>
      <c r="V38" s="306">
        <f t="shared" ca="1" si="3"/>
        <v>1.15080189741679</v>
      </c>
      <c r="W38" s="304">
        <f t="shared" ca="1" si="4"/>
        <v>76.059730395689598</v>
      </c>
      <c r="Y38" s="314" t="str">
        <f t="shared" ca="1" si="22"/>
        <v/>
      </c>
      <c r="Z38" s="315" t="str">
        <f t="shared" ca="1" si="23"/>
        <v/>
      </c>
      <c r="AA38" s="316" t="str">
        <f t="shared" ca="1" si="24"/>
        <v/>
      </c>
      <c r="AC38" s="310" t="e">
        <f t="shared" ca="1" si="25"/>
        <v>#N/A</v>
      </c>
      <c r="AD38" s="323" t="e">
        <f t="shared" ca="1" si="26"/>
        <v>#N/A</v>
      </c>
      <c r="AE38" s="324">
        <f t="shared" ca="1" si="5"/>
        <v>624.6152312942055</v>
      </c>
      <c r="AG38" s="306">
        <f t="shared" ca="1" si="27"/>
        <v>-24.498632057808955</v>
      </c>
      <c r="AH38" s="304">
        <f t="shared" ca="1" si="28"/>
        <v>-15.015698155256292</v>
      </c>
    </row>
    <row r="39" spans="1:34" x14ac:dyDescent="0.2">
      <c r="A39" s="347">
        <f t="shared" ca="1" si="6"/>
        <v>0.01</v>
      </c>
      <c r="B39" s="304">
        <f t="shared" ca="1" si="7"/>
        <v>0.35000000000000014</v>
      </c>
      <c r="D39" s="306">
        <f t="shared" ca="1" si="8"/>
        <v>-3.8340977078011171</v>
      </c>
      <c r="E39" s="307">
        <f t="shared" ca="1" si="9"/>
        <v>-24.274009029254046</v>
      </c>
      <c r="F39" s="304">
        <f t="shared" ca="1" si="10"/>
        <v>24.574942921302437</v>
      </c>
      <c r="G39" s="306">
        <f t="shared" ca="1" si="11"/>
        <v>37.554391247250834</v>
      </c>
      <c r="H39" s="307">
        <f t="shared" ca="1" si="12"/>
        <v>141.57462080290742</v>
      </c>
      <c r="I39" s="304">
        <f t="shared" ca="1" si="13"/>
        <v>146.47083517696831</v>
      </c>
      <c r="J39" s="306">
        <f t="shared" ca="1" si="14"/>
        <v>146.63201489439228</v>
      </c>
      <c r="K39" s="307">
        <f t="shared" ca="1" si="15"/>
        <v>626.03219120268602</v>
      </c>
      <c r="L39" s="304">
        <f t="shared" ca="1" si="0"/>
        <v>642.97531228969103</v>
      </c>
      <c r="M39" s="306">
        <f t="shared" ca="1" si="16"/>
        <v>1.3115056442657425</v>
      </c>
      <c r="N39" s="304">
        <f t="shared" ca="1" si="17"/>
        <v>75.143738224012964</v>
      </c>
      <c r="P39" s="310">
        <f t="shared" ca="1" si="18"/>
        <v>3</v>
      </c>
      <c r="Q39" s="304">
        <f t="shared" ca="1" si="19"/>
        <v>0</v>
      </c>
      <c r="R39" s="306">
        <f t="shared" ca="1" si="20"/>
        <v>0</v>
      </c>
      <c r="S39" s="307">
        <f t="shared" ca="1" si="21"/>
        <v>5.083000000000002</v>
      </c>
      <c r="T39" s="304">
        <f t="shared" ca="1" si="1"/>
        <v>49.86423000000002</v>
      </c>
      <c r="U39" s="311">
        <f t="shared" ca="1" si="2"/>
        <v>0</v>
      </c>
      <c r="V39" s="306">
        <f t="shared" ca="1" si="3"/>
        <v>1.150638685413244</v>
      </c>
      <c r="W39" s="304">
        <f t="shared" ca="1" si="4"/>
        <v>75.795727469185493</v>
      </c>
      <c r="Y39" s="314" t="str">
        <f t="shared" ca="1" si="22"/>
        <v/>
      </c>
      <c r="Z39" s="315" t="str">
        <f t="shared" ca="1" si="23"/>
        <v/>
      </c>
      <c r="AA39" s="316" t="str">
        <f t="shared" ca="1" si="24"/>
        <v/>
      </c>
      <c r="AC39" s="310" t="e">
        <f t="shared" ca="1" si="25"/>
        <v>#N/A</v>
      </c>
      <c r="AD39" s="323" t="e">
        <f t="shared" ca="1" si="26"/>
        <v>#N/A</v>
      </c>
      <c r="AE39" s="324">
        <f t="shared" ca="1" si="5"/>
        <v>626.03219120268602</v>
      </c>
      <c r="AG39" s="306">
        <f t="shared" ca="1" si="27"/>
        <v>-24.446054804849975</v>
      </c>
      <c r="AH39" s="304">
        <f t="shared" ca="1" si="28"/>
        <v>-14.963551130373711</v>
      </c>
    </row>
    <row r="40" spans="1:34" x14ac:dyDescent="0.2">
      <c r="A40" s="347">
        <f t="shared" ca="1" si="6"/>
        <v>0.01</v>
      </c>
      <c r="B40" s="304">
        <f t="shared" ca="1" si="7"/>
        <v>0.36000000000000015</v>
      </c>
      <c r="D40" s="306">
        <f t="shared" ca="1" si="8"/>
        <v>-3.8232630928673026</v>
      </c>
      <c r="E40" s="307">
        <f t="shared" ca="1" si="9"/>
        <v>-24.223148625916373</v>
      </c>
      <c r="F40" s="304">
        <f t="shared" ca="1" si="10"/>
        <v>24.523015108883236</v>
      </c>
      <c r="G40" s="306">
        <f t="shared" ca="1" si="11"/>
        <v>37.516158616322159</v>
      </c>
      <c r="H40" s="307">
        <f t="shared" ca="1" si="12"/>
        <v>141.33238931664826</v>
      </c>
      <c r="I40" s="304">
        <f t="shared" ca="1" si="13"/>
        <v>146.22690049124913</v>
      </c>
      <c r="J40" s="306">
        <f t="shared" ca="1" si="14"/>
        <v>147.00736764371015</v>
      </c>
      <c r="K40" s="307">
        <f t="shared" ca="1" si="15"/>
        <v>627.44672625328383</v>
      </c>
      <c r="L40" s="304">
        <f t="shared" ca="1" si="0"/>
        <v>644.4381742475349</v>
      </c>
      <c r="M40" s="306">
        <f t="shared" ca="1" si="16"/>
        <v>1.3113336352132443</v>
      </c>
      <c r="N40" s="304">
        <f t="shared" ca="1" si="17"/>
        <v>75.133882831266774</v>
      </c>
      <c r="P40" s="310">
        <f t="shared" ca="1" si="18"/>
        <v>3</v>
      </c>
      <c r="Q40" s="304">
        <f t="shared" ca="1" si="19"/>
        <v>0</v>
      </c>
      <c r="R40" s="306">
        <f t="shared" ca="1" si="20"/>
        <v>0</v>
      </c>
      <c r="S40" s="307">
        <f t="shared" ca="1" si="21"/>
        <v>5.083000000000002</v>
      </c>
      <c r="T40" s="304">
        <f t="shared" ca="1" si="1"/>
        <v>49.86423000000002</v>
      </c>
      <c r="U40" s="311">
        <f t="shared" ca="1" si="2"/>
        <v>0</v>
      </c>
      <c r="V40" s="306">
        <f t="shared" ca="1" si="3"/>
        <v>1.1504757750815549</v>
      </c>
      <c r="W40" s="304">
        <f t="shared" ca="1" si="4"/>
        <v>75.532779419386188</v>
      </c>
      <c r="Y40" s="314" t="str">
        <f t="shared" ca="1" si="22"/>
        <v/>
      </c>
      <c r="Z40" s="315" t="str">
        <f t="shared" ca="1" si="23"/>
        <v/>
      </c>
      <c r="AA40" s="316" t="str">
        <f t="shared" ca="1" si="24"/>
        <v/>
      </c>
      <c r="AC40" s="310" t="e">
        <f t="shared" ca="1" si="25"/>
        <v>#N/A</v>
      </c>
      <c r="AD40" s="323" t="e">
        <f t="shared" ca="1" si="26"/>
        <v>#N/A</v>
      </c>
      <c r="AE40" s="324">
        <f t="shared" ca="1" si="5"/>
        <v>627.44672625328383</v>
      </c>
      <c r="AG40" s="306">
        <f t="shared" ca="1" si="27"/>
        <v>-24.393684893517417</v>
      </c>
      <c r="AH40" s="304">
        <f t="shared" ca="1" si="28"/>
        <v>-14.911612722641248</v>
      </c>
    </row>
    <row r="41" spans="1:34" x14ac:dyDescent="0.2">
      <c r="A41" s="347">
        <f t="shared" ca="1" si="6"/>
        <v>0.01</v>
      </c>
      <c r="B41" s="304">
        <f t="shared" ca="1" si="7"/>
        <v>0.37000000000000016</v>
      </c>
      <c r="D41" s="306">
        <f t="shared" ca="1" si="8"/>
        <v>-3.8124700889726024</v>
      </c>
      <c r="E41" s="307">
        <f t="shared" ca="1" si="9"/>
        <v>-24.172491436911816</v>
      </c>
      <c r="F41" s="304">
        <f t="shared" ca="1" si="10"/>
        <v>24.471294825711325</v>
      </c>
      <c r="G41" s="306">
        <f t="shared" ca="1" si="11"/>
        <v>37.478033915432434</v>
      </c>
      <c r="H41" s="307">
        <f t="shared" ca="1" si="12"/>
        <v>141.09066440227915</v>
      </c>
      <c r="I41" s="304">
        <f t="shared" ca="1" si="13"/>
        <v>145.98348744855653</v>
      </c>
      <c r="J41" s="306">
        <f t="shared" ca="1" si="14"/>
        <v>147.38233860636893</v>
      </c>
      <c r="K41" s="307">
        <f t="shared" ca="1" si="15"/>
        <v>628.8588415218785</v>
      </c>
      <c r="L41" s="304">
        <f t="shared" ca="1" si="0"/>
        <v>645.89859598339547</v>
      </c>
      <c r="M41" s="306">
        <f t="shared" ca="1" si="16"/>
        <v>1.3111612276300708</v>
      </c>
      <c r="N41" s="304">
        <f t="shared" ca="1" si="17"/>
        <v>75.124004604394884</v>
      </c>
      <c r="P41" s="310">
        <f t="shared" ca="1" si="18"/>
        <v>3</v>
      </c>
      <c r="Q41" s="304">
        <f t="shared" ca="1" si="19"/>
        <v>0</v>
      </c>
      <c r="R41" s="306">
        <f t="shared" ca="1" si="20"/>
        <v>0</v>
      </c>
      <c r="S41" s="307">
        <f t="shared" ca="1" si="21"/>
        <v>5.083000000000002</v>
      </c>
      <c r="T41" s="304">
        <f t="shared" ca="1" si="1"/>
        <v>49.86423000000002</v>
      </c>
      <c r="U41" s="311">
        <f t="shared" ca="1" si="2"/>
        <v>0</v>
      </c>
      <c r="V41" s="306">
        <f t="shared" ca="1" si="3"/>
        <v>1.1503131657177532</v>
      </c>
      <c r="W41" s="304">
        <f t="shared" ca="1" si="4"/>
        <v>75.270880758479649</v>
      </c>
      <c r="Y41" s="314" t="str">
        <f t="shared" ca="1" si="22"/>
        <v/>
      </c>
      <c r="Z41" s="315" t="str">
        <f t="shared" ca="1" si="23"/>
        <v/>
      </c>
      <c r="AA41" s="316" t="str">
        <f t="shared" ca="1" si="24"/>
        <v/>
      </c>
      <c r="AC41" s="310" t="e">
        <f t="shared" ca="1" si="25"/>
        <v>#N/A</v>
      </c>
      <c r="AD41" s="323" t="e">
        <f t="shared" ca="1" si="26"/>
        <v>#N/A</v>
      </c>
      <c r="AE41" s="324">
        <f t="shared" ca="1" si="5"/>
        <v>628.8588415218785</v>
      </c>
      <c r="AG41" s="306">
        <f t="shared" ca="1" si="27"/>
        <v>-24.341521232653474</v>
      </c>
      <c r="AH41" s="304">
        <f t="shared" ca="1" si="28"/>
        <v>-14.859881845246147</v>
      </c>
    </row>
    <row r="42" spans="1:34" x14ac:dyDescent="0.2">
      <c r="A42" s="347">
        <f t="shared" ca="1" si="6"/>
        <v>0.01</v>
      </c>
      <c r="B42" s="304">
        <f t="shared" ca="1" si="7"/>
        <v>0.38000000000000017</v>
      </c>
      <c r="D42" s="306">
        <f t="shared" ca="1" si="8"/>
        <v>-3.8017184769596777</v>
      </c>
      <c r="E42" s="307">
        <f t="shared" ca="1" si="9"/>
        <v>-24.122036404977798</v>
      </c>
      <c r="F42" s="304">
        <f t="shared" ca="1" si="10"/>
        <v>24.419780992079573</v>
      </c>
      <c r="G42" s="306">
        <f t="shared" ca="1" si="11"/>
        <v>37.44001673066284</v>
      </c>
      <c r="H42" s="307">
        <f t="shared" ca="1" si="12"/>
        <v>140.84944403822936</v>
      </c>
      <c r="I42" s="304">
        <f t="shared" ca="1" si="13"/>
        <v>145.7405939972478</v>
      </c>
      <c r="J42" s="306">
        <f t="shared" ca="1" si="14"/>
        <v>147.75692885959941</v>
      </c>
      <c r="K42" s="307">
        <f t="shared" ca="1" si="15"/>
        <v>630.26854206408109</v>
      </c>
      <c r="L42" s="304">
        <f t="shared" ca="1" si="0"/>
        <v>647.35658268191196</v>
      </c>
      <c r="M42" s="306">
        <f t="shared" ca="1" si="16"/>
        <v>1.3109884205469151</v>
      </c>
      <c r="N42" s="304">
        <f t="shared" ca="1" si="17"/>
        <v>75.114103487860092</v>
      </c>
      <c r="P42" s="310">
        <f t="shared" ca="1" si="18"/>
        <v>3</v>
      </c>
      <c r="Q42" s="304">
        <f t="shared" ca="1" si="19"/>
        <v>0</v>
      </c>
      <c r="R42" s="306">
        <f t="shared" ca="1" si="20"/>
        <v>0</v>
      </c>
      <c r="S42" s="307">
        <f t="shared" ca="1" si="21"/>
        <v>5.083000000000002</v>
      </c>
      <c r="T42" s="304">
        <f t="shared" ca="1" si="1"/>
        <v>49.86423000000002</v>
      </c>
      <c r="U42" s="311">
        <f t="shared" ca="1" si="2"/>
        <v>0</v>
      </c>
      <c r="V42" s="306">
        <f t="shared" ca="1" si="3"/>
        <v>1.150150856620769</v>
      </c>
      <c r="W42" s="304">
        <f t="shared" ca="1" si="4"/>
        <v>75.010026034822332</v>
      </c>
      <c r="Y42" s="314" t="str">
        <f t="shared" ca="1" si="22"/>
        <v/>
      </c>
      <c r="Z42" s="315" t="str">
        <f t="shared" ca="1" si="23"/>
        <v/>
      </c>
      <c r="AA42" s="316" t="str">
        <f t="shared" ca="1" si="24"/>
        <v/>
      </c>
      <c r="AC42" s="310" t="e">
        <f t="shared" ca="1" si="25"/>
        <v>#N/A</v>
      </c>
      <c r="AD42" s="323" t="e">
        <f t="shared" ca="1" si="26"/>
        <v>#N/A</v>
      </c>
      <c r="AE42" s="324">
        <f t="shared" ca="1" si="5"/>
        <v>630.26854206408109</v>
      </c>
      <c r="AG42" s="306">
        <f t="shared" ca="1" si="27"/>
        <v>-24.289562738253139</v>
      </c>
      <c r="AH42" s="304">
        <f t="shared" ca="1" si="28"/>
        <v>-14.808357418548027</v>
      </c>
    </row>
    <row r="43" spans="1:34" x14ac:dyDescent="0.2">
      <c r="A43" s="347">
        <f t="shared" ca="1" si="6"/>
        <v>0.01</v>
      </c>
      <c r="B43" s="304">
        <f t="shared" ca="1" si="7"/>
        <v>0.39000000000000018</v>
      </c>
      <c r="D43" s="306">
        <f t="shared" ca="1" si="8"/>
        <v>-3.7910080391129335</v>
      </c>
      <c r="E43" s="307">
        <f t="shared" ca="1" si="9"/>
        <v>-24.071782479819468</v>
      </c>
      <c r="F43" s="304">
        <f t="shared" ca="1" si="10"/>
        <v>24.368472535396272</v>
      </c>
      <c r="G43" s="306">
        <f t="shared" ca="1" si="11"/>
        <v>37.402106650271712</v>
      </c>
      <c r="H43" s="307">
        <f t="shared" ca="1" si="12"/>
        <v>140.60872621343117</v>
      </c>
      <c r="I43" s="304">
        <f t="shared" ca="1" si="13"/>
        <v>145.49821809644936</v>
      </c>
      <c r="J43" s="306">
        <f t="shared" ca="1" si="14"/>
        <v>148.13113947650407</v>
      </c>
      <c r="K43" s="307">
        <f t="shared" ca="1" si="15"/>
        <v>631.67583291533936</v>
      </c>
      <c r="L43" s="304">
        <f t="shared" ca="1" si="0"/>
        <v>648.81213950718836</v>
      </c>
      <c r="M43" s="306">
        <f t="shared" ca="1" si="16"/>
        <v>1.310815212990873</v>
      </c>
      <c r="N43" s="304">
        <f t="shared" ca="1" si="17"/>
        <v>75.104179425919099</v>
      </c>
      <c r="P43" s="310">
        <f t="shared" ca="1" si="18"/>
        <v>3</v>
      </c>
      <c r="Q43" s="304">
        <f t="shared" ca="1" si="19"/>
        <v>0</v>
      </c>
      <c r="R43" s="306">
        <f t="shared" ca="1" si="20"/>
        <v>0</v>
      </c>
      <c r="S43" s="307">
        <f t="shared" ca="1" si="21"/>
        <v>5.083000000000002</v>
      </c>
      <c r="T43" s="304">
        <f t="shared" ca="1" si="1"/>
        <v>49.86423000000002</v>
      </c>
      <c r="U43" s="311">
        <f t="shared" ca="1" si="2"/>
        <v>0</v>
      </c>
      <c r="V43" s="306">
        <f t="shared" ca="1" si="3"/>
        <v>1.1499888470924131</v>
      </c>
      <c r="W43" s="304">
        <f t="shared" ca="1" si="4"/>
        <v>74.750209832652786</v>
      </c>
      <c r="Y43" s="314" t="str">
        <f t="shared" ca="1" si="22"/>
        <v/>
      </c>
      <c r="Z43" s="315" t="str">
        <f t="shared" ca="1" si="23"/>
        <v/>
      </c>
      <c r="AA43" s="316" t="str">
        <f t="shared" ca="1" si="24"/>
        <v/>
      </c>
      <c r="AC43" s="310" t="e">
        <f t="shared" ca="1" si="25"/>
        <v>#N/A</v>
      </c>
      <c r="AD43" s="323" t="e">
        <f t="shared" ca="1" si="26"/>
        <v>#N/A</v>
      </c>
      <c r="AE43" s="324">
        <f t="shared" ca="1" si="5"/>
        <v>631.67583291533936</v>
      </c>
      <c r="AG43" s="306">
        <f t="shared" ca="1" si="27"/>
        <v>-24.237808333407337</v>
      </c>
      <c r="AH43" s="304">
        <f t="shared" ca="1" si="28"/>
        <v>-14.757038370022094</v>
      </c>
    </row>
    <row r="44" spans="1:34" x14ac:dyDescent="0.2">
      <c r="A44" s="347">
        <f t="shared" ca="1" si="6"/>
        <v>0.01</v>
      </c>
      <c r="B44" s="304">
        <f t="shared" ca="1" si="7"/>
        <v>0.40000000000000019</v>
      </c>
      <c r="D44" s="306">
        <f t="shared" ca="1" si="8"/>
        <v>-3.780338559147113</v>
      </c>
      <c r="E44" s="307">
        <f t="shared" ca="1" si="9"/>
        <v>-24.02172861805451</v>
      </c>
      <c r="F44" s="304">
        <f t="shared" ca="1" si="10"/>
        <v>24.317368390128763</v>
      </c>
      <c r="G44" s="306">
        <f t="shared" ca="1" si="11"/>
        <v>37.364303264680238</v>
      </c>
      <c r="H44" s="307">
        <f t="shared" ca="1" si="12"/>
        <v>140.36850892725062</v>
      </c>
      <c r="I44" s="304">
        <f t="shared" ca="1" si="13"/>
        <v>145.2563577159865</v>
      </c>
      <c r="J44" s="306">
        <f t="shared" ca="1" si="14"/>
        <v>148.50497152607883</v>
      </c>
      <c r="K44" s="307">
        <f t="shared" ca="1" si="15"/>
        <v>633.08071909104274</v>
      </c>
      <c r="L44" s="304">
        <f t="shared" ca="1" si="0"/>
        <v>650.26527160289993</v>
      </c>
      <c r="M44" s="306">
        <f t="shared" ca="1" si="16"/>
        <v>1.3106416039854292</v>
      </c>
      <c r="N44" s="304">
        <f t="shared" ca="1" si="17"/>
        <v>75.09423236262171</v>
      </c>
      <c r="P44" s="310">
        <f t="shared" ca="1" si="18"/>
        <v>3</v>
      </c>
      <c r="Q44" s="304">
        <f t="shared" ca="1" si="19"/>
        <v>0</v>
      </c>
      <c r="R44" s="306">
        <f t="shared" ca="1" si="20"/>
        <v>0</v>
      </c>
      <c r="S44" s="307">
        <f t="shared" ca="1" si="21"/>
        <v>5.083000000000002</v>
      </c>
      <c r="T44" s="304">
        <f t="shared" ca="1" si="1"/>
        <v>49.86423000000002</v>
      </c>
      <c r="U44" s="311">
        <f t="shared" ca="1" si="2"/>
        <v>0</v>
      </c>
      <c r="V44" s="306">
        <f t="shared" ca="1" si="3"/>
        <v>1.1498271364373658</v>
      </c>
      <c r="W44" s="304">
        <f t="shared" ca="1" si="4"/>
        <v>74.491426771808605</v>
      </c>
      <c r="Y44" s="314" t="str">
        <f t="shared" ca="1" si="22"/>
        <v/>
      </c>
      <c r="Z44" s="315" t="str">
        <f t="shared" ca="1" si="23"/>
        <v/>
      </c>
      <c r="AA44" s="316" t="str">
        <f t="shared" ca="1" si="24"/>
        <v/>
      </c>
      <c r="AC44" s="310" t="e">
        <f t="shared" ca="1" si="25"/>
        <v>#N/A</v>
      </c>
      <c r="AD44" s="323" t="e">
        <f t="shared" ca="1" si="26"/>
        <v>#N/A</v>
      </c>
      <c r="AE44" s="324">
        <f t="shared" ca="1" si="5"/>
        <v>633.08071909104274</v>
      </c>
      <c r="AG44" s="306">
        <f t="shared" ca="1" si="27"/>
        <v>-24.186256948246452</v>
      </c>
      <c r="AH44" s="304">
        <f t="shared" ca="1" si="28"/>
        <v>-14.705923634202785</v>
      </c>
    </row>
    <row r="45" spans="1:34" x14ac:dyDescent="0.2">
      <c r="A45" s="347">
        <f t="shared" ca="1" si="6"/>
        <v>0.01</v>
      </c>
      <c r="B45" s="304">
        <f t="shared" ca="1" si="7"/>
        <v>0.4100000000000002</v>
      </c>
      <c r="D45" s="306">
        <f t="shared" ca="1" si="8"/>
        <v>-3.7697098221960008</v>
      </c>
      <c r="E45" s="307">
        <f t="shared" ca="1" si="9"/>
        <v>-23.971873783158639</v>
      </c>
      <c r="F45" s="304">
        <f t="shared" ca="1" si="10"/>
        <v>24.266467497747779</v>
      </c>
      <c r="G45" s="306">
        <f t="shared" ca="1" si="11"/>
        <v>37.326606166458276</v>
      </c>
      <c r="H45" s="307">
        <f t="shared" ca="1" si="12"/>
        <v>140.12879018941902</v>
      </c>
      <c r="I45" s="304">
        <f t="shared" ca="1" si="13"/>
        <v>145.01501083631342</v>
      </c>
      <c r="J45" s="306">
        <f t="shared" ca="1" si="14"/>
        <v>148.87842607323452</v>
      </c>
      <c r="K45" s="307">
        <f t="shared" ca="1" si="15"/>
        <v>634.48320558662613</v>
      </c>
      <c r="L45" s="304">
        <f t="shared" ca="1" si="0"/>
        <v>651.71598409239937</v>
      </c>
      <c r="M45" s="306">
        <f t="shared" ca="1" si="16"/>
        <v>1.3104675925504412</v>
      </c>
      <c r="N45" s="304">
        <f t="shared" ca="1" si="17"/>
        <v>75.084262241809881</v>
      </c>
      <c r="P45" s="310">
        <f t="shared" ca="1" si="18"/>
        <v>3</v>
      </c>
      <c r="Q45" s="304">
        <f t="shared" ca="1" si="19"/>
        <v>0</v>
      </c>
      <c r="R45" s="306">
        <f t="shared" ca="1" si="20"/>
        <v>0</v>
      </c>
      <c r="S45" s="307">
        <f t="shared" ca="1" si="21"/>
        <v>5.083000000000002</v>
      </c>
      <c r="T45" s="304">
        <f t="shared" ca="1" si="1"/>
        <v>49.86423000000002</v>
      </c>
      <c r="U45" s="311">
        <f t="shared" ca="1" si="2"/>
        <v>0</v>
      </c>
      <c r="V45" s="306">
        <f t="shared" ca="1" si="3"/>
        <v>1.1496657239631587</v>
      </c>
      <c r="W45" s="304">
        <f t="shared" ca="1" si="4"/>
        <v>74.233671507445479</v>
      </c>
      <c r="Y45" s="314" t="str">
        <f t="shared" ca="1" si="22"/>
        <v/>
      </c>
      <c r="Z45" s="315" t="str">
        <f t="shared" ca="1" si="23"/>
        <v/>
      </c>
      <c r="AA45" s="316" t="str">
        <f t="shared" ca="1" si="24"/>
        <v/>
      </c>
      <c r="AC45" s="310" t="e">
        <f t="shared" ca="1" si="25"/>
        <v>#N/A</v>
      </c>
      <c r="AD45" s="323" t="e">
        <f t="shared" ca="1" si="26"/>
        <v>#N/A</v>
      </c>
      <c r="AE45" s="324">
        <f t="shared" ca="1" si="5"/>
        <v>634.48320558662613</v>
      </c>
      <c r="AG45" s="306">
        <f t="shared" ca="1" si="27"/>
        <v>-24.134907519884557</v>
      </c>
      <c r="AH45" s="304">
        <f t="shared" ca="1" si="28"/>
        <v>-14.655012152628089</v>
      </c>
    </row>
    <row r="46" spans="1:34" x14ac:dyDescent="0.2">
      <c r="A46" s="347">
        <f t="shared" ca="1" si="6"/>
        <v>0.01</v>
      </c>
      <c r="B46" s="304">
        <f t="shared" ca="1" si="7"/>
        <v>0.42000000000000021</v>
      </c>
      <c r="D46" s="306">
        <f t="shared" ca="1" si="8"/>
        <v>-3.7591216148012303</v>
      </c>
      <c r="E46" s="307">
        <f t="shared" ca="1" si="9"/>
        <v>-23.922216945411435</v>
      </c>
      <c r="F46" s="304">
        <f t="shared" ca="1" si="10"/>
        <v>24.215768806672148</v>
      </c>
      <c r="G46" s="306">
        <f t="shared" ca="1" si="11"/>
        <v>37.289014950310268</v>
      </c>
      <c r="H46" s="307">
        <f t="shared" ca="1" si="12"/>
        <v>139.88956801996491</v>
      </c>
      <c r="I46" s="304">
        <f t="shared" ca="1" si="13"/>
        <v>144.77417544844403</v>
      </c>
      <c r="J46" s="306">
        <f t="shared" ca="1" si="14"/>
        <v>149.25150417881835</v>
      </c>
      <c r="K46" s="307">
        <f t="shared" ca="1" si="15"/>
        <v>635.8832973776731</v>
      </c>
      <c r="L46" s="304">
        <f t="shared" ca="1" si="0"/>
        <v>653.16428207882132</v>
      </c>
      <c r="M46" s="306">
        <f t="shared" ca="1" si="16"/>
        <v>1.3102931777021254</v>
      </c>
      <c r="N46" s="304">
        <f t="shared" ca="1" si="17"/>
        <v>75.074269007116968</v>
      </c>
      <c r="P46" s="310">
        <f t="shared" ca="1" si="18"/>
        <v>3</v>
      </c>
      <c r="Q46" s="304">
        <f t="shared" ca="1" si="19"/>
        <v>0</v>
      </c>
      <c r="R46" s="306">
        <f t="shared" ca="1" si="20"/>
        <v>0</v>
      </c>
      <c r="S46" s="307">
        <f t="shared" ca="1" si="21"/>
        <v>5.083000000000002</v>
      </c>
      <c r="T46" s="304">
        <f t="shared" ca="1" si="1"/>
        <v>49.86423000000002</v>
      </c>
      <c r="U46" s="311">
        <f t="shared" ca="1" si="2"/>
        <v>0</v>
      </c>
      <c r="V46" s="306">
        <f t="shared" ca="1" si="3"/>
        <v>1.1495046089801606</v>
      </c>
      <c r="W46" s="304">
        <f t="shared" ca="1" si="4"/>
        <v>73.976938729758928</v>
      </c>
      <c r="Y46" s="314" t="str">
        <f t="shared" ca="1" si="22"/>
        <v/>
      </c>
      <c r="Z46" s="315" t="str">
        <f t="shared" ca="1" si="23"/>
        <v/>
      </c>
      <c r="AA46" s="316" t="str">
        <f t="shared" ca="1" si="24"/>
        <v/>
      </c>
      <c r="AC46" s="310" t="e">
        <f t="shared" ca="1" si="25"/>
        <v>#N/A</v>
      </c>
      <c r="AD46" s="323" t="e">
        <f t="shared" ca="1" si="26"/>
        <v>#N/A</v>
      </c>
      <c r="AE46" s="324">
        <f t="shared" ca="1" si="5"/>
        <v>635.8832973776731</v>
      </c>
      <c r="AG46" s="306">
        <f t="shared" ca="1" si="27"/>
        <v>-24.083758992364025</v>
      </c>
      <c r="AH46" s="304">
        <f t="shared" ca="1" si="28"/>
        <v>-14.60430287378427</v>
      </c>
    </row>
    <row r="47" spans="1:34" x14ac:dyDescent="0.2">
      <c r="A47" s="347">
        <f t="shared" ca="1" si="6"/>
        <v>0.01</v>
      </c>
      <c r="B47" s="304">
        <f t="shared" ca="1" si="7"/>
        <v>0.43000000000000022</v>
      </c>
      <c r="D47" s="306">
        <f t="shared" ca="1" si="8"/>
        <v>-3.7485737249011786</v>
      </c>
      <c r="E47" s="307">
        <f t="shared" ca="1" si="9"/>
        <v>-23.872757081842778</v>
      </c>
      <c r="F47" s="304">
        <f t="shared" ca="1" si="10"/>
        <v>24.165271272214056</v>
      </c>
      <c r="G47" s="306">
        <f t="shared" ca="1" si="11"/>
        <v>37.251529213061254</v>
      </c>
      <c r="H47" s="307">
        <f t="shared" ca="1" si="12"/>
        <v>139.65084044914647</v>
      </c>
      <c r="I47" s="304">
        <f t="shared" ca="1" si="13"/>
        <v>144.5338495538831</v>
      </c>
      <c r="J47" s="306">
        <f t="shared" ca="1" si="14"/>
        <v>149.6242068996352</v>
      </c>
      <c r="K47" s="307">
        <f t="shared" ca="1" si="15"/>
        <v>637.2809994200187</v>
      </c>
      <c r="L47" s="304">
        <f t="shared" ca="1" si="0"/>
        <v>654.61017064518842</v>
      </c>
      <c r="M47" s="306">
        <f t="shared" ca="1" si="16"/>
        <v>1.3101183584530398</v>
      </c>
      <c r="N47" s="304">
        <f t="shared" ca="1" si="17"/>
        <v>75.064252601966714</v>
      </c>
      <c r="P47" s="310">
        <f t="shared" ca="1" si="18"/>
        <v>3</v>
      </c>
      <c r="Q47" s="304">
        <f t="shared" ca="1" si="19"/>
        <v>0</v>
      </c>
      <c r="R47" s="306">
        <f t="shared" ca="1" si="20"/>
        <v>0</v>
      </c>
      <c r="S47" s="307">
        <f t="shared" ca="1" si="21"/>
        <v>5.083000000000002</v>
      </c>
      <c r="T47" s="304">
        <f t="shared" ca="1" si="1"/>
        <v>49.86423000000002</v>
      </c>
      <c r="U47" s="311">
        <f t="shared" ca="1" si="2"/>
        <v>0</v>
      </c>
      <c r="V47" s="306">
        <f t="shared" ca="1" si="3"/>
        <v>1.1493437908015633</v>
      </c>
      <c r="W47" s="304">
        <f t="shared" ca="1" si="4"/>
        <v>73.721223163708771</v>
      </c>
      <c r="Y47" s="314" t="str">
        <f t="shared" ca="1" si="22"/>
        <v/>
      </c>
      <c r="Z47" s="315" t="str">
        <f t="shared" ca="1" si="23"/>
        <v/>
      </c>
      <c r="AA47" s="316" t="str">
        <f t="shared" ca="1" si="24"/>
        <v/>
      </c>
      <c r="AC47" s="310" t="e">
        <f t="shared" ca="1" si="25"/>
        <v>#N/A</v>
      </c>
      <c r="AD47" s="323" t="e">
        <f t="shared" ca="1" si="26"/>
        <v>#N/A</v>
      </c>
      <c r="AE47" s="324">
        <f t="shared" ca="1" si="5"/>
        <v>637.2809994200187</v>
      </c>
      <c r="AG47" s="306">
        <f t="shared" ca="1" si="27"/>
        <v>-24.032810316600695</v>
      </c>
      <c r="AH47" s="304">
        <f t="shared" ca="1" si="28"/>
        <v>-14.553794753051131</v>
      </c>
    </row>
    <row r="48" spans="1:34" x14ac:dyDescent="0.2">
      <c r="A48" s="347">
        <f t="shared" ca="1" si="6"/>
        <v>0.01</v>
      </c>
      <c r="B48" s="304">
        <f t="shared" ca="1" si="7"/>
        <v>0.44000000000000022</v>
      </c>
      <c r="D48" s="306">
        <f t="shared" ca="1" si="8"/>
        <v>-3.7380659418199995</v>
      </c>
      <c r="E48" s="307">
        <f t="shared" ca="1" si="9"/>
        <v>-23.823493176179717</v>
      </c>
      <c r="F48" s="304">
        <f t="shared" ca="1" si="10"/>
        <v>24.114973856524834</v>
      </c>
      <c r="G48" s="306">
        <f t="shared" ca="1" si="11"/>
        <v>37.214148553643057</v>
      </c>
      <c r="H48" s="307">
        <f t="shared" ca="1" si="12"/>
        <v>139.41260551738466</v>
      </c>
      <c r="I48" s="304">
        <f t="shared" ca="1" si="13"/>
        <v>144.29403116455831</v>
      </c>
      <c r="J48" s="306">
        <f t="shared" ca="1" si="14"/>
        <v>149.99653528846872</v>
      </c>
      <c r="K48" s="307">
        <f t="shared" ca="1" si="15"/>
        <v>638.6763166498514</v>
      </c>
      <c r="L48" s="304">
        <f t="shared" ca="1" si="0"/>
        <v>656.05365485451421</v>
      </c>
      <c r="M48" s="306">
        <f t="shared" ca="1" si="16"/>
        <v>1.3099431338120708</v>
      </c>
      <c r="N48" s="304">
        <f t="shared" ca="1" si="17"/>
        <v>75.054212969572504</v>
      </c>
      <c r="P48" s="310">
        <f t="shared" ca="1" si="18"/>
        <v>3</v>
      </c>
      <c r="Q48" s="304">
        <f t="shared" ca="1" si="19"/>
        <v>0</v>
      </c>
      <c r="R48" s="306">
        <f t="shared" ca="1" si="20"/>
        <v>0</v>
      </c>
      <c r="S48" s="307">
        <f t="shared" ca="1" si="21"/>
        <v>5.083000000000002</v>
      </c>
      <c r="T48" s="304">
        <f t="shared" ca="1" si="1"/>
        <v>49.86423000000002</v>
      </c>
      <c r="U48" s="311">
        <f t="shared" ca="1" si="2"/>
        <v>0</v>
      </c>
      <c r="V48" s="306">
        <f t="shared" ca="1" si="3"/>
        <v>1.1491832687433641</v>
      </c>
      <c r="W48" s="304">
        <f t="shared" ca="1" si="4"/>
        <v>73.466519568745937</v>
      </c>
      <c r="Y48" s="314" t="str">
        <f t="shared" ca="1" si="22"/>
        <v/>
      </c>
      <c r="Z48" s="315" t="str">
        <f t="shared" ca="1" si="23"/>
        <v/>
      </c>
      <c r="AA48" s="316" t="str">
        <f t="shared" ca="1" si="24"/>
        <v/>
      </c>
      <c r="AC48" s="310" t="e">
        <f t="shared" ca="1" si="25"/>
        <v>#N/A</v>
      </c>
      <c r="AD48" s="323" t="e">
        <f t="shared" ca="1" si="26"/>
        <v>#N/A</v>
      </c>
      <c r="AE48" s="324">
        <f t="shared" ca="1" si="5"/>
        <v>638.6763166498514</v>
      </c>
      <c r="AG48" s="306">
        <f t="shared" ca="1" si="27"/>
        <v>-23.982060450329541</v>
      </c>
      <c r="AH48" s="304">
        <f t="shared" ca="1" si="28"/>
        <v>-14.503486752647795</v>
      </c>
    </row>
    <row r="49" spans="1:34" x14ac:dyDescent="0.2">
      <c r="A49" s="347">
        <f t="shared" ca="1" si="6"/>
        <v>0.01</v>
      </c>
      <c r="B49" s="304">
        <f t="shared" ca="1" si="7"/>
        <v>0.45000000000000023</v>
      </c>
      <c r="D49" s="306">
        <f t="shared" ca="1" si="8"/>
        <v>-3.7275980562567099</v>
      </c>
      <c r="E49" s="307">
        <f t="shared" ca="1" si="9"/>
        <v>-23.774424218793882</v>
      </c>
      <c r="F49" s="304">
        <f t="shared" ca="1" si="10"/>
        <v>24.064875528541215</v>
      </c>
      <c r="G49" s="306">
        <f t="shared" ca="1" si="11"/>
        <v>37.176872573080487</v>
      </c>
      <c r="H49" s="307">
        <f t="shared" ca="1" si="12"/>
        <v>139.17486127519672</v>
      </c>
      <c r="I49" s="304">
        <f t="shared" ca="1" si="13"/>
        <v>144.05471830275229</v>
      </c>
      <c r="J49" s="306">
        <f t="shared" ca="1" si="14"/>
        <v>150.36849039410234</v>
      </c>
      <c r="K49" s="307">
        <f t="shared" ca="1" si="15"/>
        <v>640.06925398381429</v>
      </c>
      <c r="L49" s="304">
        <f t="shared" ca="1" si="0"/>
        <v>657.4947397499069</v>
      </c>
      <c r="M49" s="306">
        <f t="shared" ca="1" si="16"/>
        <v>1.3097675027844167</v>
      </c>
      <c r="N49" s="304">
        <f t="shared" ca="1" si="17"/>
        <v>75.044150052936374</v>
      </c>
      <c r="P49" s="310">
        <f t="shared" ca="1" si="18"/>
        <v>3</v>
      </c>
      <c r="Q49" s="304">
        <f t="shared" ca="1" si="19"/>
        <v>0</v>
      </c>
      <c r="R49" s="306">
        <f t="shared" ca="1" si="20"/>
        <v>0</v>
      </c>
      <c r="S49" s="307">
        <f t="shared" ca="1" si="21"/>
        <v>5.083000000000002</v>
      </c>
      <c r="T49" s="304">
        <f t="shared" ca="1" si="1"/>
        <v>49.86423000000002</v>
      </c>
      <c r="U49" s="311">
        <f t="shared" ca="1" si="2"/>
        <v>0</v>
      </c>
      <c r="V49" s="306">
        <f t="shared" ca="1" si="3"/>
        <v>1.1490230421243541</v>
      </c>
      <c r="W49" s="304">
        <f t="shared" ca="1" si="4"/>
        <v>73.212822738541902</v>
      </c>
      <c r="Y49" s="314" t="str">
        <f t="shared" ca="1" si="22"/>
        <v/>
      </c>
      <c r="Z49" s="315" t="str">
        <f t="shared" ca="1" si="23"/>
        <v/>
      </c>
      <c r="AA49" s="316" t="str">
        <f t="shared" ca="1" si="24"/>
        <v/>
      </c>
      <c r="AC49" s="310" t="e">
        <f t="shared" ca="1" si="25"/>
        <v>#N/A</v>
      </c>
      <c r="AD49" s="323" t="e">
        <f t="shared" ca="1" si="26"/>
        <v>#N/A</v>
      </c>
      <c r="AE49" s="324">
        <f t="shared" ca="1" si="5"/>
        <v>640.06925398381429</v>
      </c>
      <c r="AG49" s="306">
        <f t="shared" ca="1" si="27"/>
        <v>-23.931508358050841</v>
      </c>
      <c r="AH49" s="304">
        <f t="shared" ca="1" si="28"/>
        <v>-14.453377841578972</v>
      </c>
    </row>
    <row r="50" spans="1:34" x14ac:dyDescent="0.2">
      <c r="A50" s="347">
        <f t="shared" ca="1" si="6"/>
        <v>0.01</v>
      </c>
      <c r="B50" s="304">
        <f t="shared" ca="1" si="7"/>
        <v>0.46000000000000024</v>
      </c>
      <c r="D50" s="306">
        <f t="shared" ca="1" si="8"/>
        <v>-3.7171698602744154</v>
      </c>
      <c r="E50" s="307">
        <f t="shared" ca="1" si="9"/>
        <v>-23.725549206649347</v>
      </c>
      <c r="F50" s="304">
        <f t="shared" ca="1" si="10"/>
        <v>24.014975263932129</v>
      </c>
      <c r="G50" s="306">
        <f t="shared" ca="1" si="11"/>
        <v>37.139700874477747</v>
      </c>
      <c r="H50" s="307">
        <f t="shared" ca="1" si="12"/>
        <v>138.93760578313024</v>
      </c>
      <c r="I50" s="304">
        <f t="shared" ca="1" si="13"/>
        <v>143.81590900103572</v>
      </c>
      <c r="J50" s="306">
        <f t="shared" ca="1" si="14"/>
        <v>150.74007326134014</v>
      </c>
      <c r="K50" s="307">
        <f t="shared" ca="1" si="15"/>
        <v>641.45981631910593</v>
      </c>
      <c r="L50" s="304">
        <f t="shared" ca="1" si="0"/>
        <v>658.93343035467194</v>
      </c>
      <c r="M50" s="306">
        <f t="shared" ca="1" si="16"/>
        <v>1.309591464371572</v>
      </c>
      <c r="N50" s="304">
        <f t="shared" ca="1" si="17"/>
        <v>75.034063794848194</v>
      </c>
      <c r="P50" s="310">
        <f t="shared" ca="1" si="18"/>
        <v>3</v>
      </c>
      <c r="Q50" s="304">
        <f t="shared" ca="1" si="19"/>
        <v>0</v>
      </c>
      <c r="R50" s="306">
        <f t="shared" ca="1" si="20"/>
        <v>0</v>
      </c>
      <c r="S50" s="307">
        <f t="shared" ca="1" si="21"/>
        <v>5.083000000000002</v>
      </c>
      <c r="T50" s="304">
        <f t="shared" ca="1" si="1"/>
        <v>49.86423000000002</v>
      </c>
      <c r="U50" s="311">
        <f t="shared" ca="1" si="2"/>
        <v>0</v>
      </c>
      <c r="V50" s="306">
        <f t="shared" ca="1" si="3"/>
        <v>1.1488631102661002</v>
      </c>
      <c r="W50" s="304">
        <f t="shared" ca="1" si="4"/>
        <v>72.960127500720361</v>
      </c>
      <c r="Y50" s="314" t="str">
        <f t="shared" ca="1" si="22"/>
        <v/>
      </c>
      <c r="Z50" s="315" t="str">
        <f t="shared" ca="1" si="23"/>
        <v/>
      </c>
      <c r="AA50" s="316" t="str">
        <f t="shared" ca="1" si="24"/>
        <v/>
      </c>
      <c r="AC50" s="310" t="e">
        <f t="shared" ca="1" si="25"/>
        <v>#N/A</v>
      </c>
      <c r="AD50" s="323" t="e">
        <f t="shared" ca="1" si="26"/>
        <v>#N/A</v>
      </c>
      <c r="AE50" s="324">
        <f t="shared" ca="1" si="5"/>
        <v>641.45981631910593</v>
      </c>
      <c r="AG50" s="306">
        <f t="shared" ca="1" si="27"/>
        <v>-23.881153010976846</v>
      </c>
      <c r="AH50" s="304">
        <f t="shared" ca="1" si="28"/>
        <v>-14.403466995581718</v>
      </c>
    </row>
    <row r="51" spans="1:34" x14ac:dyDescent="0.2">
      <c r="A51" s="347">
        <f t="shared" ca="1" si="6"/>
        <v>0.01</v>
      </c>
      <c r="B51" s="304">
        <f t="shared" ca="1" si="7"/>
        <v>0.47000000000000025</v>
      </c>
      <c r="D51" s="306">
        <f t="shared" ca="1" si="8"/>
        <v>-3.7067811472896084</v>
      </c>
      <c r="E51" s="307">
        <f t="shared" ca="1" si="9"/>
        <v>-23.676867143250924</v>
      </c>
      <c r="F51" s="304">
        <f t="shared" ca="1" si="10"/>
        <v>23.965272045045865</v>
      </c>
      <c r="G51" s="306">
        <f t="shared" ca="1" si="11"/>
        <v>37.102633063004852</v>
      </c>
      <c r="H51" s="307">
        <f t="shared" ca="1" si="12"/>
        <v>138.70083711169772</v>
      </c>
      <c r="I51" s="304">
        <f t="shared" ca="1" si="13"/>
        <v>143.57760130220063</v>
      </c>
      <c r="J51" s="306">
        <f t="shared" ca="1" si="14"/>
        <v>151.11128493102757</v>
      </c>
      <c r="K51" s="307">
        <f t="shared" ca="1" si="15"/>
        <v>642.84800853358001</v>
      </c>
      <c r="L51" s="304">
        <f t="shared" ca="1" si="0"/>
        <v>660.36973167241399</v>
      </c>
      <c r="M51" s="306">
        <f t="shared" ca="1" si="16"/>
        <v>1.3094150175713124</v>
      </c>
      <c r="N51" s="304">
        <f t="shared" ca="1" si="17"/>
        <v>75.023954137884729</v>
      </c>
      <c r="P51" s="310">
        <f t="shared" ca="1" si="18"/>
        <v>3</v>
      </c>
      <c r="Q51" s="304">
        <f t="shared" ca="1" si="19"/>
        <v>0</v>
      </c>
      <c r="R51" s="306">
        <f t="shared" ca="1" si="20"/>
        <v>0</v>
      </c>
      <c r="S51" s="307">
        <f t="shared" ca="1" si="21"/>
        <v>5.083000000000002</v>
      </c>
      <c r="T51" s="304">
        <f t="shared" ca="1" si="1"/>
        <v>49.86423000000002</v>
      </c>
      <c r="U51" s="311">
        <f t="shared" ca="1" si="2"/>
        <v>0</v>
      </c>
      <c r="V51" s="306">
        <f t="shared" ca="1" si="3"/>
        <v>1.1487034724929339</v>
      </c>
      <c r="W51" s="304">
        <f t="shared" ca="1" si="4"/>
        <v>72.708428716591968</v>
      </c>
      <c r="Y51" s="314" t="str">
        <f t="shared" ca="1" si="22"/>
        <v/>
      </c>
      <c r="Z51" s="315" t="str">
        <f t="shared" ca="1" si="23"/>
        <v/>
      </c>
      <c r="AA51" s="316" t="str">
        <f t="shared" ca="1" si="24"/>
        <v/>
      </c>
      <c r="AC51" s="310" t="e">
        <f t="shared" ca="1" si="25"/>
        <v>#N/A</v>
      </c>
      <c r="AD51" s="323" t="e">
        <f t="shared" ca="1" si="26"/>
        <v>#N/A</v>
      </c>
      <c r="AE51" s="324">
        <f t="shared" ca="1" si="5"/>
        <v>642.84800853358001</v>
      </c>
      <c r="AG51" s="306">
        <f t="shared" ca="1" si="27"/>
        <v>-23.830993386978854</v>
      </c>
      <c r="AH51" s="304">
        <f t="shared" ca="1" si="28"/>
        <v>-14.35375319707266</v>
      </c>
    </row>
    <row r="52" spans="1:34" x14ac:dyDescent="0.2">
      <c r="A52" s="347">
        <f t="shared" ca="1" si="6"/>
        <v>0.01</v>
      </c>
      <c r="B52" s="304">
        <f t="shared" ca="1" si="7"/>
        <v>0.48000000000000026</v>
      </c>
      <c r="D52" s="306">
        <f t="shared" ca="1" si="8"/>
        <v>-3.6964317120615968</v>
      </c>
      <c r="E52" s="307">
        <f t="shared" ca="1" si="9"/>
        <v>-23.628377038593051</v>
      </c>
      <c r="F52" s="304">
        <f t="shared" ca="1" si="10"/>
        <v>23.915764860857909</v>
      </c>
      <c r="G52" s="306">
        <f t="shared" ca="1" si="11"/>
        <v>37.065668745884238</v>
      </c>
      <c r="H52" s="307">
        <f t="shared" ca="1" si="12"/>
        <v>138.46455334131178</v>
      </c>
      <c r="I52" s="304">
        <f t="shared" ca="1" si="13"/>
        <v>143.33979325919441</v>
      </c>
      <c r="J52" s="306">
        <f t="shared" ca="1" si="14"/>
        <v>151.48212644007202</v>
      </c>
      <c r="K52" s="307">
        <f t="shared" ca="1" si="15"/>
        <v>644.23383548584502</v>
      </c>
      <c r="L52" s="304">
        <f t="shared" ca="1" si="0"/>
        <v>661.80364868713798</v>
      </c>
      <c r="M52" s="306">
        <f t="shared" ca="1" si="16"/>
        <v>1.3092381613776787</v>
      </c>
      <c r="N52" s="304">
        <f t="shared" ca="1" si="17"/>
        <v>75.01382102440877</v>
      </c>
      <c r="P52" s="310">
        <f t="shared" ca="1" si="18"/>
        <v>3</v>
      </c>
      <c r="Q52" s="304">
        <f t="shared" ca="1" si="19"/>
        <v>0</v>
      </c>
      <c r="R52" s="306">
        <f t="shared" ca="1" si="20"/>
        <v>0</v>
      </c>
      <c r="S52" s="307">
        <f t="shared" ca="1" si="21"/>
        <v>5.083000000000002</v>
      </c>
      <c r="T52" s="304">
        <f t="shared" ca="1" si="1"/>
        <v>49.86423000000002</v>
      </c>
      <c r="U52" s="311">
        <f t="shared" ca="1" si="2"/>
        <v>0</v>
      </c>
      <c r="V52" s="306">
        <f t="shared" ca="1" si="3"/>
        <v>1.1485441281319331</v>
      </c>
      <c r="W52" s="304">
        <f t="shared" ca="1" si="4"/>
        <v>72.457721280890624</v>
      </c>
      <c r="Y52" s="314" t="str">
        <f t="shared" ca="1" si="22"/>
        <v/>
      </c>
      <c r="Z52" s="315" t="str">
        <f t="shared" ca="1" si="23"/>
        <v/>
      </c>
      <c r="AA52" s="316" t="str">
        <f t="shared" ca="1" si="24"/>
        <v/>
      </c>
      <c r="AC52" s="310" t="e">
        <f t="shared" ca="1" si="25"/>
        <v>#N/A</v>
      </c>
      <c r="AD52" s="323" t="e">
        <f t="shared" ca="1" si="26"/>
        <v>#N/A</v>
      </c>
      <c r="AE52" s="324">
        <f t="shared" ca="1" si="5"/>
        <v>644.23383548584502</v>
      </c>
      <c r="AG52" s="306">
        <f t="shared" ca="1" si="27"/>
        <v>-23.781028470534952</v>
      </c>
      <c r="AH52" s="304">
        <f t="shared" ca="1" si="28"/>
        <v>-14.304235435095798</v>
      </c>
    </row>
    <row r="53" spans="1:34" x14ac:dyDescent="0.2">
      <c r="A53" s="347">
        <f t="shared" ca="1" si="6"/>
        <v>0.01</v>
      </c>
      <c r="B53" s="304">
        <f t="shared" ca="1" si="7"/>
        <v>0.49000000000000027</v>
      </c>
      <c r="D53" s="306">
        <f t="shared" ca="1" si="8"/>
        <v>-3.6861213506819821</v>
      </c>
      <c r="E53" s="307">
        <f t="shared" ca="1" si="9"/>
        <v>-23.580077909109026</v>
      </c>
      <c r="F53" s="304">
        <f t="shared" ca="1" si="10"/>
        <v>23.86645270691908</v>
      </c>
      <c r="G53" s="306">
        <f t="shared" ca="1" si="11"/>
        <v>37.028807532377421</v>
      </c>
      <c r="H53" s="307">
        <f t="shared" ca="1" si="12"/>
        <v>138.22875256222071</v>
      </c>
      <c r="I53" s="304">
        <f t="shared" ca="1" si="13"/>
        <v>143.10248293505424</v>
      </c>
      <c r="J53" s="306">
        <f t="shared" ca="1" si="14"/>
        <v>151.85259882146332</v>
      </c>
      <c r="K53" s="307">
        <f t="shared" ca="1" si="15"/>
        <v>645.61730201536272</v>
      </c>
      <c r="L53" s="304">
        <f t="shared" ca="1" si="0"/>
        <v>663.23518636335064</v>
      </c>
      <c r="M53" s="306">
        <f t="shared" ca="1" si="16"/>
        <v>1.3090608947809619</v>
      </c>
      <c r="N53" s="304">
        <f t="shared" ca="1" si="17"/>
        <v>75.003664396568254</v>
      </c>
      <c r="P53" s="310">
        <f t="shared" ca="1" si="18"/>
        <v>3</v>
      </c>
      <c r="Q53" s="304">
        <f t="shared" ca="1" si="19"/>
        <v>0</v>
      </c>
      <c r="R53" s="306">
        <f t="shared" ca="1" si="20"/>
        <v>0</v>
      </c>
      <c r="S53" s="307">
        <f t="shared" ca="1" si="21"/>
        <v>5.083000000000002</v>
      </c>
      <c r="T53" s="304">
        <f t="shared" ca="1" si="1"/>
        <v>49.86423000000002</v>
      </c>
      <c r="U53" s="311">
        <f t="shared" ca="1" si="2"/>
        <v>0</v>
      </c>
      <c r="V53" s="306">
        <f t="shared" ca="1" si="3"/>
        <v>1.1483850765129107</v>
      </c>
      <c r="W53" s="304">
        <f t="shared" ca="1" si="4"/>
        <v>72.208000121513095</v>
      </c>
      <c r="Y53" s="314" t="str">
        <f t="shared" ca="1" si="22"/>
        <v/>
      </c>
      <c r="Z53" s="315" t="str">
        <f t="shared" ca="1" si="23"/>
        <v/>
      </c>
      <c r="AA53" s="316" t="str">
        <f t="shared" ca="1" si="24"/>
        <v/>
      </c>
      <c r="AC53" s="310" t="e">
        <f t="shared" ca="1" si="25"/>
        <v>#N/A</v>
      </c>
      <c r="AD53" s="323" t="e">
        <f t="shared" ca="1" si="26"/>
        <v>#N/A</v>
      </c>
      <c r="AE53" s="324">
        <f t="shared" ca="1" si="5"/>
        <v>645.61730201536272</v>
      </c>
      <c r="AG53" s="306">
        <f t="shared" ca="1" si="27"/>
        <v>-23.731257252678009</v>
      </c>
      <c r="AH53" s="304">
        <f t="shared" ca="1" si="28"/>
        <v>-14.254912705270627</v>
      </c>
    </row>
    <row r="54" spans="1:34" x14ac:dyDescent="0.2">
      <c r="A54" s="347">
        <f t="shared" ca="1" si="6"/>
        <v>0.01</v>
      </c>
      <c r="B54" s="304">
        <f t="shared" ca="1" si="7"/>
        <v>0.50000000000000022</v>
      </c>
      <c r="D54" s="306">
        <f t="shared" ca="1" si="8"/>
        <v>-3.675849860564278</v>
      </c>
      <c r="E54" s="307">
        <f t="shared" ca="1" si="9"/>
        <v>-23.531968777620804</v>
      </c>
      <c r="F54" s="304">
        <f t="shared" ca="1" si="10"/>
        <v>23.817334585304266</v>
      </c>
      <c r="G54" s="306">
        <f t="shared" ca="1" si="11"/>
        <v>36.992049033771778</v>
      </c>
      <c r="H54" s="307">
        <f t="shared" ca="1" si="12"/>
        <v>137.99343287444449</v>
      </c>
      <c r="I54" s="304">
        <f t="shared" ca="1" si="13"/>
        <v>142.86566840284195</v>
      </c>
      <c r="J54" s="306">
        <f t="shared" ca="1" si="14"/>
        <v>152.22270310429406</v>
      </c>
      <c r="K54" s="307">
        <f t="shared" ca="1" si="15"/>
        <v>646.998412942546</v>
      </c>
      <c r="L54" s="304">
        <f t="shared" ca="1" si="0"/>
        <v>664.66434964615883</v>
      </c>
      <c r="M54" s="306">
        <f t="shared" ca="1" si="16"/>
        <v>1.3088832167676858</v>
      </c>
      <c r="N54" s="304">
        <f t="shared" ca="1" si="17"/>
        <v>74.993484196295256</v>
      </c>
      <c r="P54" s="310">
        <f t="shared" ca="1" si="18"/>
        <v>3</v>
      </c>
      <c r="Q54" s="304">
        <f t="shared" ca="1" si="19"/>
        <v>0</v>
      </c>
      <c r="R54" s="306">
        <f t="shared" ca="1" si="20"/>
        <v>0</v>
      </c>
      <c r="S54" s="307">
        <f t="shared" ca="1" si="21"/>
        <v>5.083000000000002</v>
      </c>
      <c r="T54" s="304">
        <f t="shared" ca="1" si="1"/>
        <v>49.86423000000002</v>
      </c>
      <c r="U54" s="311">
        <f t="shared" ca="1" si="2"/>
        <v>0</v>
      </c>
      <c r="V54" s="306">
        <f t="shared" ca="1" si="3"/>
        <v>1.1482263169683982</v>
      </c>
      <c r="W54" s="304">
        <f t="shared" ca="1" si="4"/>
        <v>71.959260199260072</v>
      </c>
      <c r="Y54" s="314" t="str">
        <f t="shared" ca="1" si="22"/>
        <v/>
      </c>
      <c r="Z54" s="315" t="str">
        <f t="shared" ca="1" si="23"/>
        <v/>
      </c>
      <c r="AA54" s="316" t="str">
        <f t="shared" ca="1" si="24"/>
        <v/>
      </c>
      <c r="AC54" s="310" t="e">
        <f t="shared" ca="1" si="25"/>
        <v>#N/A</v>
      </c>
      <c r="AD54" s="323" t="e">
        <f t="shared" ca="1" si="26"/>
        <v>#N/A</v>
      </c>
      <c r="AE54" s="324">
        <f t="shared" ca="1" si="5"/>
        <v>646.998412942546</v>
      </c>
      <c r="AG54" s="306">
        <f t="shared" ca="1" si="27"/>
        <v>-23.681678730944348</v>
      </c>
      <c r="AH54" s="304">
        <f t="shared" ca="1" si="28"/>
        <v>-14.205784009740913</v>
      </c>
    </row>
    <row r="55" spans="1:34" x14ac:dyDescent="0.2">
      <c r="A55" s="347">
        <f t="shared" ca="1" si="6"/>
        <v>0.01</v>
      </c>
      <c r="B55" s="304">
        <f t="shared" ca="1" si="7"/>
        <v>0.51000000000000023</v>
      </c>
      <c r="D55" s="306">
        <f t="shared" ca="1" si="8"/>
        <v>-3.6656170404335997</v>
      </c>
      <c r="E55" s="307">
        <f t="shared" ca="1" si="9"/>
        <v>-23.484048673289138</v>
      </c>
      <c r="F55" s="304">
        <f t="shared" ca="1" si="10"/>
        <v>23.768409504561522</v>
      </c>
      <c r="G55" s="306">
        <f t="shared" ca="1" si="11"/>
        <v>36.955392863367443</v>
      </c>
      <c r="H55" s="307">
        <f t="shared" ca="1" si="12"/>
        <v>137.75859238771162</v>
      </c>
      <c r="I55" s="304">
        <f t="shared" ca="1" si="13"/>
        <v>142.62934774557971</v>
      </c>
      <c r="J55" s="306">
        <f t="shared" ca="1" si="14"/>
        <v>152.59244031377975</v>
      </c>
      <c r="K55" s="307">
        <f t="shared" ca="1" si="15"/>
        <v>648.37717306885679</v>
      </c>
      <c r="L55" s="304">
        <f t="shared" ca="1" si="0"/>
        <v>666.09114346137096</v>
      </c>
      <c r="M55" s="306">
        <f t="shared" ca="1" si="16"/>
        <v>1.3087051263205931</v>
      </c>
      <c r="N55" s="304">
        <f t="shared" ca="1" si="17"/>
        <v>74.983280365305248</v>
      </c>
      <c r="P55" s="310">
        <f t="shared" ca="1" si="18"/>
        <v>3</v>
      </c>
      <c r="Q55" s="304">
        <f t="shared" ca="1" si="19"/>
        <v>0</v>
      </c>
      <c r="R55" s="306">
        <f t="shared" ca="1" si="20"/>
        <v>0</v>
      </c>
      <c r="S55" s="307">
        <f t="shared" ca="1" si="21"/>
        <v>5.083000000000002</v>
      </c>
      <c r="T55" s="304">
        <f t="shared" ca="1" si="1"/>
        <v>49.86423000000002</v>
      </c>
      <c r="U55" s="311">
        <f t="shared" ca="1" si="2"/>
        <v>0</v>
      </c>
      <c r="V55" s="306">
        <f t="shared" ca="1" si="3"/>
        <v>1.1480678488336329</v>
      </c>
      <c r="W55" s="304">
        <f t="shared" ca="1" si="4"/>
        <v>71.711496507580563</v>
      </c>
      <c r="Y55" s="314" t="str">
        <f t="shared" ca="1" si="22"/>
        <v/>
      </c>
      <c r="Z55" s="315" t="str">
        <f t="shared" ca="1" si="23"/>
        <v/>
      </c>
      <c r="AA55" s="316" t="str">
        <f t="shared" ca="1" si="24"/>
        <v/>
      </c>
      <c r="AC55" s="310" t="e">
        <f t="shared" ca="1" si="25"/>
        <v>#N/A</v>
      </c>
      <c r="AD55" s="323" t="e">
        <f t="shared" ca="1" si="26"/>
        <v>#N/A</v>
      </c>
      <c r="AE55" s="324">
        <f t="shared" ca="1" si="5"/>
        <v>648.37717306885679</v>
      </c>
      <c r="AG55" s="306">
        <f t="shared" ca="1" si="27"/>
        <v>-23.632291909322696</v>
      </c>
      <c r="AH55" s="304">
        <f t="shared" ca="1" si="28"/>
        <v>-14.156848357123755</v>
      </c>
    </row>
    <row r="56" spans="1:34" x14ac:dyDescent="0.2">
      <c r="A56" s="347">
        <f t="shared" ca="1" si="6"/>
        <v>0.01</v>
      </c>
      <c r="B56" s="304">
        <f t="shared" ca="1" si="7"/>
        <v>0.52000000000000024</v>
      </c>
      <c r="D56" s="306">
        <f t="shared" ca="1" si="8"/>
        <v>-3.6554226903164522</v>
      </c>
      <c r="E56" s="307">
        <f t="shared" ca="1" si="9"/>
        <v>-23.436316631564303</v>
      </c>
      <c r="F56" s="304">
        <f t="shared" ca="1" si="10"/>
        <v>23.719676479661732</v>
      </c>
      <c r="G56" s="306">
        <f t="shared" ca="1" si="11"/>
        <v>36.91883863646428</v>
      </c>
      <c r="H56" s="307">
        <f t="shared" ca="1" si="12"/>
        <v>137.52422922139598</v>
      </c>
      <c r="I56" s="304">
        <f t="shared" ca="1" si="13"/>
        <v>142.39351905618582</v>
      </c>
      <c r="J56" s="306">
        <f t="shared" ca="1" si="14"/>
        <v>152.96181147127891</v>
      </c>
      <c r="K56" s="307">
        <f t="shared" ca="1" si="15"/>
        <v>649.75358717690233</v>
      </c>
      <c r="L56" s="304">
        <f t="shared" ca="1" si="0"/>
        <v>667.51557271559398</v>
      </c>
      <c r="M56" s="306">
        <f t="shared" ca="1" si="16"/>
        <v>1.3085266224186272</v>
      </c>
      <c r="N56" s="304">
        <f t="shared" ca="1" si="17"/>
        <v>74.973052845095992</v>
      </c>
      <c r="P56" s="310">
        <f t="shared" ca="1" si="18"/>
        <v>3</v>
      </c>
      <c r="Q56" s="304">
        <f t="shared" ca="1" si="19"/>
        <v>0</v>
      </c>
      <c r="R56" s="306">
        <f t="shared" ca="1" si="20"/>
        <v>0</v>
      </c>
      <c r="S56" s="307">
        <f t="shared" ca="1" si="21"/>
        <v>5.083000000000002</v>
      </c>
      <c r="T56" s="304">
        <f t="shared" ca="1" si="1"/>
        <v>49.86423000000002</v>
      </c>
      <c r="U56" s="311">
        <f t="shared" ca="1" si="2"/>
        <v>0</v>
      </c>
      <c r="V56" s="306">
        <f t="shared" ca="1" si="3"/>
        <v>1.1479096714465422</v>
      </c>
      <c r="W56" s="304">
        <f t="shared" ca="1" si="4"/>
        <v>71.46470407231773</v>
      </c>
      <c r="Y56" s="314" t="str">
        <f t="shared" ca="1" si="22"/>
        <v/>
      </c>
      <c r="Z56" s="315" t="str">
        <f t="shared" ca="1" si="23"/>
        <v/>
      </c>
      <c r="AA56" s="316" t="str">
        <f t="shared" ca="1" si="24"/>
        <v/>
      </c>
      <c r="AC56" s="310" t="e">
        <f t="shared" ca="1" si="25"/>
        <v>#N/A</v>
      </c>
      <c r="AD56" s="323" t="e">
        <f t="shared" ca="1" si="26"/>
        <v>#N/A</v>
      </c>
      <c r="AE56" s="324">
        <f t="shared" ca="1" si="5"/>
        <v>649.75358717690233</v>
      </c>
      <c r="AG56" s="306">
        <f t="shared" ca="1" si="27"/>
        <v>-23.583095798203772</v>
      </c>
      <c r="AH56" s="304">
        <f t="shared" ca="1" si="28"/>
        <v>-14.108104762459282</v>
      </c>
    </row>
    <row r="57" spans="1:34" x14ac:dyDescent="0.2">
      <c r="A57" s="347">
        <f t="shared" ca="1" si="6"/>
        <v>0.01</v>
      </c>
      <c r="B57" s="304">
        <f t="shared" ca="1" si="7"/>
        <v>0.53000000000000025</v>
      </c>
      <c r="D57" s="306">
        <f t="shared" ca="1" si="8"/>
        <v>-3.645266611530622</v>
      </c>
      <c r="E57" s="307">
        <f t="shared" ca="1" si="9"/>
        <v>-23.388771694137169</v>
      </c>
      <c r="F57" s="304">
        <f t="shared" ca="1" si="10"/>
        <v>23.671134531948653</v>
      </c>
      <c r="G57" s="306">
        <f t="shared" ca="1" si="11"/>
        <v>36.88238597034897</v>
      </c>
      <c r="H57" s="307">
        <f t="shared" ca="1" si="12"/>
        <v>137.2903415044546</v>
      </c>
      <c r="I57" s="304">
        <f t="shared" ca="1" si="13"/>
        <v>142.1581804374112</v>
      </c>
      <c r="J57" s="306">
        <f t="shared" ca="1" si="14"/>
        <v>153.33081759431298</v>
      </c>
      <c r="K57" s="307">
        <f t="shared" ca="1" si="15"/>
        <v>651.12766003053162</v>
      </c>
      <c r="L57" s="304">
        <f t="shared" ca="1" si="0"/>
        <v>668.93764229633246</v>
      </c>
      <c r="M57" s="306">
        <f t="shared" ca="1" si="16"/>
        <v>1.308347704036918</v>
      </c>
      <c r="N57" s="304">
        <f t="shared" ca="1" si="17"/>
        <v>74.962801576946745</v>
      </c>
      <c r="P57" s="310">
        <f t="shared" ca="1" si="18"/>
        <v>3</v>
      </c>
      <c r="Q57" s="304">
        <f t="shared" ca="1" si="19"/>
        <v>0</v>
      </c>
      <c r="R57" s="306">
        <f t="shared" ca="1" si="20"/>
        <v>0</v>
      </c>
      <c r="S57" s="307">
        <f t="shared" ca="1" si="21"/>
        <v>5.083000000000002</v>
      </c>
      <c r="T57" s="304">
        <f t="shared" ca="1" si="1"/>
        <v>49.86423000000002</v>
      </c>
      <c r="U57" s="311">
        <f t="shared" ca="1" si="2"/>
        <v>0</v>
      </c>
      <c r="V57" s="306">
        <f t="shared" ca="1" si="3"/>
        <v>1.1477517841477312</v>
      </c>
      <c r="W57" s="304">
        <f t="shared" ca="1" si="4"/>
        <v>71.218877951457557</v>
      </c>
      <c r="Y57" s="314" t="str">
        <f t="shared" ca="1" si="22"/>
        <v/>
      </c>
      <c r="Z57" s="315" t="str">
        <f t="shared" ca="1" si="23"/>
        <v/>
      </c>
      <c r="AA57" s="316" t="str">
        <f t="shared" ca="1" si="24"/>
        <v/>
      </c>
      <c r="AC57" s="310" t="e">
        <f t="shared" ca="1" si="25"/>
        <v>#N/A</v>
      </c>
      <c r="AD57" s="323" t="e">
        <f t="shared" ca="1" si="26"/>
        <v>#N/A</v>
      </c>
      <c r="AE57" s="324">
        <f t="shared" ca="1" si="5"/>
        <v>651.12766003053162</v>
      </c>
      <c r="AG57" s="306">
        <f t="shared" ca="1" si="27"/>
        <v>-23.534089414330197</v>
      </c>
      <c r="AH57" s="304">
        <f t="shared" ca="1" si="28"/>
        <v>-14.059552247160672</v>
      </c>
    </row>
    <row r="58" spans="1:34" x14ac:dyDescent="0.2">
      <c r="A58" s="347">
        <f t="shared" ca="1" si="6"/>
        <v>0.01</v>
      </c>
      <c r="B58" s="304">
        <f t="shared" ca="1" si="7"/>
        <v>0.54000000000000026</v>
      </c>
      <c r="D58" s="306">
        <f t="shared" ca="1" si="8"/>
        <v>-3.6351486066751324</v>
      </c>
      <c r="E58" s="307">
        <f t="shared" ca="1" si="9"/>
        <v>-23.341412908890753</v>
      </c>
      <c r="F58" s="304">
        <f t="shared" ca="1" si="10"/>
        <v>23.622782689089448</v>
      </c>
      <c r="G58" s="306">
        <f t="shared" ca="1" si="11"/>
        <v>36.846034484282221</v>
      </c>
      <c r="H58" s="307">
        <f t="shared" ca="1" si="12"/>
        <v>137.05692737536569</v>
      </c>
      <c r="I58" s="304">
        <f t="shared" ca="1" si="13"/>
        <v>141.92333000177661</v>
      </c>
      <c r="J58" s="306">
        <f t="shared" ca="1" si="14"/>
        <v>153.69945969658613</v>
      </c>
      <c r="K58" s="307">
        <f t="shared" ca="1" si="15"/>
        <v>652.49939637493071</v>
      </c>
      <c r="L58" s="304">
        <f t="shared" ca="1" si="0"/>
        <v>670.35735707208551</v>
      </c>
      <c r="M58" s="306">
        <f t="shared" ca="1" si="16"/>
        <v>1.3081683701467652</v>
      </c>
      <c r="N58" s="304">
        <f t="shared" ca="1" si="17"/>
        <v>74.952526501917319</v>
      </c>
      <c r="P58" s="310">
        <f t="shared" ca="1" si="18"/>
        <v>3</v>
      </c>
      <c r="Q58" s="304">
        <f t="shared" ca="1" si="19"/>
        <v>0</v>
      </c>
      <c r="R58" s="306">
        <f t="shared" ca="1" si="20"/>
        <v>0</v>
      </c>
      <c r="S58" s="307">
        <f t="shared" ca="1" si="21"/>
        <v>5.083000000000002</v>
      </c>
      <c r="T58" s="304">
        <f t="shared" ca="1" si="1"/>
        <v>49.86423000000002</v>
      </c>
      <c r="U58" s="311">
        <f t="shared" ca="1" si="2"/>
        <v>0</v>
      </c>
      <c r="V58" s="306">
        <f t="shared" ca="1" si="3"/>
        <v>1.1475941862804666</v>
      </c>
      <c r="W58" s="304">
        <f t="shared" ca="1" si="4"/>
        <v>70.97401323487982</v>
      </c>
      <c r="Y58" s="314" t="str">
        <f t="shared" ca="1" si="22"/>
        <v/>
      </c>
      <c r="Z58" s="315" t="str">
        <f t="shared" ca="1" si="23"/>
        <v/>
      </c>
      <c r="AA58" s="316" t="str">
        <f t="shared" ca="1" si="24"/>
        <v/>
      </c>
      <c r="AC58" s="310" t="e">
        <f t="shared" ca="1" si="25"/>
        <v>#N/A</v>
      </c>
      <c r="AD58" s="323" t="e">
        <f t="shared" ca="1" si="26"/>
        <v>#N/A</v>
      </c>
      <c r="AE58" s="324">
        <f t="shared" ca="1" si="5"/>
        <v>652.49939637493071</v>
      </c>
      <c r="AG58" s="306">
        <f t="shared" ca="1" si="27"/>
        <v>-23.485271780746935</v>
      </c>
      <c r="AH58" s="304">
        <f t="shared" ca="1" si="28"/>
        <v>-14.011189838964691</v>
      </c>
    </row>
    <row r="59" spans="1:34" x14ac:dyDescent="0.2">
      <c r="A59" s="347">
        <f t="shared" ca="1" si="6"/>
        <v>0.01</v>
      </c>
      <c r="B59" s="304">
        <f t="shared" ca="1" si="7"/>
        <v>0.55000000000000027</v>
      </c>
      <c r="D59" s="306">
        <f t="shared" ca="1" si="8"/>
        <v>-3.6250684796203272</v>
      </c>
      <c r="E59" s="307">
        <f t="shared" ca="1" si="9"/>
        <v>-23.29423932985225</v>
      </c>
      <c r="F59" s="304">
        <f t="shared" ca="1" si="10"/>
        <v>23.574619985025681</v>
      </c>
      <c r="G59" s="306">
        <f t="shared" ca="1" si="11"/>
        <v>36.80978379948602</v>
      </c>
      <c r="H59" s="307">
        <f t="shared" ca="1" si="12"/>
        <v>136.82398498206717</v>
      </c>
      <c r="I59" s="304">
        <f t="shared" ca="1" si="13"/>
        <v>141.68896587150971</v>
      </c>
      <c r="J59" s="306">
        <f t="shared" ca="1" si="14"/>
        <v>154.06773878800496</v>
      </c>
      <c r="K59" s="307">
        <f t="shared" ca="1" si="15"/>
        <v>653.86880093671789</v>
      </c>
      <c r="L59" s="304">
        <f t="shared" ca="1" si="0"/>
        <v>671.77472189244372</v>
      </c>
      <c r="M59" s="306">
        <f t="shared" ca="1" si="16"/>
        <v>1.3079886197156212</v>
      </c>
      <c r="N59" s="304">
        <f t="shared" ca="1" si="17"/>
        <v>74.942227560847115</v>
      </c>
      <c r="P59" s="310">
        <f t="shared" ca="1" si="18"/>
        <v>3</v>
      </c>
      <c r="Q59" s="304">
        <f t="shared" ca="1" si="19"/>
        <v>0</v>
      </c>
      <c r="R59" s="306">
        <f t="shared" ca="1" si="20"/>
        <v>0</v>
      </c>
      <c r="S59" s="307">
        <f t="shared" ca="1" si="21"/>
        <v>5.083000000000002</v>
      </c>
      <c r="T59" s="304">
        <f t="shared" ca="1" si="1"/>
        <v>49.86423000000002</v>
      </c>
      <c r="U59" s="311">
        <f t="shared" ca="1" si="2"/>
        <v>0</v>
      </c>
      <c r="V59" s="306">
        <f t="shared" ca="1" si="3"/>
        <v>1.1474368771906645</v>
      </c>
      <c r="W59" s="304">
        <f t="shared" ca="1" si="4"/>
        <v>70.730105044110786</v>
      </c>
      <c r="Y59" s="314" t="str">
        <f t="shared" ca="1" si="22"/>
        <v/>
      </c>
      <c r="Z59" s="315" t="str">
        <f t="shared" ca="1" si="23"/>
        <v/>
      </c>
      <c r="AA59" s="316" t="str">
        <f t="shared" ca="1" si="24"/>
        <v/>
      </c>
      <c r="AC59" s="310" t="e">
        <f t="shared" ca="1" si="25"/>
        <v>#N/A</v>
      </c>
      <c r="AD59" s="323" t="e">
        <f t="shared" ca="1" si="26"/>
        <v>#N/A</v>
      </c>
      <c r="AE59" s="324">
        <f t="shared" ca="1" si="5"/>
        <v>653.86880093671789</v>
      </c>
      <c r="AG59" s="306">
        <f t="shared" ca="1" si="27"/>
        <v>-23.436641926752174</v>
      </c>
      <c r="AH59" s="304">
        <f t="shared" ca="1" si="28"/>
        <v>-13.963016571882706</v>
      </c>
    </row>
    <row r="60" spans="1:34" x14ac:dyDescent="0.2">
      <c r="A60" s="347">
        <f t="shared" ca="1" si="6"/>
        <v>0.01</v>
      </c>
      <c r="B60" s="304">
        <f t="shared" ca="1" si="7"/>
        <v>0.56000000000000028</v>
      </c>
      <c r="D60" s="306">
        <f t="shared" ca="1" si="8"/>
        <v>-3.6150260354980124</v>
      </c>
      <c r="E60" s="307">
        <f t="shared" ca="1" si="9"/>
        <v>-23.24725001714539</v>
      </c>
      <c r="F60" s="304">
        <f t="shared" ca="1" si="10"/>
        <v>23.526645459924687</v>
      </c>
      <c r="G60" s="306">
        <f t="shared" ca="1" si="11"/>
        <v>36.77363353913104</v>
      </c>
      <c r="H60" s="307">
        <f t="shared" ca="1" si="12"/>
        <v>136.59151248189573</v>
      </c>
      <c r="I60" s="304">
        <f t="shared" ca="1" si="13"/>
        <v>141.45508617848347</v>
      </c>
      <c r="J60" s="306">
        <f t="shared" ca="1" si="14"/>
        <v>154.43565587469806</v>
      </c>
      <c r="K60" s="307">
        <f t="shared" ca="1" si="15"/>
        <v>655.23587842403765</v>
      </c>
      <c r="L60" s="304">
        <f t="shared" ca="1" si="0"/>
        <v>673.18974158818583</v>
      </c>
      <c r="M60" s="306">
        <f t="shared" ca="1" si="16"/>
        <v>1.3078084517070763</v>
      </c>
      <c r="N60" s="304">
        <f t="shared" ca="1" si="17"/>
        <v>74.931904694354216</v>
      </c>
      <c r="P60" s="310">
        <f t="shared" ca="1" si="18"/>
        <v>3</v>
      </c>
      <c r="Q60" s="304">
        <f t="shared" ca="1" si="19"/>
        <v>0</v>
      </c>
      <c r="R60" s="306">
        <f t="shared" ca="1" si="20"/>
        <v>0</v>
      </c>
      <c r="S60" s="307">
        <f t="shared" ca="1" si="21"/>
        <v>5.083000000000002</v>
      </c>
      <c r="T60" s="304">
        <f t="shared" ca="1" si="1"/>
        <v>49.86423000000002</v>
      </c>
      <c r="U60" s="311">
        <f t="shared" ca="1" si="2"/>
        <v>0</v>
      </c>
      <c r="V60" s="306">
        <f t="shared" ca="1" si="3"/>
        <v>1.1472798562268767</v>
      </c>
      <c r="W60" s="304">
        <f t="shared" ca="1" si="4"/>
        <v>70.487148532079061</v>
      </c>
      <c r="Y60" s="314" t="str">
        <f t="shared" ca="1" si="22"/>
        <v/>
      </c>
      <c r="Z60" s="315" t="str">
        <f t="shared" ca="1" si="23"/>
        <v/>
      </c>
      <c r="AA60" s="316" t="str">
        <f t="shared" ca="1" si="24"/>
        <v/>
      </c>
      <c r="AC60" s="310" t="e">
        <f t="shared" ca="1" si="25"/>
        <v>#N/A</v>
      </c>
      <c r="AD60" s="323" t="e">
        <f t="shared" ca="1" si="26"/>
        <v>#N/A</v>
      </c>
      <c r="AE60" s="324">
        <f t="shared" ca="1" si="5"/>
        <v>655.23587842403765</v>
      </c>
      <c r="AG60" s="306">
        <f t="shared" ca="1" si="27"/>
        <v>-23.388198887848564</v>
      </c>
      <c r="AH60" s="304">
        <f t="shared" ca="1" si="28"/>
        <v>-13.915031486152028</v>
      </c>
    </row>
    <row r="61" spans="1:34" x14ac:dyDescent="0.2">
      <c r="A61" s="347">
        <f t="shared" ca="1" si="6"/>
        <v>0.01</v>
      </c>
      <c r="B61" s="304">
        <f t="shared" ca="1" si="7"/>
        <v>0.57000000000000028</v>
      </c>
      <c r="D61" s="306">
        <f t="shared" ca="1" si="8"/>
        <v>-3.6050210806917136</v>
      </c>
      <c r="E61" s="307">
        <f t="shared" ca="1" si="9"/>
        <v>-23.200444036943413</v>
      </c>
      <c r="F61" s="304">
        <f t="shared" ca="1" si="10"/>
        <v>23.478858160131526</v>
      </c>
      <c r="G61" s="306">
        <f t="shared" ca="1" si="11"/>
        <v>36.737583328324121</v>
      </c>
      <c r="H61" s="307">
        <f t="shared" ca="1" si="12"/>
        <v>136.35950804152631</v>
      </c>
      <c r="I61" s="304">
        <f t="shared" ca="1" si="13"/>
        <v>141.22168906415416</v>
      </c>
      <c r="J61" s="306">
        <f t="shared" ca="1" si="14"/>
        <v>154.80321195903534</v>
      </c>
      <c r="K61" s="307">
        <f t="shared" ca="1" si="15"/>
        <v>656.60063352665475</v>
      </c>
      <c r="L61" s="304">
        <f t="shared" ca="1" si="0"/>
        <v>674.60242097137359</v>
      </c>
      <c r="M61" s="306">
        <f t="shared" ca="1" si="16"/>
        <v>1.3076278650808406</v>
      </c>
      <c r="N61" s="304">
        <f t="shared" ca="1" si="17"/>
        <v>74.921557842834403</v>
      </c>
      <c r="P61" s="310">
        <f t="shared" ca="1" si="18"/>
        <v>3</v>
      </c>
      <c r="Q61" s="304">
        <f t="shared" ca="1" si="19"/>
        <v>0</v>
      </c>
      <c r="R61" s="306">
        <f t="shared" ca="1" si="20"/>
        <v>0</v>
      </c>
      <c r="S61" s="307">
        <f t="shared" ca="1" si="21"/>
        <v>5.083000000000002</v>
      </c>
      <c r="T61" s="304">
        <f t="shared" ca="1" si="1"/>
        <v>49.86423000000002</v>
      </c>
      <c r="U61" s="311">
        <f t="shared" ca="1" si="2"/>
        <v>0</v>
      </c>
      <c r="V61" s="306">
        <f t="shared" ca="1" si="3"/>
        <v>1.1471231227402756</v>
      </c>
      <c r="W61" s="304">
        <f t="shared" ca="1" si="4"/>
        <v>70.245138882872496</v>
      </c>
      <c r="Y61" s="314" t="str">
        <f t="shared" ca="1" si="22"/>
        <v/>
      </c>
      <c r="Z61" s="315" t="str">
        <f t="shared" ca="1" si="23"/>
        <v/>
      </c>
      <c r="AA61" s="316" t="str">
        <f t="shared" ca="1" si="24"/>
        <v/>
      </c>
      <c r="AC61" s="310" t="e">
        <f t="shared" ca="1" si="25"/>
        <v>#N/A</v>
      </c>
      <c r="AD61" s="323" t="e">
        <f t="shared" ca="1" si="26"/>
        <v>#N/A</v>
      </c>
      <c r="AE61" s="324">
        <f t="shared" ca="1" si="5"/>
        <v>656.60063352665475</v>
      </c>
      <c r="AG61" s="306">
        <f t="shared" ca="1" si="27"/>
        <v>-23.339941705695086</v>
      </c>
      <c r="AH61" s="304">
        <f t="shared" ca="1" si="28"/>
        <v>-13.867233628187888</v>
      </c>
    </row>
    <row r="62" spans="1:34" x14ac:dyDescent="0.2">
      <c r="A62" s="347">
        <f t="shared" ca="1" si="6"/>
        <v>0.01</v>
      </c>
      <c r="B62" s="304">
        <f t="shared" ca="1" si="7"/>
        <v>0.58000000000000029</v>
      </c>
      <c r="D62" s="306">
        <f t="shared" ca="1" si="8"/>
        <v>-3.5950534228269961</v>
      </c>
      <c r="E62" s="307">
        <f t="shared" ca="1" si="9"/>
        <v>-23.1538204614222</v>
      </c>
      <c r="F62" s="304">
        <f t="shared" ca="1" si="10"/>
        <v>23.431257138121154</v>
      </c>
      <c r="G62" s="306">
        <f t="shared" ca="1" si="11"/>
        <v>36.70163279409585</v>
      </c>
      <c r="H62" s="307">
        <f t="shared" ca="1" si="12"/>
        <v>136.12796983691209</v>
      </c>
      <c r="I62" s="304">
        <f t="shared" ca="1" si="13"/>
        <v>140.98877267950061</v>
      </c>
      <c r="J62" s="306">
        <f t="shared" ca="1" si="14"/>
        <v>155.17040803964744</v>
      </c>
      <c r="K62" s="307">
        <f t="shared" ca="1" si="15"/>
        <v>657.96307091604695</v>
      </c>
      <c r="L62" s="304">
        <f t="shared" ca="1" si="0"/>
        <v>676.01276483544723</v>
      </c>
      <c r="M62" s="306">
        <f t="shared" ca="1" si="16"/>
        <v>1.307446858792729</v>
      </c>
      <c r="N62" s="304">
        <f t="shared" ca="1" si="17"/>
        <v>74.911186946460276</v>
      </c>
      <c r="P62" s="310">
        <f t="shared" ca="1" si="18"/>
        <v>3</v>
      </c>
      <c r="Q62" s="304">
        <f t="shared" ca="1" si="19"/>
        <v>0</v>
      </c>
      <c r="R62" s="306">
        <f t="shared" ca="1" si="20"/>
        <v>0</v>
      </c>
      <c r="S62" s="307">
        <f t="shared" ca="1" si="21"/>
        <v>5.083000000000002</v>
      </c>
      <c r="T62" s="304">
        <f t="shared" ca="1" si="1"/>
        <v>49.86423000000002</v>
      </c>
      <c r="U62" s="311">
        <f t="shared" ca="1" si="2"/>
        <v>0</v>
      </c>
      <c r="V62" s="306">
        <f t="shared" ca="1" si="3"/>
        <v>1.1469666760846409</v>
      </c>
      <c r="W62" s="304">
        <f t="shared" ca="1" si="4"/>
        <v>70.004071311498251</v>
      </c>
      <c r="Y62" s="314" t="str">
        <f t="shared" ca="1" si="22"/>
        <v/>
      </c>
      <c r="Z62" s="315" t="str">
        <f t="shared" ca="1" si="23"/>
        <v/>
      </c>
      <c r="AA62" s="316" t="str">
        <f t="shared" ca="1" si="24"/>
        <v/>
      </c>
      <c r="AC62" s="310" t="e">
        <f t="shared" ca="1" si="25"/>
        <v>#N/A</v>
      </c>
      <c r="AD62" s="323" t="e">
        <f t="shared" ca="1" si="26"/>
        <v>#N/A</v>
      </c>
      <c r="AE62" s="324">
        <f t="shared" ca="1" si="5"/>
        <v>657.96307091604695</v>
      </c>
      <c r="AG62" s="306">
        <f t="shared" ca="1" si="27"/>
        <v>-23.291869428059101</v>
      </c>
      <c r="AH62" s="304">
        <f t="shared" ca="1" si="28"/>
        <v>-13.819622050535603</v>
      </c>
    </row>
    <row r="63" spans="1:34" x14ac:dyDescent="0.2">
      <c r="A63" s="347">
        <f t="shared" ca="1" si="6"/>
        <v>0.01</v>
      </c>
      <c r="B63" s="304">
        <f t="shared" ca="1" si="7"/>
        <v>0.5900000000000003</v>
      </c>
      <c r="D63" s="306">
        <f t="shared" ca="1" si="8"/>
        <v>-3.5851228707618858</v>
      </c>
      <c r="E63" s="307">
        <f t="shared" ca="1" si="9"/>
        <v>-23.107378368714091</v>
      </c>
      <c r="F63" s="304">
        <f t="shared" ca="1" si="10"/>
        <v>23.383841452451215</v>
      </c>
      <c r="G63" s="306">
        <f t="shared" ca="1" si="11"/>
        <v>36.66578156538823</v>
      </c>
      <c r="H63" s="307">
        <f t="shared" ca="1" si="12"/>
        <v>135.89689605322494</v>
      </c>
      <c r="I63" s="304">
        <f t="shared" ca="1" si="13"/>
        <v>140.75633518496346</v>
      </c>
      <c r="J63" s="306">
        <f t="shared" ca="1" si="14"/>
        <v>155.53724511144486</v>
      </c>
      <c r="K63" s="307">
        <f t="shared" ca="1" si="15"/>
        <v>659.32319524549769</v>
      </c>
      <c r="L63" s="304">
        <f t="shared" ca="1" si="0"/>
        <v>677.42077795531952</v>
      </c>
      <c r="M63" s="306">
        <f t="shared" ca="1" si="16"/>
        <v>1.3072654317946435</v>
      </c>
      <c r="N63" s="304">
        <f t="shared" ca="1" si="17"/>
        <v>74.900791945180245</v>
      </c>
      <c r="P63" s="310">
        <f t="shared" ca="1" si="18"/>
        <v>3</v>
      </c>
      <c r="Q63" s="304">
        <f t="shared" ca="1" si="19"/>
        <v>0</v>
      </c>
      <c r="R63" s="306">
        <f t="shared" ca="1" si="20"/>
        <v>0</v>
      </c>
      <c r="S63" s="307">
        <f t="shared" ca="1" si="21"/>
        <v>5.083000000000002</v>
      </c>
      <c r="T63" s="304">
        <f t="shared" ca="1" si="1"/>
        <v>49.86423000000002</v>
      </c>
      <c r="U63" s="311">
        <f t="shared" ca="1" si="2"/>
        <v>0</v>
      </c>
      <c r="V63" s="306">
        <f t="shared" ca="1" si="3"/>
        <v>1.1468105156163479</v>
      </c>
      <c r="W63" s="304">
        <f t="shared" ca="1" si="4"/>
        <v>69.763941063644808</v>
      </c>
      <c r="Y63" s="314" t="str">
        <f t="shared" ca="1" si="22"/>
        <v/>
      </c>
      <c r="Z63" s="315" t="str">
        <f t="shared" ca="1" si="23"/>
        <v/>
      </c>
      <c r="AA63" s="316" t="str">
        <f t="shared" ca="1" si="24"/>
        <v/>
      </c>
      <c r="AC63" s="310" t="e">
        <f t="shared" ca="1" si="25"/>
        <v>#N/A</v>
      </c>
      <c r="AD63" s="323" t="e">
        <f t="shared" ca="1" si="26"/>
        <v>#N/A</v>
      </c>
      <c r="AE63" s="324">
        <f t="shared" ca="1" si="5"/>
        <v>659.32319524549769</v>
      </c>
      <c r="AG63" s="306">
        <f t="shared" ca="1" si="27"/>
        <v>-23.243981108769034</v>
      </c>
      <c r="AH63" s="304">
        <f t="shared" ca="1" si="28"/>
        <v>-13.772195811823376</v>
      </c>
    </row>
    <row r="64" spans="1:34" x14ac:dyDescent="0.2">
      <c r="A64" s="347">
        <f t="shared" ca="1" si="6"/>
        <v>0.01</v>
      </c>
      <c r="B64" s="304">
        <f t="shared" ca="1" si="7"/>
        <v>0.60000000000000031</v>
      </c>
      <c r="D64" s="306">
        <f t="shared" ca="1" si="8"/>
        <v>-3.5752292345773968</v>
      </c>
      <c r="E64" s="307">
        <f t="shared" ca="1" si="9"/>
        <v>-23.061116842862006</v>
      </c>
      <c r="F64" s="304">
        <f t="shared" ca="1" si="10"/>
        <v>23.336610167715246</v>
      </c>
      <c r="G64" s="306">
        <f t="shared" ca="1" si="11"/>
        <v>36.630029273042453</v>
      </c>
      <c r="H64" s="307">
        <f t="shared" ca="1" si="12"/>
        <v>135.66628488479631</v>
      </c>
      <c r="I64" s="304">
        <f t="shared" ca="1" si="13"/>
        <v>140.52437475038505</v>
      </c>
      <c r="J64" s="306">
        <f t="shared" ca="1" si="14"/>
        <v>155.90372416563702</v>
      </c>
      <c r="K64" s="307">
        <f t="shared" ca="1" si="15"/>
        <v>660.68101115018783</v>
      </c>
      <c r="L64" s="304">
        <f t="shared" ca="1" si="0"/>
        <v>678.82646508746961</v>
      </c>
      <c r="M64" s="306">
        <f t="shared" ca="1" si="16"/>
        <v>1.3070835830345577</v>
      </c>
      <c r="N64" s="304">
        <f t="shared" ca="1" si="17"/>
        <v>74.890372778717648</v>
      </c>
      <c r="P64" s="310">
        <f t="shared" ca="1" si="18"/>
        <v>3</v>
      </c>
      <c r="Q64" s="304">
        <f t="shared" ca="1" si="19"/>
        <v>0</v>
      </c>
      <c r="R64" s="306">
        <f t="shared" ca="1" si="20"/>
        <v>0</v>
      </c>
      <c r="S64" s="307">
        <f t="shared" ca="1" si="21"/>
        <v>5.083000000000002</v>
      </c>
      <c r="T64" s="304">
        <f t="shared" ca="1" si="1"/>
        <v>49.86423000000002</v>
      </c>
      <c r="U64" s="311">
        <f t="shared" ca="1" si="2"/>
        <v>0</v>
      </c>
      <c r="V64" s="306">
        <f t="shared" ca="1" si="3"/>
        <v>1.1466546406943512</v>
      </c>
      <c r="W64" s="304">
        <f t="shared" ca="1" si="4"/>
        <v>69.524743415445585</v>
      </c>
      <c r="Y64" s="314" t="str">
        <f t="shared" ca="1" si="22"/>
        <v/>
      </c>
      <c r="Z64" s="315" t="str">
        <f t="shared" ca="1" si="23"/>
        <v/>
      </c>
      <c r="AA64" s="316" t="str">
        <f t="shared" ca="1" si="24"/>
        <v/>
      </c>
      <c r="AC64" s="310" t="e">
        <f t="shared" ca="1" si="25"/>
        <v>#N/A</v>
      </c>
      <c r="AD64" s="323" t="e">
        <f t="shared" ca="1" si="26"/>
        <v>#N/A</v>
      </c>
      <c r="AE64" s="324">
        <f t="shared" ca="1" si="5"/>
        <v>660.68101115018783</v>
      </c>
      <c r="AG64" s="306">
        <f t="shared" ca="1" si="27"/>
        <v>-23.196275807667444</v>
      </c>
      <c r="AH64" s="304">
        <f t="shared" ca="1" si="28"/>
        <v>-13.724953976715479</v>
      </c>
    </row>
    <row r="65" spans="1:34" x14ac:dyDescent="0.2">
      <c r="A65" s="347">
        <f t="shared" ca="1" si="6"/>
        <v>0.01</v>
      </c>
      <c r="B65" s="304">
        <f t="shared" ca="1" si="7"/>
        <v>0.61000000000000032</v>
      </c>
      <c r="D65" s="306">
        <f t="shared" ca="1" si="8"/>
        <v>-3.5653723255680818</v>
      </c>
      <c r="E65" s="307">
        <f t="shared" ca="1" si="9"/>
        <v>-23.015034973773922</v>
      </c>
      <c r="F65" s="304">
        <f t="shared" ca="1" si="10"/>
        <v>23.289562354496134</v>
      </c>
      <c r="G65" s="306">
        <f t="shared" ca="1" si="11"/>
        <v>36.594375549786776</v>
      </c>
      <c r="H65" s="307">
        <f t="shared" ca="1" si="12"/>
        <v>135.43613453505859</v>
      </c>
      <c r="I65" s="304">
        <f t="shared" ca="1" si="13"/>
        <v>140.29288955494971</v>
      </c>
      <c r="J65" s="306">
        <f t="shared" ca="1" si="14"/>
        <v>156.26984618975115</v>
      </c>
      <c r="K65" s="307">
        <f t="shared" ca="1" si="15"/>
        <v>662.03652324728705</v>
      </c>
      <c r="L65" s="304">
        <f t="shared" ca="1" si="0"/>
        <v>680.22983097003623</v>
      </c>
      <c r="M65" s="306">
        <f t="shared" ca="1" si="16"/>
        <v>1.3069013114564987</v>
      </c>
      <c r="N65" s="304">
        <f t="shared" ca="1" si="17"/>
        <v>74.879929386569671</v>
      </c>
      <c r="P65" s="310">
        <f t="shared" ca="1" si="18"/>
        <v>3</v>
      </c>
      <c r="Q65" s="304">
        <f t="shared" ca="1" si="19"/>
        <v>0</v>
      </c>
      <c r="R65" s="306">
        <f t="shared" ca="1" si="20"/>
        <v>0</v>
      </c>
      <c r="S65" s="307">
        <f t="shared" ca="1" si="21"/>
        <v>5.083000000000002</v>
      </c>
      <c r="T65" s="304">
        <f t="shared" ca="1" si="1"/>
        <v>49.86423000000002</v>
      </c>
      <c r="U65" s="311">
        <f t="shared" ca="1" si="2"/>
        <v>0</v>
      </c>
      <c r="V65" s="306">
        <f t="shared" ca="1" si="3"/>
        <v>1.1464990506801731</v>
      </c>
      <c r="W65" s="304">
        <f t="shared" ca="1" si="4"/>
        <v>69.286473673245354</v>
      </c>
      <c r="Y65" s="314" t="str">
        <f t="shared" ca="1" si="22"/>
        <v/>
      </c>
      <c r="Z65" s="315" t="str">
        <f t="shared" ca="1" si="23"/>
        <v/>
      </c>
      <c r="AA65" s="316" t="str">
        <f t="shared" ca="1" si="24"/>
        <v/>
      </c>
      <c r="AC65" s="310" t="e">
        <f t="shared" ca="1" si="25"/>
        <v>#N/A</v>
      </c>
      <c r="AD65" s="323" t="e">
        <f t="shared" ca="1" si="26"/>
        <v>#N/A</v>
      </c>
      <c r="AE65" s="324">
        <f t="shared" ca="1" si="5"/>
        <v>662.03652324728705</v>
      </c>
      <c r="AG65" s="306">
        <f t="shared" ca="1" si="27"/>
        <v>-23.148752590564392</v>
      </c>
      <c r="AH65" s="304">
        <f t="shared" ca="1" si="28"/>
        <v>-13.67789561586574</v>
      </c>
    </row>
    <row r="66" spans="1:34" x14ac:dyDescent="0.2">
      <c r="A66" s="347">
        <f t="shared" ca="1" si="6"/>
        <v>0.01</v>
      </c>
      <c r="B66" s="304">
        <f t="shared" ca="1" si="7"/>
        <v>0.62000000000000033</v>
      </c>
      <c r="D66" s="306">
        <f t="shared" ca="1" si="8"/>
        <v>-3.5555519562327511</v>
      </c>
      <c r="E66" s="307">
        <f t="shared" ca="1" si="9"/>
        <v>-22.96913185717786</v>
      </c>
      <c r="F66" s="304">
        <f t="shared" ca="1" si="10"/>
        <v>23.242697089320195</v>
      </c>
      <c r="G66" s="306">
        <f t="shared" ca="1" si="11"/>
        <v>36.558820030224446</v>
      </c>
      <c r="H66" s="307">
        <f t="shared" ca="1" si="12"/>
        <v>135.2064432164868</v>
      </c>
      <c r="I66" s="304">
        <f t="shared" ca="1" si="13"/>
        <v>140.06187778712456</v>
      </c>
      <c r="J66" s="306">
        <f t="shared" ca="1" si="14"/>
        <v>156.6356121676512</v>
      </c>
      <c r="K66" s="307">
        <f t="shared" ca="1" si="15"/>
        <v>663.3897361360448</v>
      </c>
      <c r="L66" s="304">
        <f t="shared" ca="1" si="0"/>
        <v>681.63088032291057</v>
      </c>
      <c r="M66" s="306">
        <f t="shared" ca="1" si="16"/>
        <v>1.3067186160005311</v>
      </c>
      <c r="N66" s="304">
        <f t="shared" ca="1" si="17"/>
        <v>74.869461708006511</v>
      </c>
      <c r="P66" s="310">
        <f t="shared" ca="1" si="18"/>
        <v>3</v>
      </c>
      <c r="Q66" s="304">
        <f t="shared" ca="1" si="19"/>
        <v>0</v>
      </c>
      <c r="R66" s="306">
        <f t="shared" ca="1" si="20"/>
        <v>0</v>
      </c>
      <c r="S66" s="307">
        <f t="shared" ca="1" si="21"/>
        <v>5.083000000000002</v>
      </c>
      <c r="T66" s="304">
        <f t="shared" ca="1" si="1"/>
        <v>49.86423000000002</v>
      </c>
      <c r="U66" s="311">
        <f t="shared" ca="1" si="2"/>
        <v>0</v>
      </c>
      <c r="V66" s="306">
        <f t="shared" ca="1" si="3"/>
        <v>1.1463437449378899</v>
      </c>
      <c r="W66" s="304">
        <f t="shared" ca="1" si="4"/>
        <v>69.049127173368433</v>
      </c>
      <c r="Y66" s="314" t="str">
        <f t="shared" ca="1" si="22"/>
        <v/>
      </c>
      <c r="Z66" s="315" t="str">
        <f t="shared" ca="1" si="23"/>
        <v/>
      </c>
      <c r="AA66" s="316" t="str">
        <f t="shared" ca="1" si="24"/>
        <v/>
      </c>
      <c r="AC66" s="310" t="e">
        <f t="shared" ca="1" si="25"/>
        <v>#N/A</v>
      </c>
      <c r="AD66" s="323" t="e">
        <f t="shared" ca="1" si="26"/>
        <v>#N/A</v>
      </c>
      <c r="AE66" s="324">
        <f t="shared" ca="1" si="5"/>
        <v>663.3897361360448</v>
      </c>
      <c r="AG66" s="306">
        <f t="shared" ca="1" si="27"/>
        <v>-23.101410529191394</v>
      </c>
      <c r="AH66" s="304">
        <f t="shared" ca="1" si="28"/>
        <v>-13.631019805871597</v>
      </c>
    </row>
    <row r="67" spans="1:34" x14ac:dyDescent="0.2">
      <c r="A67" s="347">
        <f t="shared" ca="1" si="6"/>
        <v>0.01</v>
      </c>
      <c r="B67" s="304">
        <f t="shared" ca="1" si="7"/>
        <v>0.63000000000000034</v>
      </c>
      <c r="D67" s="306">
        <f t="shared" ca="1" si="8"/>
        <v>-3.5457679402652063</v>
      </c>
      <c r="E67" s="307">
        <f t="shared" ca="1" si="9"/>
        <v>-22.923406594577223</v>
      </c>
      <c r="F67" s="304">
        <f t="shared" ca="1" si="10"/>
        <v>23.196013454611531</v>
      </c>
      <c r="G67" s="306">
        <f t="shared" ca="1" si="11"/>
        <v>36.523362350821792</v>
      </c>
      <c r="H67" s="307">
        <f t="shared" ca="1" si="12"/>
        <v>134.97720915054103</v>
      </c>
      <c r="I67" s="304">
        <f t="shared" ca="1" si="13"/>
        <v>139.83133764460069</v>
      </c>
      <c r="J67" s="306">
        <f t="shared" ca="1" si="14"/>
        <v>157.00102307955643</v>
      </c>
      <c r="K67" s="307">
        <f t="shared" ca="1" si="15"/>
        <v>664.74065439787989</v>
      </c>
      <c r="L67" s="304">
        <f t="shared" ca="1" si="0"/>
        <v>683.02961784782735</v>
      </c>
      <c r="M67" s="306">
        <f t="shared" ca="1" si="16"/>
        <v>1.3065354956027402</v>
      </c>
      <c r="N67" s="304">
        <f t="shared" ca="1" si="17"/>
        <v>74.858969682070338</v>
      </c>
      <c r="P67" s="310">
        <f t="shared" ca="1" si="18"/>
        <v>3</v>
      </c>
      <c r="Q67" s="304">
        <f t="shared" ca="1" si="19"/>
        <v>0</v>
      </c>
      <c r="R67" s="306">
        <f t="shared" ca="1" si="20"/>
        <v>0</v>
      </c>
      <c r="S67" s="307">
        <f t="shared" ca="1" si="21"/>
        <v>5.083000000000002</v>
      </c>
      <c r="T67" s="304">
        <f t="shared" ca="1" si="1"/>
        <v>49.86423000000002</v>
      </c>
      <c r="U67" s="311">
        <f t="shared" ca="1" si="2"/>
        <v>0</v>
      </c>
      <c r="V67" s="306">
        <f t="shared" ca="1" si="3"/>
        <v>1.146188722834119</v>
      </c>
      <c r="W67" s="304">
        <f t="shared" ca="1" si="4"/>
        <v>68.812699281888825</v>
      </c>
      <c r="Y67" s="314" t="str">
        <f t="shared" ca="1" si="22"/>
        <v/>
      </c>
      <c r="Z67" s="315" t="str">
        <f t="shared" ca="1" si="23"/>
        <v/>
      </c>
      <c r="AA67" s="316" t="str">
        <f t="shared" ca="1" si="24"/>
        <v/>
      </c>
      <c r="AC67" s="310" t="e">
        <f t="shared" ca="1" si="25"/>
        <v>#N/A</v>
      </c>
      <c r="AD67" s="323" t="e">
        <f t="shared" ca="1" si="26"/>
        <v>#N/A</v>
      </c>
      <c r="AE67" s="324">
        <f t="shared" ca="1" si="5"/>
        <v>664.74065439787989</v>
      </c>
      <c r="AG67" s="306">
        <f t="shared" ca="1" si="27"/>
        <v>-23.054248701155664</v>
      </c>
      <c r="AH67" s="304">
        <f t="shared" ca="1" si="28"/>
        <v>-13.584325629228488</v>
      </c>
    </row>
    <row r="68" spans="1:34" x14ac:dyDescent="0.2">
      <c r="A68" s="347">
        <f t="shared" ca="1" si="6"/>
        <v>0.01</v>
      </c>
      <c r="B68" s="304">
        <f t="shared" ca="1" si="7"/>
        <v>0.64000000000000035</v>
      </c>
      <c r="D68" s="306">
        <f t="shared" ca="1" si="8"/>
        <v>-3.5360200925450864</v>
      </c>
      <c r="E68" s="307">
        <f t="shared" ca="1" si="9"/>
        <v>-22.877858293206529</v>
      </c>
      <c r="F68" s="304">
        <f t="shared" ca="1" si="10"/>
        <v>23.149510538646844</v>
      </c>
      <c r="G68" s="306">
        <f t="shared" ca="1" si="11"/>
        <v>36.488002149896339</v>
      </c>
      <c r="H68" s="307">
        <f t="shared" ca="1" si="12"/>
        <v>134.74843056760898</v>
      </c>
      <c r="I68" s="304">
        <f t="shared" ca="1" si="13"/>
        <v>139.6012673342351</v>
      </c>
      <c r="J68" s="306">
        <f t="shared" ca="1" si="14"/>
        <v>157.36607990206002</v>
      </c>
      <c r="K68" s="307">
        <f t="shared" ca="1" si="15"/>
        <v>666.08928259647064</v>
      </c>
      <c r="L68" s="304">
        <f t="shared" ref="L68:L131" ca="1" si="29">SQRT(pos_x^2+pos_z^2)</f>
        <v>684.42604822845726</v>
      </c>
      <c r="M68" s="306">
        <f t="shared" ca="1" si="16"/>
        <v>1.3063519491952142</v>
      </c>
      <c r="N68" s="304">
        <f t="shared" ca="1" si="17"/>
        <v>74.848453247574312</v>
      </c>
      <c r="P68" s="310">
        <f t="shared" ca="1" si="18"/>
        <v>3</v>
      </c>
      <c r="Q68" s="304">
        <f t="shared" ca="1" si="19"/>
        <v>0</v>
      </c>
      <c r="R68" s="306">
        <f t="shared" ca="1" si="20"/>
        <v>0</v>
      </c>
      <c r="S68" s="307">
        <f t="shared" ca="1" si="21"/>
        <v>5.083000000000002</v>
      </c>
      <c r="T68" s="304">
        <f t="shared" ref="T68:T131" ca="1" si="30">m*g</f>
        <v>49.86423000000002</v>
      </c>
      <c r="U68" s="311">
        <f t="shared" ref="U68:U131" ca="1" si="31">IF(pos_xz&lt;L_rampe,Poids*COS(Beta),0)</f>
        <v>0</v>
      </c>
      <c r="V68" s="306">
        <f t="shared" ref="V68:V131" ca="1" si="32">Rho_moyen*(20000-Alt_rampe-pos_z)/(20000+Alt_rampe+pos_z)</f>
        <v>1.1460339837380051</v>
      </c>
      <c r="W68" s="304">
        <f t="shared" ref="W68:W131" ca="1" si="33">1/2*Rho*Sref*Cx*vit_xz^2</f>
        <v>68.577185394402946</v>
      </c>
      <c r="Y68" s="314" t="str">
        <f t="shared" ca="1" si="22"/>
        <v/>
      </c>
      <c r="Z68" s="315" t="str">
        <f t="shared" ca="1" si="23"/>
        <v/>
      </c>
      <c r="AA68" s="316" t="str">
        <f t="shared" ca="1" si="24"/>
        <v/>
      </c>
      <c r="AC68" s="310" t="e">
        <f t="shared" ca="1" si="25"/>
        <v>#N/A</v>
      </c>
      <c r="AD68" s="323" t="e">
        <f t="shared" ca="1" si="26"/>
        <v>#N/A</v>
      </c>
      <c r="AE68" s="324">
        <f t="shared" ref="AE68:AE131" ca="1" si="34">IF(t&lt;T_para, pos_z, NA())</f>
        <v>666.08928259647064</v>
      </c>
      <c r="AG68" s="306">
        <f t="shared" ca="1" si="27"/>
        <v>-23.007266189894821</v>
      </c>
      <c r="AH68" s="304">
        <f t="shared" ca="1" si="28"/>
        <v>-13.537812174284635</v>
      </c>
    </row>
    <row r="69" spans="1:34" x14ac:dyDescent="0.2">
      <c r="A69" s="347">
        <f t="shared" ref="A69:A132" ca="1" si="35">IF(B68+0.01&lt;=T_ini+ROUNDUP(Temps_fin_propu,0), 0.01, IF(K68&gt;0, 0.1, 0.0001))</f>
        <v>0.01</v>
      </c>
      <c r="B69" s="304">
        <f t="shared" ref="B69:B132" ca="1" si="36">B68+pas</f>
        <v>0.65000000000000036</v>
      </c>
      <c r="D69" s="306">
        <f t="shared" ref="D69:D132" ca="1" si="37">IF(AND(L68&lt;L_rampe,Poussee&lt;Poids*SIN(M68)),0,(-W68+Poussee)/m*COS(M68)-U68/m*SIN(M68))</f>
        <v>-3.5263082291288068</v>
      </c>
      <c r="E69" s="307">
        <f t="shared" ref="E69:E132" ca="1" si="38">IF(AND(L68&lt;L_rampe,Poussee&lt;Poids*SIN(M68)),0,(-W68+Poussee)/m*SIN(M68)+U68/m*COS(M68)-Poids/m)</f>
        <v>-22.832486065987617</v>
      </c>
      <c r="F69" s="304">
        <f t="shared" ref="F69:F132" ca="1" si="39">SQRT(acc_x^2+acc_z^2)</f>
        <v>23.103187435510716</v>
      </c>
      <c r="G69" s="306">
        <f t="shared" ref="G69:G132" ca="1" si="40">G68+acc_x*pas</f>
        <v>36.452739067605052</v>
      </c>
      <c r="H69" s="307">
        <f t="shared" ref="H69:H132" ca="1" si="41">H68+acc_z*pas</f>
        <v>134.5201057069491</v>
      </c>
      <c r="I69" s="304">
        <f t="shared" ref="I69:I132" ca="1" si="42">SQRT(vit_x^2+vit_z^2)</f>
        <v>139.37166507199251</v>
      </c>
      <c r="J69" s="306">
        <f t="shared" ref="J69:J132" ca="1" si="43">J68+0.5*(vit_x+G68)*pas*(K68&gt;=0)</f>
        <v>157.73078360814753</v>
      </c>
      <c r="K69" s="307">
        <f t="shared" ref="K69:K132" ca="1" si="44">K68+0.5*(vit_z+H68)*pas</f>
        <v>667.43562527784343</v>
      </c>
      <c r="L69" s="304">
        <f t="shared" ca="1" si="29"/>
        <v>685.82017613049709</v>
      </c>
      <c r="M69" s="306">
        <f t="shared" ref="M69:M132" ca="1" si="45">IF(AND(L68&gt;L_rampe,G69&gt;0),ATAN2(G69,H69),$M$4)</f>
        <v>1.3061679757060281</v>
      </c>
      <c r="N69" s="304">
        <f t="shared" ref="N69:N132" ca="1" si="46">DEGREES(Beta)</f>
        <v>74.83791234310165</v>
      </c>
      <c r="P69" s="310">
        <f t="shared" ref="P69:P132" ca="1" si="47">MATCH(t-pas/2-T_ini,CdP_t)</f>
        <v>3</v>
      </c>
      <c r="Q69" s="304">
        <f t="shared" ref="Q69:Q132" ca="1" si="48">(INDEX(CdP,2,i_P+1)-INDEX(CdP,2,i_P+0))/(INDEX(CdP,1,i_P+1)-INDEX(CdP,1,i_P+0))*(t-pas/2-T_ini-INDEX(CdP,1,i_P+0))+INDEX(CdP,2,i_P+0)</f>
        <v>0</v>
      </c>
      <c r="R69" s="306">
        <f t="shared" ref="R69:R132" ca="1" si="49">Poussee/(g*ISP)</f>
        <v>0</v>
      </c>
      <c r="S69" s="307">
        <f t="shared" ref="S69:S132" ca="1" si="50">S68-Débit*pas</f>
        <v>5.083000000000002</v>
      </c>
      <c r="T69" s="304">
        <f t="shared" ca="1" si="30"/>
        <v>49.86423000000002</v>
      </c>
      <c r="U69" s="311">
        <f t="shared" ca="1" si="31"/>
        <v>0</v>
      </c>
      <c r="V69" s="306">
        <f t="shared" ca="1" si="32"/>
        <v>1.1458795270212081</v>
      </c>
      <c r="W69" s="304">
        <f t="shared" ca="1" si="33"/>
        <v>68.342580935803682</v>
      </c>
      <c r="Y69" s="314" t="str">
        <f t="shared" ref="Y69:Y132" ca="1" si="51">IF(AND(pos_z&lt;=0,K68&gt;0),"Impact balistique","") &amp; IF(AND(H70&lt;0,vit_z&gt;=0),"Apogée","") &amp; IF(AND(Poussee=0,Q68&gt;0),"Fin de propulsion","") &amp; IF(AND(L70&gt;L_rampe,pos_xz&lt;=L_rampe),"Sortie de rampe","")</f>
        <v/>
      </c>
      <c r="Z69" s="315" t="str">
        <f t="shared" ref="Z69:Z132" ca="1" si="52">IF(ABS(t-T_para)&lt;pas/2,"Para","")</f>
        <v/>
      </c>
      <c r="AA69" s="316" t="str">
        <f t="shared" ref="AA69:AA132" ca="1" si="53">IF(ABS(t-T_satellite)&lt;pas/2,"Satellite","")</f>
        <v/>
      </c>
      <c r="AC69" s="310" t="e">
        <f t="shared" ref="AC69:AC132" ca="1" si="54">IF(ABS(t-ROUND(t,0))&lt;0.001,t,NA())</f>
        <v>#N/A</v>
      </c>
      <c r="AD69" s="323" t="e">
        <f t="shared" ref="AD69:AD132" ca="1" si="55">IF(ABS(t-ROUND(t,0))&lt;0.001,pos_x,NA())</f>
        <v>#N/A</v>
      </c>
      <c r="AE69" s="324">
        <f t="shared" ca="1" si="34"/>
        <v>667.43562527784343</v>
      </c>
      <c r="AG69" s="306">
        <f t="shared" ref="AG69:AG132" ca="1" si="56">IF(AND(L68&lt;L_rampe,Poussee&lt;Poids*SIN(M68)),0,(-W68+Poussee)/m-Poids*SIN(M68)/m)</f>
        <v>-22.960462084631999</v>
      </c>
      <c r="AH69" s="304">
        <f t="shared" ref="AH69:AH132" ca="1" si="57">IF(AND(L68&lt;L_rampe,Poussee&lt;Poids*SIN(M68)), g*SIN(M68), (-W68+Poussee)/m)</f>
        <v>-13.491478535196325</v>
      </c>
    </row>
    <row r="70" spans="1:34" x14ac:dyDescent="0.2">
      <c r="A70" s="347">
        <f t="shared" ca="1" si="35"/>
        <v>0.01</v>
      </c>
      <c r="B70" s="304">
        <f t="shared" ca="1" si="36"/>
        <v>0.66000000000000036</v>
      </c>
      <c r="D70" s="306">
        <f t="shared" ca="1" si="37"/>
        <v>-3.5166321672405481</v>
      </c>
      <c r="E70" s="307">
        <f t="shared" ca="1" si="38"/>
        <v>-22.787289031486104</v>
      </c>
      <c r="F70" s="304">
        <f t="shared" ca="1" si="39"/>
        <v>23.057043245051126</v>
      </c>
      <c r="G70" s="306">
        <f t="shared" ca="1" si="40"/>
        <v>36.417572745932645</v>
      </c>
      <c r="H70" s="307">
        <f t="shared" ca="1" si="41"/>
        <v>134.29223281663423</v>
      </c>
      <c r="I70" s="304">
        <f t="shared" ca="1" si="42"/>
        <v>139.14252908288819</v>
      </c>
      <c r="J70" s="306">
        <f t="shared" ca="1" si="43"/>
        <v>158.09513516721523</v>
      </c>
      <c r="K70" s="307">
        <f t="shared" ca="1" si="44"/>
        <v>668.7796869704614</v>
      </c>
      <c r="L70" s="304">
        <f t="shared" ca="1" si="29"/>
        <v>687.21200620176046</v>
      </c>
      <c r="M70" s="306">
        <f t="shared" ca="1" si="45"/>
        <v>1.3059835740592254</v>
      </c>
      <c r="N70" s="304">
        <f t="shared" ca="1" si="46"/>
        <v>74.827346907004596</v>
      </c>
      <c r="P70" s="310">
        <f t="shared" ca="1" si="47"/>
        <v>3</v>
      </c>
      <c r="Q70" s="304">
        <f t="shared" ca="1" si="48"/>
        <v>0</v>
      </c>
      <c r="R70" s="306">
        <f t="shared" ca="1" si="49"/>
        <v>0</v>
      </c>
      <c r="S70" s="307">
        <f t="shared" ca="1" si="50"/>
        <v>5.083000000000002</v>
      </c>
      <c r="T70" s="304">
        <f t="shared" ca="1" si="30"/>
        <v>49.86423000000002</v>
      </c>
      <c r="U70" s="311">
        <f t="shared" ca="1" si="31"/>
        <v>0</v>
      </c>
      <c r="V70" s="306">
        <f t="shared" ca="1" si="32"/>
        <v>1.1457253520578894</v>
      </c>
      <c r="W70" s="304">
        <f t="shared" ca="1" si="33"/>
        <v>68.108881360057069</v>
      </c>
      <c r="Y70" s="314" t="str">
        <f t="shared" ca="1" si="51"/>
        <v/>
      </c>
      <c r="Z70" s="315" t="str">
        <f t="shared" ca="1" si="52"/>
        <v/>
      </c>
      <c r="AA70" s="316" t="str">
        <f t="shared" ca="1" si="53"/>
        <v/>
      </c>
      <c r="AC70" s="310" t="e">
        <f t="shared" ca="1" si="54"/>
        <v>#N/A</v>
      </c>
      <c r="AD70" s="323" t="e">
        <f t="shared" ca="1" si="55"/>
        <v>#N/A</v>
      </c>
      <c r="AE70" s="324">
        <f t="shared" ca="1" si="34"/>
        <v>668.7796869704614</v>
      </c>
      <c r="AG70" s="306">
        <f t="shared" ca="1" si="56"/>
        <v>-22.913835480331343</v>
      </c>
      <c r="AH70" s="304">
        <f t="shared" ca="1" si="57"/>
        <v>-13.445323811883465</v>
      </c>
    </row>
    <row r="71" spans="1:34" x14ac:dyDescent="0.2">
      <c r="A71" s="347">
        <f t="shared" ca="1" si="35"/>
        <v>0.01</v>
      </c>
      <c r="B71" s="304">
        <f t="shared" ca="1" si="36"/>
        <v>0.67000000000000037</v>
      </c>
      <c r="D71" s="306">
        <f t="shared" ca="1" si="37"/>
        <v>-3.5069917252633549</v>
      </c>
      <c r="E71" s="307">
        <f t="shared" ca="1" si="38"/>
        <v>-22.742266313868388</v>
      </c>
      <c r="F71" s="304">
        <f t="shared" ca="1" si="39"/>
        <v>23.011077072835562</v>
      </c>
      <c r="G71" s="306">
        <f t="shared" ca="1" si="40"/>
        <v>36.382502828680011</v>
      </c>
      <c r="H71" s="307">
        <f t="shared" ca="1" si="41"/>
        <v>134.06481015349553</v>
      </c>
      <c r="I71" s="304">
        <f t="shared" ca="1" si="42"/>
        <v>138.9138576009309</v>
      </c>
      <c r="J71" s="306">
        <f t="shared" ca="1" si="43"/>
        <v>158.45913554508829</v>
      </c>
      <c r="K71" s="307">
        <f t="shared" ca="1" si="44"/>
        <v>670.12147218531209</v>
      </c>
      <c r="L71" s="304">
        <f t="shared" ca="1" si="29"/>
        <v>688.60154307226662</v>
      </c>
      <c r="M71" s="306">
        <f t="shared" ca="1" si="45"/>
        <v>1.3057987431748019</v>
      </c>
      <c r="N71" s="304">
        <f t="shared" ca="1" si="46"/>
        <v>74.816756877403463</v>
      </c>
      <c r="P71" s="310">
        <f t="shared" ca="1" si="47"/>
        <v>3</v>
      </c>
      <c r="Q71" s="304">
        <f t="shared" ca="1" si="48"/>
        <v>0</v>
      </c>
      <c r="R71" s="306">
        <f t="shared" ca="1" si="49"/>
        <v>0</v>
      </c>
      <c r="S71" s="307">
        <f t="shared" ca="1" si="50"/>
        <v>5.083000000000002</v>
      </c>
      <c r="T71" s="304">
        <f t="shared" ca="1" si="30"/>
        <v>49.86423000000002</v>
      </c>
      <c r="U71" s="311">
        <f t="shared" ca="1" si="31"/>
        <v>0</v>
      </c>
      <c r="V71" s="306">
        <f t="shared" ca="1" si="32"/>
        <v>1.1455714582246994</v>
      </c>
      <c r="W71" s="304">
        <f t="shared" ca="1" si="33"/>
        <v>67.876082149980505</v>
      </c>
      <c r="Y71" s="314" t="str">
        <f t="shared" ca="1" si="51"/>
        <v/>
      </c>
      <c r="Z71" s="315" t="str">
        <f t="shared" ca="1" si="52"/>
        <v/>
      </c>
      <c r="AA71" s="316" t="str">
        <f t="shared" ca="1" si="53"/>
        <v/>
      </c>
      <c r="AC71" s="310" t="e">
        <f t="shared" ca="1" si="54"/>
        <v>#N/A</v>
      </c>
      <c r="AD71" s="323" t="e">
        <f t="shared" ca="1" si="55"/>
        <v>#N/A</v>
      </c>
      <c r="AE71" s="324">
        <f t="shared" ca="1" si="34"/>
        <v>670.12147218531209</v>
      </c>
      <c r="AG71" s="306">
        <f t="shared" ca="1" si="56"/>
        <v>-22.867385477653905</v>
      </c>
      <c r="AH71" s="304">
        <f t="shared" ca="1" si="57"/>
        <v>-13.399347109985646</v>
      </c>
    </row>
    <row r="72" spans="1:34" x14ac:dyDescent="0.2">
      <c r="A72" s="347">
        <f t="shared" ca="1" si="35"/>
        <v>0.01</v>
      </c>
      <c r="B72" s="304">
        <f t="shared" ca="1" si="36"/>
        <v>0.68000000000000038</v>
      </c>
      <c r="D72" s="306">
        <f t="shared" ca="1" si="37"/>
        <v>-3.4973867227302944</v>
      </c>
      <c r="E72" s="307">
        <f t="shared" ca="1" si="38"/>
        <v>-22.697417042858895</v>
      </c>
      <c r="F72" s="304">
        <f t="shared" ca="1" si="39"/>
        <v>22.965288030107345</v>
      </c>
      <c r="G72" s="306">
        <f t="shared" ca="1" si="40"/>
        <v>36.34752896145271</v>
      </c>
      <c r="H72" s="307">
        <f t="shared" ca="1" si="41"/>
        <v>133.83783598306695</v>
      </c>
      <c r="I72" s="304">
        <f t="shared" ca="1" si="42"/>
        <v>138.6856488690664</v>
      </c>
      <c r="J72" s="306">
        <f t="shared" ca="1" si="43"/>
        <v>158.82278570403895</v>
      </c>
      <c r="K72" s="307">
        <f t="shared" ca="1" si="44"/>
        <v>671.46098541599486</v>
      </c>
      <c r="L72" s="304">
        <f t="shared" ca="1" si="29"/>
        <v>689.9887913543306</v>
      </c>
      <c r="M72" s="306">
        <f t="shared" ca="1" si="45"/>
        <v>1.3056134819686878</v>
      </c>
      <c r="N72" s="304">
        <f t="shared" ca="1" si="46"/>
        <v>74.806142192185618</v>
      </c>
      <c r="P72" s="310">
        <f t="shared" ca="1" si="47"/>
        <v>3</v>
      </c>
      <c r="Q72" s="304">
        <f t="shared" ca="1" si="48"/>
        <v>0</v>
      </c>
      <c r="R72" s="306">
        <f t="shared" ca="1" si="49"/>
        <v>0</v>
      </c>
      <c r="S72" s="307">
        <f t="shared" ca="1" si="50"/>
        <v>5.083000000000002</v>
      </c>
      <c r="T72" s="304">
        <f t="shared" ca="1" si="30"/>
        <v>49.86423000000002</v>
      </c>
      <c r="U72" s="311">
        <f t="shared" ca="1" si="31"/>
        <v>0</v>
      </c>
      <c r="V72" s="306">
        <f t="shared" ca="1" si="32"/>
        <v>1.1454178449007639</v>
      </c>
      <c r="W72" s="304">
        <f t="shared" ca="1" si="33"/>
        <v>67.644178817023302</v>
      </c>
      <c r="Y72" s="314" t="str">
        <f t="shared" ca="1" si="51"/>
        <v/>
      </c>
      <c r="Z72" s="315" t="str">
        <f t="shared" ca="1" si="52"/>
        <v/>
      </c>
      <c r="AA72" s="316" t="str">
        <f t="shared" ca="1" si="53"/>
        <v/>
      </c>
      <c r="AC72" s="310" t="e">
        <f t="shared" ca="1" si="54"/>
        <v>#N/A</v>
      </c>
      <c r="AD72" s="323" t="e">
        <f t="shared" ca="1" si="55"/>
        <v>#N/A</v>
      </c>
      <c r="AE72" s="324">
        <f t="shared" ca="1" si="34"/>
        <v>671.46098541599486</v>
      </c>
      <c r="AG72" s="306">
        <f t="shared" ca="1" si="56"/>
        <v>-22.82111118291391</v>
      </c>
      <c r="AH72" s="304">
        <f t="shared" ca="1" si="57"/>
        <v>-13.353547540818509</v>
      </c>
    </row>
    <row r="73" spans="1:34" x14ac:dyDescent="0.2">
      <c r="A73" s="347">
        <f t="shared" ca="1" si="35"/>
        <v>0.01</v>
      </c>
      <c r="B73" s="304">
        <f t="shared" ca="1" si="36"/>
        <v>0.69000000000000039</v>
      </c>
      <c r="D73" s="306">
        <f t="shared" ca="1" si="37"/>
        <v>-3.487816980315702</v>
      </c>
      <c r="E73" s="307">
        <f t="shared" ca="1" si="38"/>
        <v>-22.652740353697816</v>
      </c>
      <c r="F73" s="304">
        <f t="shared" ca="1" si="39"/>
        <v>22.919675233742471</v>
      </c>
      <c r="G73" s="306">
        <f t="shared" ca="1" si="40"/>
        <v>36.312650791649553</v>
      </c>
      <c r="H73" s="307">
        <f t="shared" ca="1" si="41"/>
        <v>133.61130857952998</v>
      </c>
      <c r="I73" s="304">
        <f t="shared" ca="1" si="42"/>
        <v>138.45790113912122</v>
      </c>
      <c r="J73" s="306">
        <f t="shared" ca="1" si="43"/>
        <v>159.18608660280447</v>
      </c>
      <c r="K73" s="307">
        <f t="shared" ca="1" si="44"/>
        <v>672.79823113880786</v>
      </c>
      <c r="L73" s="304">
        <f t="shared" ca="1" si="29"/>
        <v>691.37375564265119</v>
      </c>
      <c r="M73" s="306">
        <f t="shared" ca="1" si="45"/>
        <v>1.3054277893527297</v>
      </c>
      <c r="N73" s="304">
        <f t="shared" ca="1" si="46"/>
        <v>74.795502789004473</v>
      </c>
      <c r="P73" s="310">
        <f t="shared" ca="1" si="47"/>
        <v>3</v>
      </c>
      <c r="Q73" s="304">
        <f t="shared" ca="1" si="48"/>
        <v>0</v>
      </c>
      <c r="R73" s="306">
        <f t="shared" ca="1" si="49"/>
        <v>0</v>
      </c>
      <c r="S73" s="307">
        <f t="shared" ca="1" si="50"/>
        <v>5.083000000000002</v>
      </c>
      <c r="T73" s="304">
        <f t="shared" ca="1" si="30"/>
        <v>49.86423000000002</v>
      </c>
      <c r="U73" s="311">
        <f t="shared" ca="1" si="31"/>
        <v>0</v>
      </c>
      <c r="V73" s="306">
        <f t="shared" ca="1" si="32"/>
        <v>1.1452645114676732</v>
      </c>
      <c r="W73" s="304">
        <f t="shared" ca="1" si="33"/>
        <v>67.413166901048953</v>
      </c>
      <c r="Y73" s="314" t="str">
        <f t="shared" ca="1" si="51"/>
        <v/>
      </c>
      <c r="Z73" s="315" t="str">
        <f t="shared" ca="1" si="52"/>
        <v/>
      </c>
      <c r="AA73" s="316" t="str">
        <f t="shared" ca="1" si="53"/>
        <v/>
      </c>
      <c r="AC73" s="310" t="e">
        <f t="shared" ca="1" si="54"/>
        <v>#N/A</v>
      </c>
      <c r="AD73" s="323" t="e">
        <f t="shared" ca="1" si="55"/>
        <v>#N/A</v>
      </c>
      <c r="AE73" s="324">
        <f t="shared" ca="1" si="34"/>
        <v>672.79823113880786</v>
      </c>
      <c r="AG73" s="306">
        <f t="shared" ca="1" si="56"/>
        <v>-22.775011708035457</v>
      </c>
      <c r="AH73" s="304">
        <f t="shared" ca="1" si="57"/>
        <v>-13.307924221330568</v>
      </c>
    </row>
    <row r="74" spans="1:34" x14ac:dyDescent="0.2">
      <c r="A74" s="347">
        <f t="shared" ca="1" si="35"/>
        <v>0.01</v>
      </c>
      <c r="B74" s="304">
        <f t="shared" ca="1" si="36"/>
        <v>0.7000000000000004</v>
      </c>
      <c r="D74" s="306">
        <f t="shared" ca="1" si="37"/>
        <v>-3.4782823198265111</v>
      </c>
      <c r="E74" s="307">
        <f t="shared" ca="1" si="38"/>
        <v>-22.60823538709915</v>
      </c>
      <c r="F74" s="304">
        <f t="shared" ca="1" si="39"/>
        <v>22.874237806206786</v>
      </c>
      <c r="G74" s="306">
        <f t="shared" ca="1" si="40"/>
        <v>36.277867968451289</v>
      </c>
      <c r="H74" s="307">
        <f t="shared" ca="1" si="41"/>
        <v>133.38522622565898</v>
      </c>
      <c r="I74" s="304">
        <f t="shared" ca="1" si="42"/>
        <v>138.23061267174725</v>
      </c>
      <c r="J74" s="306">
        <f t="shared" ca="1" si="43"/>
        <v>159.54903919660498</v>
      </c>
      <c r="K74" s="307">
        <f t="shared" ca="1" si="44"/>
        <v>674.13321381283379</v>
      </c>
      <c r="L74" s="304">
        <f t="shared" ca="1" si="29"/>
        <v>692.75644051439872</v>
      </c>
      <c r="M74" s="306">
        <f t="shared" ca="1" si="45"/>
        <v>1.3052416642346745</v>
      </c>
      <c r="N74" s="304">
        <f t="shared" ca="1" si="46"/>
        <v>74.784838605278537</v>
      </c>
      <c r="P74" s="310">
        <f t="shared" ca="1" si="47"/>
        <v>3</v>
      </c>
      <c r="Q74" s="304">
        <f t="shared" ca="1" si="48"/>
        <v>0</v>
      </c>
      <c r="R74" s="306">
        <f t="shared" ca="1" si="49"/>
        <v>0</v>
      </c>
      <c r="S74" s="307">
        <f t="shared" ca="1" si="50"/>
        <v>5.083000000000002</v>
      </c>
      <c r="T74" s="304">
        <f t="shared" ca="1" si="30"/>
        <v>49.86423000000002</v>
      </c>
      <c r="U74" s="311">
        <f t="shared" ca="1" si="31"/>
        <v>0</v>
      </c>
      <c r="V74" s="306">
        <f t="shared" ca="1" si="32"/>
        <v>1.1451114573094674</v>
      </c>
      <c r="W74" s="304">
        <f t="shared" ca="1" si="33"/>
        <v>67.183041970119419</v>
      </c>
      <c r="Y74" s="314" t="str">
        <f t="shared" ca="1" si="51"/>
        <v/>
      </c>
      <c r="Z74" s="315" t="str">
        <f t="shared" ca="1" si="52"/>
        <v/>
      </c>
      <c r="AA74" s="316" t="str">
        <f t="shared" ca="1" si="53"/>
        <v/>
      </c>
      <c r="AC74" s="310" t="e">
        <f t="shared" ca="1" si="54"/>
        <v>#N/A</v>
      </c>
      <c r="AD74" s="323" t="e">
        <f t="shared" ca="1" si="55"/>
        <v>#N/A</v>
      </c>
      <c r="AE74" s="324">
        <f t="shared" ca="1" si="34"/>
        <v>674.13321381283379</v>
      </c>
      <c r="AG74" s="306">
        <f t="shared" ca="1" si="56"/>
        <v>-22.729086170509575</v>
      </c>
      <c r="AH74" s="304">
        <f t="shared" ca="1" si="57"/>
        <v>-13.262476274060383</v>
      </c>
    </row>
    <row r="75" spans="1:34" x14ac:dyDescent="0.2">
      <c r="A75" s="347">
        <f t="shared" ca="1" si="35"/>
        <v>0.01</v>
      </c>
      <c r="B75" s="304">
        <f t="shared" ca="1" si="36"/>
        <v>0.71000000000000041</v>
      </c>
      <c r="D75" s="306">
        <f t="shared" ca="1" si="37"/>
        <v>-3.4687825641936412</v>
      </c>
      <c r="E75" s="307">
        <f t="shared" ca="1" si="38"/>
        <v>-22.563901289209152</v>
      </c>
      <c r="F75" s="304">
        <f t="shared" ca="1" si="39"/>
        <v>22.828974875513538</v>
      </c>
      <c r="G75" s="306">
        <f t="shared" ca="1" si="40"/>
        <v>36.243180142809351</v>
      </c>
      <c r="H75" s="307">
        <f t="shared" ca="1" si="41"/>
        <v>133.15958721276689</v>
      </c>
      <c r="I75" s="304">
        <f t="shared" ca="1" si="42"/>
        <v>138.00378173636622</v>
      </c>
      <c r="J75" s="306">
        <f t="shared" ca="1" si="43"/>
        <v>159.91164443716127</v>
      </c>
      <c r="K75" s="307">
        <f t="shared" ca="1" si="44"/>
        <v>675.46593788002588</v>
      </c>
      <c r="L75" s="304">
        <f t="shared" ca="1" si="29"/>
        <v>694.13685052930305</v>
      </c>
      <c r="M75" s="306">
        <f t="shared" ca="1" si="45"/>
        <v>1.3050551055181498</v>
      </c>
      <c r="N75" s="304">
        <f t="shared" ca="1" si="46"/>
        <v>74.774149578190304</v>
      </c>
      <c r="P75" s="310">
        <f t="shared" ca="1" si="47"/>
        <v>3</v>
      </c>
      <c r="Q75" s="304">
        <f t="shared" ca="1" si="48"/>
        <v>0</v>
      </c>
      <c r="R75" s="306">
        <f t="shared" ca="1" si="49"/>
        <v>0</v>
      </c>
      <c r="S75" s="307">
        <f t="shared" ca="1" si="50"/>
        <v>5.083000000000002</v>
      </c>
      <c r="T75" s="304">
        <f t="shared" ca="1" si="30"/>
        <v>49.86423000000002</v>
      </c>
      <c r="U75" s="311">
        <f t="shared" ca="1" si="31"/>
        <v>0</v>
      </c>
      <c r="V75" s="306">
        <f t="shared" ca="1" si="32"/>
        <v>1.1449586818126265</v>
      </c>
      <c r="W75" s="304">
        <f t="shared" ca="1" si="33"/>
        <v>66.95379962028143</v>
      </c>
      <c r="Y75" s="314" t="str">
        <f t="shared" ca="1" si="51"/>
        <v/>
      </c>
      <c r="Z75" s="315" t="str">
        <f t="shared" ca="1" si="52"/>
        <v/>
      </c>
      <c r="AA75" s="316" t="str">
        <f t="shared" ca="1" si="53"/>
        <v/>
      </c>
      <c r="AC75" s="310" t="e">
        <f t="shared" ca="1" si="54"/>
        <v>#N/A</v>
      </c>
      <c r="AD75" s="323" t="e">
        <f t="shared" ca="1" si="55"/>
        <v>#N/A</v>
      </c>
      <c r="AE75" s="324">
        <f t="shared" ca="1" si="34"/>
        <v>675.46593788002588</v>
      </c>
      <c r="AG75" s="306">
        <f t="shared" ca="1" si="56"/>
        <v>-22.683333693351635</v>
      </c>
      <c r="AH75" s="304">
        <f t="shared" ca="1" si="57"/>
        <v>-13.217202827094116</v>
      </c>
    </row>
    <row r="76" spans="1:34" x14ac:dyDescent="0.2">
      <c r="A76" s="347">
        <f t="shared" ca="1" si="35"/>
        <v>0.01</v>
      </c>
      <c r="B76" s="304">
        <f t="shared" ca="1" si="36"/>
        <v>0.72000000000000042</v>
      </c>
      <c r="D76" s="306">
        <f t="shared" ca="1" si="37"/>
        <v>-3.4593175374634897</v>
      </c>
      <c r="E76" s="307">
        <f t="shared" ca="1" si="38"/>
        <v>-22.519737211565165</v>
      </c>
      <c r="F76" s="304">
        <f t="shared" ca="1" si="39"/>
        <v>22.783885575181316</v>
      </c>
      <c r="G76" s="306">
        <f t="shared" ca="1" si="40"/>
        <v>36.208586967434719</v>
      </c>
      <c r="H76" s="307">
        <f t="shared" ca="1" si="41"/>
        <v>132.93438984065125</v>
      </c>
      <c r="I76" s="304">
        <f t="shared" ca="1" si="42"/>
        <v>137.77740661111503</v>
      </c>
      <c r="J76" s="306">
        <f t="shared" ca="1" si="43"/>
        <v>160.27390327271249</v>
      </c>
      <c r="K76" s="307">
        <f t="shared" ca="1" si="44"/>
        <v>676.796407765293</v>
      </c>
      <c r="L76" s="304">
        <f t="shared" ca="1" si="29"/>
        <v>695.51499022974019</v>
      </c>
      <c r="M76" s="306">
        <f t="shared" ca="1" si="45"/>
        <v>1.3048681121026477</v>
      </c>
      <c r="N76" s="304">
        <f t="shared" ca="1" si="46"/>
        <v>74.763435644685288</v>
      </c>
      <c r="P76" s="310">
        <f t="shared" ca="1" si="47"/>
        <v>3</v>
      </c>
      <c r="Q76" s="304">
        <f t="shared" ca="1" si="48"/>
        <v>0</v>
      </c>
      <c r="R76" s="306">
        <f t="shared" ca="1" si="49"/>
        <v>0</v>
      </c>
      <c r="S76" s="307">
        <f t="shared" ca="1" si="50"/>
        <v>5.083000000000002</v>
      </c>
      <c r="T76" s="304">
        <f t="shared" ca="1" si="30"/>
        <v>49.86423000000002</v>
      </c>
      <c r="U76" s="311">
        <f t="shared" ca="1" si="31"/>
        <v>0</v>
      </c>
      <c r="V76" s="306">
        <f t="shared" ca="1" si="32"/>
        <v>1.144806184366054</v>
      </c>
      <c r="W76" s="304">
        <f t="shared" ca="1" si="33"/>
        <v>66.725435475354331</v>
      </c>
      <c r="Y76" s="314" t="str">
        <f t="shared" ca="1" si="51"/>
        <v/>
      </c>
      <c r="Z76" s="315" t="str">
        <f t="shared" ca="1" si="52"/>
        <v/>
      </c>
      <c r="AA76" s="316" t="str">
        <f t="shared" ca="1" si="53"/>
        <v/>
      </c>
      <c r="AC76" s="310" t="e">
        <f t="shared" ca="1" si="54"/>
        <v>#N/A</v>
      </c>
      <c r="AD76" s="323" t="e">
        <f t="shared" ca="1" si="55"/>
        <v>#N/A</v>
      </c>
      <c r="AE76" s="324">
        <f t="shared" ca="1" si="34"/>
        <v>676.796407765293</v>
      </c>
      <c r="AG76" s="306">
        <f t="shared" ca="1" si="56"/>
        <v>-22.637753405059215</v>
      </c>
      <c r="AH76" s="304">
        <f t="shared" ca="1" si="57"/>
        <v>-13.172103014023492</v>
      </c>
    </row>
    <row r="77" spans="1:34" x14ac:dyDescent="0.2">
      <c r="A77" s="347">
        <f t="shared" ca="1" si="35"/>
        <v>0.01</v>
      </c>
      <c r="B77" s="304">
        <f t="shared" ca="1" si="36"/>
        <v>0.73000000000000043</v>
      </c>
      <c r="D77" s="306">
        <f t="shared" ca="1" si="37"/>
        <v>-3.4498870647894671</v>
      </c>
      <c r="E77" s="307">
        <f t="shared" ca="1" si="38"/>
        <v>-22.475742311054738</v>
      </c>
      <c r="F77" s="304">
        <f t="shared" ca="1" si="39"/>
        <v>22.738969044192348</v>
      </c>
      <c r="G77" s="306">
        <f t="shared" ca="1" si="40"/>
        <v>36.174088096786825</v>
      </c>
      <c r="H77" s="307">
        <f t="shared" ca="1" si="41"/>
        <v>132.70963241754069</v>
      </c>
      <c r="I77" s="304">
        <f t="shared" ca="1" si="42"/>
        <v>137.55148558279137</v>
      </c>
      <c r="J77" s="306">
        <f t="shared" ca="1" si="43"/>
        <v>160.6358166480336</v>
      </c>
      <c r="K77" s="307">
        <f t="shared" ca="1" si="44"/>
        <v>678.12462787658399</v>
      </c>
      <c r="L77" s="304">
        <f t="shared" ca="1" si="29"/>
        <v>696.89086414081805</v>
      </c>
      <c r="M77" s="306">
        <f t="shared" ca="1" si="45"/>
        <v>1.3046806828835069</v>
      </c>
      <c r="N77" s="304">
        <f t="shared" ca="1" si="46"/>
        <v>74.752696741471084</v>
      </c>
      <c r="P77" s="310">
        <f t="shared" ca="1" si="47"/>
        <v>3</v>
      </c>
      <c r="Q77" s="304">
        <f t="shared" ca="1" si="48"/>
        <v>0</v>
      </c>
      <c r="R77" s="306">
        <f t="shared" ca="1" si="49"/>
        <v>0</v>
      </c>
      <c r="S77" s="307">
        <f t="shared" ca="1" si="50"/>
        <v>5.083000000000002</v>
      </c>
      <c r="T77" s="304">
        <f t="shared" ca="1" si="30"/>
        <v>49.86423000000002</v>
      </c>
      <c r="U77" s="311">
        <f t="shared" ca="1" si="31"/>
        <v>0</v>
      </c>
      <c r="V77" s="306">
        <f t="shared" ca="1" si="32"/>
        <v>1.1446539643610691</v>
      </c>
      <c r="W77" s="304">
        <f t="shared" ca="1" si="33"/>
        <v>66.497945186720415</v>
      </c>
      <c r="Y77" s="314" t="str">
        <f t="shared" ca="1" si="51"/>
        <v/>
      </c>
      <c r="Z77" s="315" t="str">
        <f t="shared" ca="1" si="52"/>
        <v/>
      </c>
      <c r="AA77" s="316" t="str">
        <f t="shared" ca="1" si="53"/>
        <v/>
      </c>
      <c r="AC77" s="310" t="e">
        <f t="shared" ca="1" si="54"/>
        <v>#N/A</v>
      </c>
      <c r="AD77" s="323" t="e">
        <f t="shared" ca="1" si="55"/>
        <v>#N/A</v>
      </c>
      <c r="AE77" s="324">
        <f t="shared" ca="1" si="34"/>
        <v>678.12462787658399</v>
      </c>
      <c r="AG77" s="306">
        <f t="shared" ca="1" si="56"/>
        <v>-22.592344439570201</v>
      </c>
      <c r="AH77" s="304">
        <f t="shared" ca="1" si="57"/>
        <v>-13.127175973904054</v>
      </c>
    </row>
    <row r="78" spans="1:34" x14ac:dyDescent="0.2">
      <c r="A78" s="347">
        <f t="shared" ca="1" si="35"/>
        <v>0.01</v>
      </c>
      <c r="B78" s="304">
        <f t="shared" ca="1" si="36"/>
        <v>0.74000000000000044</v>
      </c>
      <c r="D78" s="306">
        <f t="shared" ca="1" si="37"/>
        <v>-3.4404909724236359</v>
      </c>
      <c r="E78" s="307">
        <f t="shared" ca="1" si="38"/>
        <v>-22.43191574987523</v>
      </c>
      <c r="F78" s="304">
        <f t="shared" ca="1" si="39"/>
        <v>22.694224426951209</v>
      </c>
      <c r="G78" s="306">
        <f t="shared" ca="1" si="40"/>
        <v>36.139683187062587</v>
      </c>
      <c r="H78" s="307">
        <f t="shared" ca="1" si="41"/>
        <v>132.48531326004195</v>
      </c>
      <c r="I78" s="304">
        <f t="shared" ca="1" si="42"/>
        <v>137.32601694679963</v>
      </c>
      <c r="J78" s="306">
        <f t="shared" ca="1" si="43"/>
        <v>160.99738550445284</v>
      </c>
      <c r="K78" s="307">
        <f t="shared" ca="1" si="44"/>
        <v>679.45060260497189</v>
      </c>
      <c r="L78" s="304">
        <f t="shared" ca="1" si="29"/>
        <v>698.26447677046326</v>
      </c>
      <c r="M78" s="306">
        <f t="shared" ca="1" si="45"/>
        <v>1.3044928167518937</v>
      </c>
      <c r="N78" s="304">
        <f t="shared" ca="1" si="46"/>
        <v>74.741932805016205</v>
      </c>
      <c r="P78" s="310">
        <f t="shared" ca="1" si="47"/>
        <v>3</v>
      </c>
      <c r="Q78" s="304">
        <f t="shared" ca="1" si="48"/>
        <v>0</v>
      </c>
      <c r="R78" s="306">
        <f t="shared" ca="1" si="49"/>
        <v>0</v>
      </c>
      <c r="S78" s="307">
        <f t="shared" ca="1" si="50"/>
        <v>5.083000000000002</v>
      </c>
      <c r="T78" s="304">
        <f t="shared" ca="1" si="30"/>
        <v>49.86423000000002</v>
      </c>
      <c r="U78" s="311">
        <f t="shared" ca="1" si="31"/>
        <v>0</v>
      </c>
      <c r="V78" s="306">
        <f t="shared" ca="1" si="32"/>
        <v>1.1445020211913906</v>
      </c>
      <c r="W78" s="304">
        <f t="shared" ca="1" si="33"/>
        <v>66.271324433116305</v>
      </c>
      <c r="Y78" s="314" t="str">
        <f t="shared" ca="1" si="51"/>
        <v/>
      </c>
      <c r="Z78" s="315" t="str">
        <f t="shared" ca="1" si="52"/>
        <v/>
      </c>
      <c r="AA78" s="316" t="str">
        <f t="shared" ca="1" si="53"/>
        <v/>
      </c>
      <c r="AC78" s="310" t="e">
        <f t="shared" ca="1" si="54"/>
        <v>#N/A</v>
      </c>
      <c r="AD78" s="323" t="e">
        <f t="shared" ca="1" si="55"/>
        <v>#N/A</v>
      </c>
      <c r="AE78" s="324">
        <f t="shared" ca="1" si="34"/>
        <v>679.45060260497189</v>
      </c>
      <c r="AG78" s="306">
        <f t="shared" ca="1" si="56"/>
        <v>-22.54710593622146</v>
      </c>
      <c r="AH78" s="304">
        <f t="shared" ca="1" si="57"/>
        <v>-13.082420851213927</v>
      </c>
    </row>
    <row r="79" spans="1:34" x14ac:dyDescent="0.2">
      <c r="A79" s="347">
        <f t="shared" ca="1" si="35"/>
        <v>0.01</v>
      </c>
      <c r="B79" s="304">
        <f t="shared" ca="1" si="36"/>
        <v>0.75000000000000044</v>
      </c>
      <c r="D79" s="306">
        <f t="shared" ca="1" si="37"/>
        <v>-3.4311290877083973</v>
      </c>
      <c r="E79" s="307">
        <f t="shared" ca="1" si="38"/>
        <v>-22.388256695493638</v>
      </c>
      <c r="F79" s="304">
        <f t="shared" ca="1" si="39"/>
        <v>22.649650873243818</v>
      </c>
      <c r="G79" s="306">
        <f t="shared" ca="1" si="40"/>
        <v>36.105371896185503</v>
      </c>
      <c r="H79" s="307">
        <f t="shared" ca="1" si="41"/>
        <v>132.26143069308702</v>
      </c>
      <c r="I79" s="304">
        <f t="shared" ca="1" si="42"/>
        <v>137.10099900709741</v>
      </c>
      <c r="J79" s="306">
        <f t="shared" ca="1" si="43"/>
        <v>161.35861077986908</v>
      </c>
      <c r="K79" s="307">
        <f t="shared" ca="1" si="44"/>
        <v>680.77433632473753</v>
      </c>
      <c r="L79" s="304">
        <f t="shared" ca="1" si="29"/>
        <v>699.63583260950566</v>
      </c>
      <c r="M79" s="306">
        <f t="shared" ca="1" si="45"/>
        <v>1.3043045125947847</v>
      </c>
      <c r="N79" s="304">
        <f t="shared" ca="1" si="46"/>
        <v>74.7311437715491</v>
      </c>
      <c r="P79" s="310">
        <f t="shared" ca="1" si="47"/>
        <v>3</v>
      </c>
      <c r="Q79" s="304">
        <f t="shared" ca="1" si="48"/>
        <v>0</v>
      </c>
      <c r="R79" s="306">
        <f t="shared" ca="1" si="49"/>
        <v>0</v>
      </c>
      <c r="S79" s="307">
        <f t="shared" ca="1" si="50"/>
        <v>5.083000000000002</v>
      </c>
      <c r="T79" s="304">
        <f t="shared" ca="1" si="30"/>
        <v>49.86423000000002</v>
      </c>
      <c r="U79" s="311">
        <f t="shared" ca="1" si="31"/>
        <v>0</v>
      </c>
      <c r="V79" s="306">
        <f t="shared" ca="1" si="32"/>
        <v>1.1443503542531273</v>
      </c>
      <c r="W79" s="304">
        <f t="shared" ca="1" si="33"/>
        <v>66.045568920427101</v>
      </c>
      <c r="Y79" s="314" t="str">
        <f t="shared" ca="1" si="51"/>
        <v/>
      </c>
      <c r="Z79" s="315" t="str">
        <f t="shared" ca="1" si="52"/>
        <v/>
      </c>
      <c r="AA79" s="316" t="str">
        <f t="shared" ca="1" si="53"/>
        <v/>
      </c>
      <c r="AC79" s="310" t="e">
        <f t="shared" ca="1" si="54"/>
        <v>#N/A</v>
      </c>
      <c r="AD79" s="323" t="e">
        <f t="shared" ca="1" si="55"/>
        <v>#N/A</v>
      </c>
      <c r="AE79" s="324">
        <f t="shared" ca="1" si="34"/>
        <v>680.77433632473753</v>
      </c>
      <c r="AG79" s="306">
        <f t="shared" ca="1" si="56"/>
        <v>-22.502037039707631</v>
      </c>
      <c r="AH79" s="304">
        <f t="shared" ca="1" si="57"/>
        <v>-13.037836795812764</v>
      </c>
    </row>
    <row r="80" spans="1:34" x14ac:dyDescent="0.2">
      <c r="A80" s="347">
        <f t="shared" ca="1" si="35"/>
        <v>0.01</v>
      </c>
      <c r="B80" s="304">
        <f t="shared" ca="1" si="36"/>
        <v>0.76000000000000045</v>
      </c>
      <c r="D80" s="306">
        <f t="shared" ca="1" si="37"/>
        <v>-3.4218012390682908</v>
      </c>
      <c r="E80" s="307">
        <f t="shared" ca="1" si="38"/>
        <v>-22.344764320606924</v>
      </c>
      <c r="F80" s="304">
        <f t="shared" ca="1" si="39"/>
        <v>22.60524753819691</v>
      </c>
      <c r="G80" s="306">
        <f t="shared" ca="1" si="40"/>
        <v>36.071153883794821</v>
      </c>
      <c r="H80" s="307">
        <f t="shared" ca="1" si="41"/>
        <v>132.03798304988095</v>
      </c>
      <c r="I80" s="304">
        <f t="shared" ca="1" si="42"/>
        <v>136.87643007614224</v>
      </c>
      <c r="J80" s="306">
        <f t="shared" ca="1" si="43"/>
        <v>161.71949340876898</v>
      </c>
      <c r="K80" s="307">
        <f t="shared" ca="1" si="44"/>
        <v>682.09583339345238</v>
      </c>
      <c r="L80" s="304">
        <f t="shared" ca="1" si="29"/>
        <v>701.00493613176309</v>
      </c>
      <c r="M80" s="306">
        <f t="shared" ca="1" si="45"/>
        <v>1.3041157692949488</v>
      </c>
      <c r="N80" s="304">
        <f t="shared" ca="1" si="46"/>
        <v>74.720329577057115</v>
      </c>
      <c r="P80" s="310">
        <f t="shared" ca="1" si="47"/>
        <v>3</v>
      </c>
      <c r="Q80" s="304">
        <f t="shared" ca="1" si="48"/>
        <v>0</v>
      </c>
      <c r="R80" s="306">
        <f t="shared" ca="1" si="49"/>
        <v>0</v>
      </c>
      <c r="S80" s="307">
        <f t="shared" ca="1" si="50"/>
        <v>5.083000000000002</v>
      </c>
      <c r="T80" s="304">
        <f t="shared" ca="1" si="30"/>
        <v>49.86423000000002</v>
      </c>
      <c r="U80" s="311">
        <f t="shared" ca="1" si="31"/>
        <v>0</v>
      </c>
      <c r="V80" s="306">
        <f t="shared" ca="1" si="32"/>
        <v>1.1441989629447642</v>
      </c>
      <c r="W80" s="304">
        <f t="shared" ca="1" si="33"/>
        <v>65.820674381481382</v>
      </c>
      <c r="Y80" s="314" t="str">
        <f t="shared" ca="1" si="51"/>
        <v/>
      </c>
      <c r="Z80" s="315" t="str">
        <f t="shared" ca="1" si="52"/>
        <v/>
      </c>
      <c r="AA80" s="316" t="str">
        <f t="shared" ca="1" si="53"/>
        <v/>
      </c>
      <c r="AC80" s="310" t="e">
        <f t="shared" ca="1" si="54"/>
        <v>#N/A</v>
      </c>
      <c r="AD80" s="323" t="e">
        <f t="shared" ca="1" si="55"/>
        <v>#N/A</v>
      </c>
      <c r="AE80" s="324">
        <f t="shared" ca="1" si="34"/>
        <v>682.09583339345238</v>
      </c>
      <c r="AG80" s="306">
        <f t="shared" ca="1" si="56"/>
        <v>-22.457136900040517</v>
      </c>
      <c r="AH80" s="304">
        <f t="shared" ca="1" si="57"/>
        <v>-12.993422962901255</v>
      </c>
    </row>
    <row r="81" spans="1:34" x14ac:dyDescent="0.2">
      <c r="A81" s="347">
        <f t="shared" ca="1" si="35"/>
        <v>0.01</v>
      </c>
      <c r="B81" s="304">
        <f t="shared" ca="1" si="36"/>
        <v>0.77000000000000046</v>
      </c>
      <c r="D81" s="306">
        <f t="shared" ca="1" si="37"/>
        <v>-3.4125072560018088</v>
      </c>
      <c r="E81" s="307">
        <f t="shared" ca="1" si="38"/>
        <v>-22.301437803102509</v>
      </c>
      <c r="F81" s="304">
        <f t="shared" ca="1" si="39"/>
        <v>22.561013582237717</v>
      </c>
      <c r="G81" s="306">
        <f t="shared" ca="1" si="40"/>
        <v>36.037028811234805</v>
      </c>
      <c r="H81" s="307">
        <f t="shared" ca="1" si="41"/>
        <v>131.81496867184993</v>
      </c>
      <c r="I81" s="304">
        <f t="shared" ca="1" si="42"/>
        <v>136.65230847483895</v>
      </c>
      <c r="J81" s="306">
        <f t="shared" ca="1" si="43"/>
        <v>162.08003432224413</v>
      </c>
      <c r="K81" s="307">
        <f t="shared" ca="1" si="44"/>
        <v>683.41509815206109</v>
      </c>
      <c r="L81" s="304">
        <f t="shared" ca="1" si="29"/>
        <v>702.37179179412601</v>
      </c>
      <c r="M81" s="306">
        <f t="shared" ca="1" si="45"/>
        <v>1.3039265857309286</v>
      </c>
      <c r="N81" s="304">
        <f t="shared" ca="1" si="46"/>
        <v>74.709490157285515</v>
      </c>
      <c r="P81" s="310">
        <f t="shared" ca="1" si="47"/>
        <v>3</v>
      </c>
      <c r="Q81" s="304">
        <f t="shared" ca="1" si="48"/>
        <v>0</v>
      </c>
      <c r="R81" s="306">
        <f t="shared" ca="1" si="49"/>
        <v>0</v>
      </c>
      <c r="S81" s="307">
        <f t="shared" ca="1" si="50"/>
        <v>5.083000000000002</v>
      </c>
      <c r="T81" s="304">
        <f t="shared" ca="1" si="30"/>
        <v>49.86423000000002</v>
      </c>
      <c r="U81" s="311">
        <f t="shared" ca="1" si="31"/>
        <v>0</v>
      </c>
      <c r="V81" s="306">
        <f t="shared" ca="1" si="32"/>
        <v>1.144047846667152</v>
      </c>
      <c r="W81" s="304">
        <f t="shared" ca="1" si="33"/>
        <v>65.596636575848891</v>
      </c>
      <c r="Y81" s="314" t="str">
        <f t="shared" ca="1" si="51"/>
        <v/>
      </c>
      <c r="Z81" s="315" t="str">
        <f t="shared" ca="1" si="52"/>
        <v/>
      </c>
      <c r="AA81" s="316" t="str">
        <f t="shared" ca="1" si="53"/>
        <v/>
      </c>
      <c r="AC81" s="310" t="e">
        <f t="shared" ca="1" si="54"/>
        <v>#N/A</v>
      </c>
      <c r="AD81" s="323" t="e">
        <f t="shared" ca="1" si="55"/>
        <v>#N/A</v>
      </c>
      <c r="AE81" s="324">
        <f t="shared" ca="1" si="34"/>
        <v>683.41509815206109</v>
      </c>
      <c r="AG81" s="306">
        <f t="shared" ca="1" si="56"/>
        <v>-22.412404672508629</v>
      </c>
      <c r="AH81" s="304">
        <f t="shared" ca="1" si="57"/>
        <v>-12.94917851298079</v>
      </c>
    </row>
    <row r="82" spans="1:34" x14ac:dyDescent="0.2">
      <c r="A82" s="347">
        <f t="shared" ca="1" si="35"/>
        <v>0.01</v>
      </c>
      <c r="B82" s="304">
        <f t="shared" ca="1" si="36"/>
        <v>0.78000000000000047</v>
      </c>
      <c r="D82" s="306">
        <f t="shared" ca="1" si="37"/>
        <v>-3.4032469690733396</v>
      </c>
      <c r="E82" s="307">
        <f t="shared" ca="1" si="38"/>
        <v>-22.25827632601932</v>
      </c>
      <c r="F82" s="304">
        <f t="shared" ca="1" si="39"/>
        <v>22.516948171054153</v>
      </c>
      <c r="G82" s="306">
        <f t="shared" ca="1" si="40"/>
        <v>36.002996341544069</v>
      </c>
      <c r="H82" s="307">
        <f t="shared" ca="1" si="41"/>
        <v>131.59238590858973</v>
      </c>
      <c r="I82" s="304">
        <f t="shared" ca="1" si="42"/>
        <v>136.42863253248726</v>
      </c>
      <c r="J82" s="306">
        <f t="shared" ca="1" si="43"/>
        <v>162.44023444800803</v>
      </c>
      <c r="K82" s="307">
        <f t="shared" ca="1" si="44"/>
        <v>684.73213492496325</v>
      </c>
      <c r="L82" s="304">
        <f t="shared" ca="1" si="29"/>
        <v>703.73640403664058</v>
      </c>
      <c r="M82" s="306">
        <f t="shared" ca="1" si="45"/>
        <v>1.3037369607770224</v>
      </c>
      <c r="N82" s="304">
        <f t="shared" ca="1" si="46"/>
        <v>74.698625447736333</v>
      </c>
      <c r="P82" s="310">
        <f t="shared" ca="1" si="47"/>
        <v>3</v>
      </c>
      <c r="Q82" s="304">
        <f t="shared" ca="1" si="48"/>
        <v>0</v>
      </c>
      <c r="R82" s="306">
        <f t="shared" ca="1" si="49"/>
        <v>0</v>
      </c>
      <c r="S82" s="307">
        <f t="shared" ca="1" si="50"/>
        <v>5.083000000000002</v>
      </c>
      <c r="T82" s="304">
        <f t="shared" ca="1" si="30"/>
        <v>49.86423000000002</v>
      </c>
      <c r="U82" s="311">
        <f t="shared" ca="1" si="31"/>
        <v>0</v>
      </c>
      <c r="V82" s="306">
        <f t="shared" ca="1" si="32"/>
        <v>1.1438970048234933</v>
      </c>
      <c r="W82" s="304">
        <f t="shared" ca="1" si="33"/>
        <v>65.373451289639405</v>
      </c>
      <c r="Y82" s="314" t="str">
        <f t="shared" ca="1" si="51"/>
        <v/>
      </c>
      <c r="Z82" s="315" t="str">
        <f t="shared" ca="1" si="52"/>
        <v/>
      </c>
      <c r="AA82" s="316" t="str">
        <f t="shared" ca="1" si="53"/>
        <v/>
      </c>
      <c r="AC82" s="310" t="e">
        <f t="shared" ca="1" si="54"/>
        <v>#N/A</v>
      </c>
      <c r="AD82" s="323" t="e">
        <f t="shared" ca="1" si="55"/>
        <v>#N/A</v>
      </c>
      <c r="AE82" s="324">
        <f t="shared" ca="1" si="34"/>
        <v>684.73213492496325</v>
      </c>
      <c r="AG82" s="306">
        <f t="shared" ca="1" si="56"/>
        <v>-22.36783951763725</v>
      </c>
      <c r="AH82" s="304">
        <f t="shared" ca="1" si="57"/>
        <v>-12.905102611813666</v>
      </c>
    </row>
    <row r="83" spans="1:34" x14ac:dyDescent="0.2">
      <c r="A83" s="347">
        <f t="shared" ca="1" si="35"/>
        <v>0.01</v>
      </c>
      <c r="B83" s="304">
        <f t="shared" ca="1" si="36"/>
        <v>0.79000000000000048</v>
      </c>
      <c r="D83" s="306">
        <f t="shared" ca="1" si="37"/>
        <v>-3.3940202099051464</v>
      </c>
      <c r="E83" s="307">
        <f t="shared" ca="1" si="38"/>
        <v>-22.215279077509031</v>
      </c>
      <c r="F83" s="304">
        <f t="shared" ca="1" si="39"/>
        <v>22.473050475555272</v>
      </c>
      <c r="G83" s="306">
        <f t="shared" ca="1" si="40"/>
        <v>35.969056139445016</v>
      </c>
      <c r="H83" s="307">
        <f t="shared" ca="1" si="41"/>
        <v>131.37023311781465</v>
      </c>
      <c r="I83" s="304">
        <f t="shared" ca="1" si="42"/>
        <v>136.20540058672972</v>
      </c>
      <c r="J83" s="306">
        <f t="shared" ca="1" si="43"/>
        <v>162.80009471041296</v>
      </c>
      <c r="K83" s="307">
        <f t="shared" ca="1" si="44"/>
        <v>686.04694802009521</v>
      </c>
      <c r="L83" s="304">
        <f t="shared" ca="1" si="29"/>
        <v>705.09877728259232</v>
      </c>
      <c r="M83" s="306">
        <f t="shared" ca="1" si="45"/>
        <v>1.3035468933032657</v>
      </c>
      <c r="N83" s="304">
        <f t="shared" ca="1" si="46"/>
        <v>74.687735383667359</v>
      </c>
      <c r="P83" s="310">
        <f t="shared" ca="1" si="47"/>
        <v>3</v>
      </c>
      <c r="Q83" s="304">
        <f t="shared" ca="1" si="48"/>
        <v>0</v>
      </c>
      <c r="R83" s="306">
        <f t="shared" ca="1" si="49"/>
        <v>0</v>
      </c>
      <c r="S83" s="307">
        <f t="shared" ca="1" si="50"/>
        <v>5.083000000000002</v>
      </c>
      <c r="T83" s="304">
        <f t="shared" ca="1" si="30"/>
        <v>49.86423000000002</v>
      </c>
      <c r="U83" s="311">
        <f t="shared" ca="1" si="31"/>
        <v>0</v>
      </c>
      <c r="V83" s="306">
        <f t="shared" ca="1" si="32"/>
        <v>1.1437464368193313</v>
      </c>
      <c r="W83" s="304">
        <f t="shared" ca="1" si="33"/>
        <v>65.15111433530349</v>
      </c>
      <c r="Y83" s="314" t="str">
        <f t="shared" ca="1" si="51"/>
        <v/>
      </c>
      <c r="Z83" s="315" t="str">
        <f t="shared" ca="1" si="52"/>
        <v/>
      </c>
      <c r="AA83" s="316" t="str">
        <f t="shared" ca="1" si="53"/>
        <v/>
      </c>
      <c r="AC83" s="310" t="e">
        <f t="shared" ca="1" si="54"/>
        <v>#N/A</v>
      </c>
      <c r="AD83" s="323" t="e">
        <f t="shared" ca="1" si="55"/>
        <v>#N/A</v>
      </c>
      <c r="AE83" s="324">
        <f t="shared" ca="1" si="34"/>
        <v>686.04694802009521</v>
      </c>
      <c r="AG83" s="306">
        <f t="shared" ca="1" si="56"/>
        <v>-22.323440601148747</v>
      </c>
      <c r="AH83" s="304">
        <f t="shared" ca="1" si="57"/>
        <v>-12.86119443038351</v>
      </c>
    </row>
    <row r="84" spans="1:34" x14ac:dyDescent="0.2">
      <c r="A84" s="347">
        <f t="shared" ca="1" si="35"/>
        <v>0.01</v>
      </c>
      <c r="B84" s="304">
        <f t="shared" ca="1" si="36"/>
        <v>0.80000000000000049</v>
      </c>
      <c r="D84" s="306">
        <f t="shared" ca="1" si="37"/>
        <v>-3.3848268111694235</v>
      </c>
      <c r="E84" s="307">
        <f t="shared" ca="1" si="38"/>
        <v>-22.172445250797665</v>
      </c>
      <c r="F84" s="304">
        <f t="shared" ca="1" si="39"/>
        <v>22.42931967183203</v>
      </c>
      <c r="G84" s="306">
        <f t="shared" ca="1" si="40"/>
        <v>35.935207871333319</v>
      </c>
      <c r="H84" s="307">
        <f t="shared" ca="1" si="41"/>
        <v>131.14850866530668</v>
      </c>
      <c r="I84" s="304">
        <f t="shared" ca="1" si="42"/>
        <v>135.98261098350022</v>
      </c>
      <c r="J84" s="306">
        <f t="shared" ca="1" si="43"/>
        <v>163.15961603046685</v>
      </c>
      <c r="K84" s="307">
        <f t="shared" ca="1" si="44"/>
        <v>687.35954172901086</v>
      </c>
      <c r="L84" s="304">
        <f t="shared" ca="1" si="29"/>
        <v>706.45891593858812</v>
      </c>
      <c r="M84" s="306">
        <f t="shared" ca="1" si="45"/>
        <v>1.3033563821754119</v>
      </c>
      <c r="N84" s="304">
        <f t="shared" ca="1" si="46"/>
        <v>74.676819900091061</v>
      </c>
      <c r="P84" s="310">
        <f t="shared" ca="1" si="47"/>
        <v>3</v>
      </c>
      <c r="Q84" s="304">
        <f t="shared" ca="1" si="48"/>
        <v>0</v>
      </c>
      <c r="R84" s="306">
        <f t="shared" ca="1" si="49"/>
        <v>0</v>
      </c>
      <c r="S84" s="307">
        <f t="shared" ca="1" si="50"/>
        <v>5.083000000000002</v>
      </c>
      <c r="T84" s="304">
        <f t="shared" ca="1" si="30"/>
        <v>49.86423000000002</v>
      </c>
      <c r="U84" s="311">
        <f t="shared" ca="1" si="31"/>
        <v>0</v>
      </c>
      <c r="V84" s="306">
        <f t="shared" ca="1" si="32"/>
        <v>1.1435961420625393</v>
      </c>
      <c r="W84" s="304">
        <f t="shared" ca="1" si="33"/>
        <v>64.929621551435275</v>
      </c>
      <c r="Y84" s="314" t="str">
        <f t="shared" ca="1" si="51"/>
        <v/>
      </c>
      <c r="Z84" s="315" t="str">
        <f t="shared" ca="1" si="52"/>
        <v/>
      </c>
      <c r="AA84" s="316" t="str">
        <f t="shared" ca="1" si="53"/>
        <v/>
      </c>
      <c r="AC84" s="310" t="e">
        <f t="shared" ca="1" si="54"/>
        <v>#N/A</v>
      </c>
      <c r="AD84" s="323" t="e">
        <f t="shared" ca="1" si="55"/>
        <v>#N/A</v>
      </c>
      <c r="AE84" s="324">
        <f t="shared" ca="1" si="34"/>
        <v>687.35954172901086</v>
      </c>
      <c r="AG84" s="306">
        <f t="shared" ca="1" si="56"/>
        <v>-22.279207093923223</v>
      </c>
      <c r="AH84" s="304">
        <f t="shared" ca="1" si="57"/>
        <v>-12.817453144856081</v>
      </c>
    </row>
    <row r="85" spans="1:34" x14ac:dyDescent="0.2">
      <c r="A85" s="347">
        <f t="shared" ca="1" si="35"/>
        <v>0.01</v>
      </c>
      <c r="B85" s="304">
        <f t="shared" ca="1" si="36"/>
        <v>0.8100000000000005</v>
      </c>
      <c r="D85" s="306">
        <f t="shared" ca="1" si="37"/>
        <v>-3.3756666065804417</v>
      </c>
      <c r="E85" s="307">
        <f t="shared" ca="1" si="38"/>
        <v>-22.129774044147617</v>
      </c>
      <c r="F85" s="304">
        <f t="shared" ca="1" si="39"/>
        <v>22.385754941118513</v>
      </c>
      <c r="G85" s="306">
        <f t="shared" ca="1" si="40"/>
        <v>35.901451205267513</v>
      </c>
      <c r="H85" s="307">
        <f t="shared" ca="1" si="41"/>
        <v>130.92721092486519</v>
      </c>
      <c r="I85" s="304">
        <f t="shared" ca="1" si="42"/>
        <v>135.76026207697282</v>
      </c>
      <c r="J85" s="306">
        <f t="shared" ca="1" si="43"/>
        <v>163.51879932584984</v>
      </c>
      <c r="K85" s="307">
        <f t="shared" ca="1" si="44"/>
        <v>688.66992032696169</v>
      </c>
      <c r="L85" s="304">
        <f t="shared" ca="1" si="29"/>
        <v>707.81682439463907</v>
      </c>
      <c r="M85" s="306">
        <f t="shared" ca="1" si="45"/>
        <v>1.3031654262549159</v>
      </c>
      <c r="N85" s="304">
        <f t="shared" ca="1" si="46"/>
        <v>74.665878931773605</v>
      </c>
      <c r="P85" s="310">
        <f t="shared" ca="1" si="47"/>
        <v>3</v>
      </c>
      <c r="Q85" s="304">
        <f t="shared" ca="1" si="48"/>
        <v>0</v>
      </c>
      <c r="R85" s="306">
        <f t="shared" ca="1" si="49"/>
        <v>0</v>
      </c>
      <c r="S85" s="307">
        <f t="shared" ca="1" si="50"/>
        <v>5.083000000000002</v>
      </c>
      <c r="T85" s="304">
        <f t="shared" ca="1" si="30"/>
        <v>49.86423000000002</v>
      </c>
      <c r="U85" s="311">
        <f t="shared" ca="1" si="31"/>
        <v>0</v>
      </c>
      <c r="V85" s="306">
        <f t="shared" ca="1" si="32"/>
        <v>1.1434461199633086</v>
      </c>
      <c r="W85" s="304">
        <f t="shared" ca="1" si="33"/>
        <v>64.708968802576706</v>
      </c>
      <c r="Y85" s="314" t="str">
        <f t="shared" ca="1" si="51"/>
        <v/>
      </c>
      <c r="Z85" s="315" t="str">
        <f t="shared" ca="1" si="52"/>
        <v/>
      </c>
      <c r="AA85" s="316" t="str">
        <f t="shared" ca="1" si="53"/>
        <v/>
      </c>
      <c r="AC85" s="310" t="e">
        <f t="shared" ca="1" si="54"/>
        <v>#N/A</v>
      </c>
      <c r="AD85" s="323" t="e">
        <f t="shared" ca="1" si="55"/>
        <v>#N/A</v>
      </c>
      <c r="AE85" s="324">
        <f t="shared" ca="1" si="34"/>
        <v>688.66992032696169</v>
      </c>
      <c r="AG85" s="306">
        <f t="shared" ca="1" si="56"/>
        <v>-22.235138171959601</v>
      </c>
      <c r="AH85" s="304">
        <f t="shared" ca="1" si="57"/>
        <v>-12.773877936540478</v>
      </c>
    </row>
    <row r="86" spans="1:34" x14ac:dyDescent="0.2">
      <c r="A86" s="347">
        <f t="shared" ca="1" si="35"/>
        <v>0.01</v>
      </c>
      <c r="B86" s="304">
        <f t="shared" ca="1" si="36"/>
        <v>0.82000000000000051</v>
      </c>
      <c r="D86" s="306">
        <f t="shared" ca="1" si="37"/>
        <v>-3.3665394308867249</v>
      </c>
      <c r="E86" s="307">
        <f t="shared" ca="1" si="38"/>
        <v>-22.087264660819933</v>
      </c>
      <c r="F86" s="304">
        <f t="shared" ca="1" si="39"/>
        <v>22.342355469753411</v>
      </c>
      <c r="G86" s="306">
        <f t="shared" ca="1" si="40"/>
        <v>35.867785810958644</v>
      </c>
      <c r="H86" s="307">
        <f t="shared" ca="1" si="41"/>
        <v>130.70633827825699</v>
      </c>
      <c r="I86" s="304">
        <f t="shared" ca="1" si="42"/>
        <v>135.53835222951088</v>
      </c>
      <c r="J86" s="306">
        <f t="shared" ca="1" si="43"/>
        <v>163.87764551093096</v>
      </c>
      <c r="K86" s="307">
        <f t="shared" ca="1" si="44"/>
        <v>689.97808807297724</v>
      </c>
      <c r="L86" s="304">
        <f t="shared" ca="1" si="29"/>
        <v>709.17250702424121</v>
      </c>
      <c r="M86" s="306">
        <f t="shared" ca="1" si="45"/>
        <v>1.3029740243989125</v>
      </c>
      <c r="N86" s="304">
        <f t="shared" ca="1" si="46"/>
        <v>74.654912413233632</v>
      </c>
      <c r="P86" s="310">
        <f t="shared" ca="1" si="47"/>
        <v>3</v>
      </c>
      <c r="Q86" s="304">
        <f t="shared" ca="1" si="48"/>
        <v>0</v>
      </c>
      <c r="R86" s="306">
        <f t="shared" ca="1" si="49"/>
        <v>0</v>
      </c>
      <c r="S86" s="307">
        <f t="shared" ca="1" si="50"/>
        <v>5.083000000000002</v>
      </c>
      <c r="T86" s="304">
        <f t="shared" ca="1" si="30"/>
        <v>49.86423000000002</v>
      </c>
      <c r="U86" s="311">
        <f t="shared" ca="1" si="31"/>
        <v>0</v>
      </c>
      <c r="V86" s="306">
        <f t="shared" ca="1" si="32"/>
        <v>1.1432963699341339</v>
      </c>
      <c r="W86" s="304">
        <f t="shared" ca="1" si="33"/>
        <v>64.489151979023475</v>
      </c>
      <c r="Y86" s="314" t="str">
        <f t="shared" ca="1" si="51"/>
        <v/>
      </c>
      <c r="Z86" s="315" t="str">
        <f t="shared" ca="1" si="52"/>
        <v/>
      </c>
      <c r="AA86" s="316" t="str">
        <f t="shared" ca="1" si="53"/>
        <v/>
      </c>
      <c r="AC86" s="310" t="e">
        <f t="shared" ca="1" si="54"/>
        <v>#N/A</v>
      </c>
      <c r="AD86" s="323" t="e">
        <f t="shared" ca="1" si="55"/>
        <v>#N/A</v>
      </c>
      <c r="AE86" s="324">
        <f t="shared" ca="1" si="34"/>
        <v>689.97808807297724</v>
      </c>
      <c r="AG86" s="306">
        <f t="shared" ca="1" si="56"/>
        <v>-22.191233016336987</v>
      </c>
      <c r="AH86" s="304">
        <f t="shared" ca="1" si="57"/>
        <v>-12.730467991850617</v>
      </c>
    </row>
    <row r="87" spans="1:34" x14ac:dyDescent="0.2">
      <c r="A87" s="347">
        <f t="shared" ca="1" si="35"/>
        <v>0.01</v>
      </c>
      <c r="B87" s="304">
        <f t="shared" ca="1" si="36"/>
        <v>0.83000000000000052</v>
      </c>
      <c r="D87" s="306">
        <f t="shared" ca="1" si="37"/>
        <v>-3.3574451198633382</v>
      </c>
      <c r="E87" s="307">
        <f t="shared" ca="1" si="38"/>
        <v>-22.044916309036914</v>
      </c>
      <c r="F87" s="304">
        <f t="shared" ca="1" si="39"/>
        <v>22.299120449141842</v>
      </c>
      <c r="G87" s="306">
        <f t="shared" ca="1" si="40"/>
        <v>35.834211359760012</v>
      </c>
      <c r="H87" s="307">
        <f t="shared" ca="1" si="41"/>
        <v>130.48588911516663</v>
      </c>
      <c r="I87" s="304">
        <f t="shared" ca="1" si="42"/>
        <v>135.31687981161667</v>
      </c>
      <c r="J87" s="306">
        <f t="shared" ca="1" si="43"/>
        <v>164.23615549678456</v>
      </c>
      <c r="K87" s="307">
        <f t="shared" ca="1" si="44"/>
        <v>691.28404920994433</v>
      </c>
      <c r="L87" s="304">
        <f t="shared" ca="1" si="29"/>
        <v>710.5259681844575</v>
      </c>
      <c r="M87" s="306">
        <f t="shared" ca="1" si="45"/>
        <v>1.3027821754601998</v>
      </c>
      <c r="N87" s="304">
        <f t="shared" ca="1" si="46"/>
        <v>74.643920278741334</v>
      </c>
      <c r="P87" s="310">
        <f t="shared" ca="1" si="47"/>
        <v>3</v>
      </c>
      <c r="Q87" s="304">
        <f t="shared" ca="1" si="48"/>
        <v>0</v>
      </c>
      <c r="R87" s="306">
        <f t="shared" ca="1" si="49"/>
        <v>0</v>
      </c>
      <c r="S87" s="307">
        <f t="shared" ca="1" si="50"/>
        <v>5.083000000000002</v>
      </c>
      <c r="T87" s="304">
        <f t="shared" ca="1" si="30"/>
        <v>49.86423000000002</v>
      </c>
      <c r="U87" s="311">
        <f t="shared" ca="1" si="31"/>
        <v>0</v>
      </c>
      <c r="V87" s="306">
        <f t="shared" ca="1" si="32"/>
        <v>1.1431468913898055</v>
      </c>
      <c r="W87" s="304">
        <f t="shared" ca="1" si="33"/>
        <v>64.270166996632753</v>
      </c>
      <c r="Y87" s="314" t="str">
        <f t="shared" ca="1" si="51"/>
        <v/>
      </c>
      <c r="Z87" s="315" t="str">
        <f t="shared" ca="1" si="52"/>
        <v/>
      </c>
      <c r="AA87" s="316" t="str">
        <f t="shared" ca="1" si="53"/>
        <v/>
      </c>
      <c r="AC87" s="310" t="e">
        <f t="shared" ca="1" si="54"/>
        <v>#N/A</v>
      </c>
      <c r="AD87" s="323" t="e">
        <f t="shared" ca="1" si="55"/>
        <v>#N/A</v>
      </c>
      <c r="AE87" s="324">
        <f t="shared" ca="1" si="34"/>
        <v>691.28404920994433</v>
      </c>
      <c r="AG87" s="306">
        <f t="shared" ca="1" si="56"/>
        <v>-22.147490813176333</v>
      </c>
      <c r="AH87" s="304">
        <f t="shared" ca="1" si="57"/>
        <v>-12.687222502267057</v>
      </c>
    </row>
    <row r="88" spans="1:34" x14ac:dyDescent="0.2">
      <c r="A88" s="347">
        <f t="shared" ca="1" si="35"/>
        <v>0.01</v>
      </c>
      <c r="B88" s="304">
        <f t="shared" ca="1" si="36"/>
        <v>0.84000000000000052</v>
      </c>
      <c r="D88" s="306">
        <f t="shared" ca="1" si="37"/>
        <v>-3.3483835103042048</v>
      </c>
      <c r="E88" s="307">
        <f t="shared" ca="1" si="38"/>
        <v>-22.002728201945082</v>
      </c>
      <c r="F88" s="304">
        <f t="shared" ca="1" si="39"/>
        <v>22.25604907571752</v>
      </c>
      <c r="G88" s="306">
        <f t="shared" ca="1" si="40"/>
        <v>35.800727524656971</v>
      </c>
      <c r="H88" s="307">
        <f t="shared" ca="1" si="41"/>
        <v>130.26586183314717</v>
      </c>
      <c r="I88" s="304">
        <f t="shared" ca="1" si="42"/>
        <v>135.09584320188139</v>
      </c>
      <c r="J88" s="306">
        <f t="shared" ca="1" si="43"/>
        <v>164.59433019120664</v>
      </c>
      <c r="K88" s="307">
        <f t="shared" ca="1" si="44"/>
        <v>692.58780796468591</v>
      </c>
      <c r="L88" s="304">
        <f t="shared" ca="1" si="29"/>
        <v>711.8772122159977</v>
      </c>
      <c r="M88" s="306">
        <f t="shared" ca="1" si="45"/>
        <v>1.3025898782872196</v>
      </c>
      <c r="N88" s="304">
        <f t="shared" ca="1" si="46"/>
        <v>74.632902462317276</v>
      </c>
      <c r="P88" s="310">
        <f t="shared" ca="1" si="47"/>
        <v>3</v>
      </c>
      <c r="Q88" s="304">
        <f t="shared" ca="1" si="48"/>
        <v>0</v>
      </c>
      <c r="R88" s="306">
        <f t="shared" ca="1" si="49"/>
        <v>0</v>
      </c>
      <c r="S88" s="307">
        <f t="shared" ca="1" si="50"/>
        <v>5.083000000000002</v>
      </c>
      <c r="T88" s="304">
        <f t="shared" ca="1" si="30"/>
        <v>49.86423000000002</v>
      </c>
      <c r="U88" s="311">
        <f t="shared" ca="1" si="31"/>
        <v>0</v>
      </c>
      <c r="V88" s="306">
        <f t="shared" ca="1" si="32"/>
        <v>1.142997683747397</v>
      </c>
      <c r="W88" s="304">
        <f t="shared" ca="1" si="33"/>
        <v>64.052009796632831</v>
      </c>
      <c r="Y88" s="314" t="str">
        <f t="shared" ca="1" si="51"/>
        <v/>
      </c>
      <c r="Z88" s="315" t="str">
        <f t="shared" ca="1" si="52"/>
        <v/>
      </c>
      <c r="AA88" s="316" t="str">
        <f t="shared" ca="1" si="53"/>
        <v/>
      </c>
      <c r="AC88" s="310" t="e">
        <f t="shared" ca="1" si="54"/>
        <v>#N/A</v>
      </c>
      <c r="AD88" s="323" t="e">
        <f t="shared" ca="1" si="55"/>
        <v>#N/A</v>
      </c>
      <c r="AE88" s="324">
        <f t="shared" ca="1" si="34"/>
        <v>692.58780796468591</v>
      </c>
      <c r="AG88" s="306">
        <f t="shared" ca="1" si="56"/>
        <v>-22.103910753602506</v>
      </c>
      <c r="AH88" s="304">
        <f t="shared" ca="1" si="57"/>
        <v>-12.644140664299179</v>
      </c>
    </row>
    <row r="89" spans="1:34" x14ac:dyDescent="0.2">
      <c r="A89" s="347">
        <f t="shared" ca="1" si="35"/>
        <v>0.01</v>
      </c>
      <c r="B89" s="304">
        <f t="shared" ca="1" si="36"/>
        <v>0.85000000000000053</v>
      </c>
      <c r="D89" s="306">
        <f t="shared" ca="1" si="37"/>
        <v>-3.3393544400145228</v>
      </c>
      <c r="E89" s="307">
        <f t="shared" ca="1" si="38"/>
        <v>-21.960699557578515</v>
      </c>
      <c r="F89" s="304">
        <f t="shared" ca="1" si="39"/>
        <v>22.213140550905312</v>
      </c>
      <c r="G89" s="306">
        <f t="shared" ca="1" si="40"/>
        <v>35.767333980256822</v>
      </c>
      <c r="H89" s="307">
        <f t="shared" ca="1" si="41"/>
        <v>130.04625483757138</v>
      </c>
      <c r="I89" s="304">
        <f t="shared" ca="1" si="42"/>
        <v>134.87524078693536</v>
      </c>
      <c r="J89" s="306">
        <f t="shared" ca="1" si="43"/>
        <v>164.95217049873122</v>
      </c>
      <c r="K89" s="307">
        <f t="shared" ca="1" si="44"/>
        <v>693.88936854803956</v>
      </c>
      <c r="L89" s="304">
        <f t="shared" ca="1" si="29"/>
        <v>713.2262434432987</v>
      </c>
      <c r="M89" s="306">
        <f t="shared" ca="1" si="45"/>
        <v>1.3023971317240379</v>
      </c>
      <c r="N89" s="304">
        <f t="shared" ca="1" si="46"/>
        <v>74.621858897731315</v>
      </c>
      <c r="P89" s="310">
        <f t="shared" ca="1" si="47"/>
        <v>3</v>
      </c>
      <c r="Q89" s="304">
        <f t="shared" ca="1" si="48"/>
        <v>0</v>
      </c>
      <c r="R89" s="306">
        <f t="shared" ca="1" si="49"/>
        <v>0</v>
      </c>
      <c r="S89" s="307">
        <f t="shared" ca="1" si="50"/>
        <v>5.083000000000002</v>
      </c>
      <c r="T89" s="304">
        <f t="shared" ca="1" si="30"/>
        <v>49.86423000000002</v>
      </c>
      <c r="U89" s="311">
        <f t="shared" ca="1" si="31"/>
        <v>0</v>
      </c>
      <c r="V89" s="306">
        <f t="shared" ca="1" si="32"/>
        <v>1.1428487464262511</v>
      </c>
      <c r="W89" s="304">
        <f t="shared" ca="1" si="33"/>
        <v>63.834676345433692</v>
      </c>
      <c r="Y89" s="314" t="str">
        <f t="shared" ca="1" si="51"/>
        <v/>
      </c>
      <c r="Z89" s="315" t="str">
        <f t="shared" ca="1" si="52"/>
        <v/>
      </c>
      <c r="AA89" s="316" t="str">
        <f t="shared" ca="1" si="53"/>
        <v/>
      </c>
      <c r="AC89" s="310" t="e">
        <f t="shared" ca="1" si="54"/>
        <v>#N/A</v>
      </c>
      <c r="AD89" s="323" t="e">
        <f t="shared" ca="1" si="55"/>
        <v>#N/A</v>
      </c>
      <c r="AE89" s="324">
        <f t="shared" ca="1" si="34"/>
        <v>693.88936854803956</v>
      </c>
      <c r="AG89" s="306">
        <f t="shared" ca="1" si="56"/>
        <v>-22.060492033706691</v>
      </c>
      <c r="AH89" s="304">
        <f t="shared" ca="1" si="57"/>
        <v>-12.601221679447729</v>
      </c>
    </row>
    <row r="90" spans="1:34" x14ac:dyDescent="0.2">
      <c r="A90" s="347">
        <f t="shared" ca="1" si="35"/>
        <v>0.01</v>
      </c>
      <c r="B90" s="304">
        <f t="shared" ca="1" si="36"/>
        <v>0.86000000000000054</v>
      </c>
      <c r="D90" s="306">
        <f t="shared" ca="1" si="37"/>
        <v>-3.330357747803216</v>
      </c>
      <c r="E90" s="307">
        <f t="shared" ca="1" si="38"/>
        <v>-21.918829598822331</v>
      </c>
      <c r="F90" s="304">
        <f t="shared" ca="1" si="39"/>
        <v>22.170394081083963</v>
      </c>
      <c r="G90" s="306">
        <f t="shared" ca="1" si="40"/>
        <v>35.734030402778792</v>
      </c>
      <c r="H90" s="307">
        <f t="shared" ca="1" si="41"/>
        <v>129.82706654158315</v>
      </c>
      <c r="I90" s="304">
        <f t="shared" ca="1" si="42"/>
        <v>134.65507096139893</v>
      </c>
      <c r="J90" s="306">
        <f t="shared" ca="1" si="43"/>
        <v>165.30967732064639</v>
      </c>
      <c r="K90" s="307">
        <f t="shared" ca="1" si="44"/>
        <v>695.18873515493533</v>
      </c>
      <c r="L90" s="304">
        <f t="shared" ca="1" si="29"/>
        <v>714.57306617460404</v>
      </c>
      <c r="M90" s="306">
        <f t="shared" ca="1" si="45"/>
        <v>1.3022039346103262</v>
      </c>
      <c r="N90" s="304">
        <f t="shared" ca="1" si="46"/>
        <v>74.61078951850152</v>
      </c>
      <c r="P90" s="310">
        <f t="shared" ca="1" si="47"/>
        <v>3</v>
      </c>
      <c r="Q90" s="304">
        <f t="shared" ca="1" si="48"/>
        <v>0</v>
      </c>
      <c r="R90" s="306">
        <f t="shared" ca="1" si="49"/>
        <v>0</v>
      </c>
      <c r="S90" s="307">
        <f t="shared" ca="1" si="50"/>
        <v>5.083000000000002</v>
      </c>
      <c r="T90" s="304">
        <f t="shared" ca="1" si="30"/>
        <v>49.86423000000002</v>
      </c>
      <c r="U90" s="311">
        <f t="shared" ca="1" si="31"/>
        <v>0</v>
      </c>
      <c r="V90" s="306">
        <f t="shared" ca="1" si="32"/>
        <v>1.1427000788479722</v>
      </c>
      <c r="W90" s="304">
        <f t="shared" ca="1" si="33"/>
        <v>63.618162634440289</v>
      </c>
      <c r="Y90" s="314" t="str">
        <f t="shared" ca="1" si="51"/>
        <v/>
      </c>
      <c r="Z90" s="315" t="str">
        <f t="shared" ca="1" si="52"/>
        <v/>
      </c>
      <c r="AA90" s="316" t="str">
        <f t="shared" ca="1" si="53"/>
        <v/>
      </c>
      <c r="AC90" s="310" t="e">
        <f t="shared" ca="1" si="54"/>
        <v>#N/A</v>
      </c>
      <c r="AD90" s="323" t="e">
        <f t="shared" ca="1" si="55"/>
        <v>#N/A</v>
      </c>
      <c r="AE90" s="324">
        <f t="shared" ca="1" si="34"/>
        <v>695.18873515493533</v>
      </c>
      <c r="AG90" s="306">
        <f t="shared" ca="1" si="56"/>
        <v>-22.017233854508991</v>
      </c>
      <c r="AH90" s="304">
        <f t="shared" ca="1" si="57"/>
        <v>-12.558464754167552</v>
      </c>
    </row>
    <row r="91" spans="1:34" x14ac:dyDescent="0.2">
      <c r="A91" s="347">
        <f t="shared" ca="1" si="35"/>
        <v>0.01</v>
      </c>
      <c r="B91" s="304">
        <f t="shared" ca="1" si="36"/>
        <v>0.87000000000000055</v>
      </c>
      <c r="D91" s="306">
        <f t="shared" ca="1" si="37"/>
        <v>-3.3213932734754943</v>
      </c>
      <c r="E91" s="307">
        <f t="shared" ca="1" si="38"/>
        <v>-21.877117553376728</v>
      </c>
      <c r="F91" s="304">
        <f t="shared" ca="1" si="39"/>
        <v>22.127808877549363</v>
      </c>
      <c r="G91" s="306">
        <f t="shared" ca="1" si="40"/>
        <v>35.700816470044039</v>
      </c>
      <c r="H91" s="307">
        <f t="shared" ca="1" si="41"/>
        <v>129.60829536604939</v>
      </c>
      <c r="I91" s="304">
        <f t="shared" ca="1" si="42"/>
        <v>134.43533212783336</v>
      </c>
      <c r="J91" s="306">
        <f t="shared" ca="1" si="43"/>
        <v>165.66685155501051</v>
      </c>
      <c r="K91" s="307">
        <f t="shared" ca="1" si="44"/>
        <v>696.48591196447353</v>
      </c>
      <c r="L91" s="304">
        <f t="shared" ca="1" si="29"/>
        <v>715.91768470204329</v>
      </c>
      <c r="M91" s="306">
        <f t="shared" ca="1" si="45"/>
        <v>1.3020102857813434</v>
      </c>
      <c r="N91" s="304">
        <f t="shared" ca="1" si="46"/>
        <v>74.599694257893148</v>
      </c>
      <c r="P91" s="310">
        <f t="shared" ca="1" si="47"/>
        <v>3</v>
      </c>
      <c r="Q91" s="304">
        <f t="shared" ca="1" si="48"/>
        <v>0</v>
      </c>
      <c r="R91" s="306">
        <f t="shared" ca="1" si="49"/>
        <v>0</v>
      </c>
      <c r="S91" s="307">
        <f t="shared" ca="1" si="50"/>
        <v>5.083000000000002</v>
      </c>
      <c r="T91" s="304">
        <f t="shared" ca="1" si="30"/>
        <v>49.86423000000002</v>
      </c>
      <c r="U91" s="311">
        <f t="shared" ca="1" si="31"/>
        <v>0</v>
      </c>
      <c r="V91" s="306">
        <f t="shared" ca="1" si="32"/>
        <v>1.1425516804364111</v>
      </c>
      <c r="W91" s="304">
        <f t="shared" ca="1" si="33"/>
        <v>63.402464679866313</v>
      </c>
      <c r="Y91" s="314" t="str">
        <f t="shared" ca="1" si="51"/>
        <v/>
      </c>
      <c r="Z91" s="315" t="str">
        <f t="shared" ca="1" si="52"/>
        <v/>
      </c>
      <c r="AA91" s="316" t="str">
        <f t="shared" ca="1" si="53"/>
        <v/>
      </c>
      <c r="AC91" s="310" t="e">
        <f t="shared" ca="1" si="54"/>
        <v>#N/A</v>
      </c>
      <c r="AD91" s="323" t="e">
        <f t="shared" ca="1" si="55"/>
        <v>#N/A</v>
      </c>
      <c r="AE91" s="324">
        <f t="shared" ca="1" si="34"/>
        <v>696.48591196447353</v>
      </c>
      <c r="AG91" s="306">
        <f t="shared" ca="1" si="56"/>
        <v>-21.974135421921545</v>
      </c>
      <c r="AH91" s="304">
        <f t="shared" ca="1" si="57"/>
        <v>-12.51586909983086</v>
      </c>
    </row>
    <row r="92" spans="1:34" x14ac:dyDescent="0.2">
      <c r="A92" s="347">
        <f t="shared" ca="1" si="35"/>
        <v>0.01</v>
      </c>
      <c r="B92" s="304">
        <f t="shared" ca="1" si="36"/>
        <v>0.88000000000000056</v>
      </c>
      <c r="D92" s="306">
        <f t="shared" ca="1" si="37"/>
        <v>-3.3124608578254064</v>
      </c>
      <c r="E92" s="307">
        <f t="shared" ca="1" si="38"/>
        <v>-21.835562653721102</v>
      </c>
      <c r="F92" s="304">
        <f t="shared" ca="1" si="39"/>
        <v>22.0853841564779</v>
      </c>
      <c r="G92" s="306">
        <f t="shared" ca="1" si="40"/>
        <v>35.667691861465784</v>
      </c>
      <c r="H92" s="307">
        <f t="shared" ca="1" si="41"/>
        <v>129.38993973951219</v>
      </c>
      <c r="I92" s="304">
        <f t="shared" ca="1" si="42"/>
        <v>134.21602269669248</v>
      </c>
      <c r="J92" s="306">
        <f t="shared" ca="1" si="43"/>
        <v>166.02369409666807</v>
      </c>
      <c r="K92" s="307">
        <f t="shared" ca="1" si="44"/>
        <v>697.78090314000133</v>
      </c>
      <c r="L92" s="304">
        <f t="shared" ca="1" si="29"/>
        <v>717.26010330171016</v>
      </c>
      <c r="M92" s="306">
        <f t="shared" ca="1" si="45"/>
        <v>1.3018161840679139</v>
      </c>
      <c r="N92" s="304">
        <f t="shared" ca="1" si="46"/>
        <v>74.588573048917382</v>
      </c>
      <c r="P92" s="310">
        <f t="shared" ca="1" si="47"/>
        <v>3</v>
      </c>
      <c r="Q92" s="304">
        <f t="shared" ca="1" si="48"/>
        <v>0</v>
      </c>
      <c r="R92" s="306">
        <f t="shared" ca="1" si="49"/>
        <v>0</v>
      </c>
      <c r="S92" s="307">
        <f t="shared" ca="1" si="50"/>
        <v>5.083000000000002</v>
      </c>
      <c r="T92" s="304">
        <f t="shared" ca="1" si="30"/>
        <v>49.86423000000002</v>
      </c>
      <c r="U92" s="311">
        <f t="shared" ca="1" si="31"/>
        <v>0</v>
      </c>
      <c r="V92" s="306">
        <f t="shared" ca="1" si="32"/>
        <v>1.142403550617658</v>
      </c>
      <c r="W92" s="304">
        <f t="shared" ca="1" si="33"/>
        <v>63.187578522550702</v>
      </c>
      <c r="Y92" s="314" t="str">
        <f t="shared" ca="1" si="51"/>
        <v/>
      </c>
      <c r="Z92" s="315" t="str">
        <f t="shared" ca="1" si="52"/>
        <v/>
      </c>
      <c r="AA92" s="316" t="str">
        <f t="shared" ca="1" si="53"/>
        <v/>
      </c>
      <c r="AC92" s="310" t="e">
        <f t="shared" ca="1" si="54"/>
        <v>#N/A</v>
      </c>
      <c r="AD92" s="323" t="e">
        <f t="shared" ca="1" si="55"/>
        <v>#N/A</v>
      </c>
      <c r="AE92" s="324">
        <f t="shared" ca="1" si="34"/>
        <v>697.78090314000133</v>
      </c>
      <c r="AG92" s="306">
        <f t="shared" ca="1" si="56"/>
        <v>-21.931195946711782</v>
      </c>
      <c r="AH92" s="304">
        <f t="shared" ca="1" si="57"/>
        <v>-12.473433932690593</v>
      </c>
    </row>
    <row r="93" spans="1:34" x14ac:dyDescent="0.2">
      <c r="A93" s="347">
        <f t="shared" ca="1" si="35"/>
        <v>0.01</v>
      </c>
      <c r="B93" s="304">
        <f t="shared" ca="1" si="36"/>
        <v>0.89000000000000057</v>
      </c>
      <c r="D93" s="306">
        <f t="shared" ca="1" si="37"/>
        <v>-3.3035603426285634</v>
      </c>
      <c r="E93" s="307">
        <f t="shared" ca="1" si="38"/>
        <v>-21.794164137078702</v>
      </c>
      <c r="F93" s="304">
        <f t="shared" ca="1" si="39"/>
        <v>22.043119138890386</v>
      </c>
      <c r="G93" s="306">
        <f t="shared" ca="1" si="40"/>
        <v>35.634656258039499</v>
      </c>
      <c r="H93" s="307">
        <f t="shared" ca="1" si="41"/>
        <v>129.17199809814139</v>
      </c>
      <c r="I93" s="304">
        <f t="shared" ca="1" si="42"/>
        <v>133.99714108627421</v>
      </c>
      <c r="J93" s="306">
        <f t="shared" ca="1" si="43"/>
        <v>166.38020583726561</v>
      </c>
      <c r="K93" s="307">
        <f t="shared" ca="1" si="44"/>
        <v>699.07371282918962</v>
      </c>
      <c r="L93" s="304">
        <f t="shared" ca="1" si="29"/>
        <v>718.60032623374104</v>
      </c>
      <c r="M93" s="306">
        <f t="shared" ca="1" si="45"/>
        <v>1.3016216282964106</v>
      </c>
      <c r="N93" s="304">
        <f t="shared" ca="1" si="46"/>
        <v>74.577425824330334</v>
      </c>
      <c r="P93" s="310">
        <f t="shared" ca="1" si="47"/>
        <v>3</v>
      </c>
      <c r="Q93" s="304">
        <f t="shared" ca="1" si="48"/>
        <v>0</v>
      </c>
      <c r="R93" s="306">
        <f t="shared" ca="1" si="49"/>
        <v>0</v>
      </c>
      <c r="S93" s="307">
        <f t="shared" ca="1" si="50"/>
        <v>5.083000000000002</v>
      </c>
      <c r="T93" s="304">
        <f t="shared" ca="1" si="30"/>
        <v>49.86423000000002</v>
      </c>
      <c r="U93" s="311">
        <f t="shared" ca="1" si="31"/>
        <v>0</v>
      </c>
      <c r="V93" s="306">
        <f t="shared" ca="1" si="32"/>
        <v>1.1422556888200279</v>
      </c>
      <c r="W93" s="304">
        <f t="shared" ca="1" si="33"/>
        <v>62.973500227774657</v>
      </c>
      <c r="Y93" s="314" t="str">
        <f t="shared" ca="1" si="51"/>
        <v/>
      </c>
      <c r="Z93" s="315" t="str">
        <f t="shared" ca="1" si="52"/>
        <v/>
      </c>
      <c r="AA93" s="316" t="str">
        <f t="shared" ca="1" si="53"/>
        <v/>
      </c>
      <c r="AC93" s="310" t="e">
        <f t="shared" ca="1" si="54"/>
        <v>#N/A</v>
      </c>
      <c r="AD93" s="323" t="e">
        <f t="shared" ca="1" si="55"/>
        <v>#N/A</v>
      </c>
      <c r="AE93" s="324">
        <f t="shared" ca="1" si="34"/>
        <v>699.07371282918962</v>
      </c>
      <c r="AG93" s="306">
        <f t="shared" ca="1" si="56"/>
        <v>-21.888414644466152</v>
      </c>
      <c r="AH93" s="304">
        <f t="shared" ca="1" si="57"/>
        <v>-12.43115847384432</v>
      </c>
    </row>
    <row r="94" spans="1:34" x14ac:dyDescent="0.2">
      <c r="A94" s="347">
        <f t="shared" ca="1" si="35"/>
        <v>0.01</v>
      </c>
      <c r="B94" s="304">
        <f t="shared" ca="1" si="36"/>
        <v>0.90000000000000058</v>
      </c>
      <c r="D94" s="306">
        <f t="shared" ca="1" si="37"/>
        <v>-3.2946915706348094</v>
      </c>
      <c r="E94" s="307">
        <f t="shared" ca="1" si="38"/>
        <v>-21.752921245381366</v>
      </c>
      <c r="F94" s="304">
        <f t="shared" ca="1" si="39"/>
        <v>22.00101305061601</v>
      </c>
      <c r="G94" s="306">
        <f t="shared" ca="1" si="40"/>
        <v>35.601709342333152</v>
      </c>
      <c r="H94" s="307">
        <f t="shared" ca="1" si="41"/>
        <v>128.95446888568756</v>
      </c>
      <c r="I94" s="304">
        <f t="shared" ca="1" si="42"/>
        <v>133.77868572267309</v>
      </c>
      <c r="J94" s="306">
        <f t="shared" ca="1" si="43"/>
        <v>166.73638766526747</v>
      </c>
      <c r="K94" s="307">
        <f t="shared" ca="1" si="44"/>
        <v>700.36434516410873</v>
      </c>
      <c r="L94" s="304">
        <f t="shared" ca="1" si="29"/>
        <v>719.93835774239255</v>
      </c>
      <c r="M94" s="306">
        <f t="shared" ca="1" si="45"/>
        <v>1.3014266172887348</v>
      </c>
      <c r="N94" s="304">
        <f t="shared" ca="1" si="46"/>
        <v>74.56625251663192</v>
      </c>
      <c r="P94" s="310">
        <f t="shared" ca="1" si="47"/>
        <v>3</v>
      </c>
      <c r="Q94" s="304">
        <f t="shared" ca="1" si="48"/>
        <v>0</v>
      </c>
      <c r="R94" s="306">
        <f t="shared" ca="1" si="49"/>
        <v>0</v>
      </c>
      <c r="S94" s="307">
        <f t="shared" ca="1" si="50"/>
        <v>5.083000000000002</v>
      </c>
      <c r="T94" s="304">
        <f t="shared" ca="1" si="30"/>
        <v>49.86423000000002</v>
      </c>
      <c r="U94" s="311">
        <f t="shared" ca="1" si="31"/>
        <v>0</v>
      </c>
      <c r="V94" s="306">
        <f t="shared" ca="1" si="32"/>
        <v>1.1421080944740514</v>
      </c>
      <c r="W94" s="304">
        <f t="shared" ca="1" si="33"/>
        <v>62.760225885081198</v>
      </c>
      <c r="Y94" s="314" t="str">
        <f t="shared" ca="1" si="51"/>
        <v/>
      </c>
      <c r="Z94" s="315" t="str">
        <f t="shared" ca="1" si="52"/>
        <v/>
      </c>
      <c r="AA94" s="316" t="str">
        <f t="shared" ca="1" si="53"/>
        <v/>
      </c>
      <c r="AC94" s="310" t="e">
        <f t="shared" ca="1" si="54"/>
        <v>#N/A</v>
      </c>
      <c r="AD94" s="323" t="e">
        <f t="shared" ca="1" si="55"/>
        <v>#N/A</v>
      </c>
      <c r="AE94" s="324">
        <f t="shared" ca="1" si="34"/>
        <v>700.36434516410873</v>
      </c>
      <c r="AG94" s="306">
        <f t="shared" ca="1" si="56"/>
        <v>-21.845790735554012</v>
      </c>
      <c r="AH94" s="304">
        <f t="shared" ca="1" si="57"/>
        <v>-12.389041949198235</v>
      </c>
    </row>
    <row r="95" spans="1:34" x14ac:dyDescent="0.2">
      <c r="A95" s="347">
        <f t="shared" ca="1" si="35"/>
        <v>0.01</v>
      </c>
      <c r="B95" s="304">
        <f t="shared" ca="1" si="36"/>
        <v>0.91000000000000059</v>
      </c>
      <c r="D95" s="306">
        <f t="shared" ca="1" si="37"/>
        <v>-3.2858543855610436</v>
      </c>
      <c r="E95" s="307">
        <f t="shared" ca="1" si="38"/>
        <v>-21.711833225234763</v>
      </c>
      <c r="F95" s="304">
        <f t="shared" ca="1" si="39"/>
        <v>21.959065122256888</v>
      </c>
      <c r="G95" s="306">
        <f t="shared" ca="1" si="40"/>
        <v>35.568850798477541</v>
      </c>
      <c r="H95" s="307">
        <f t="shared" ca="1" si="41"/>
        <v>128.73735055343522</v>
      </c>
      <c r="I95" s="304">
        <f t="shared" ca="1" si="42"/>
        <v>133.56065503973252</v>
      </c>
      <c r="J95" s="306">
        <f t="shared" ca="1" si="43"/>
        <v>167.09224046597151</v>
      </c>
      <c r="K95" s="307">
        <f t="shared" ca="1" si="44"/>
        <v>701.65280426130437</v>
      </c>
      <c r="L95" s="304">
        <f t="shared" ca="1" si="29"/>
        <v>721.27420205611838</v>
      </c>
      <c r="M95" s="306">
        <f t="shared" ca="1" si="45"/>
        <v>1.3012311498622957</v>
      </c>
      <c r="N95" s="304">
        <f t="shared" ca="1" si="46"/>
        <v>74.555053058064672</v>
      </c>
      <c r="P95" s="310">
        <f t="shared" ca="1" si="47"/>
        <v>3</v>
      </c>
      <c r="Q95" s="304">
        <f t="shared" ca="1" si="48"/>
        <v>0</v>
      </c>
      <c r="R95" s="306">
        <f t="shared" ca="1" si="49"/>
        <v>0</v>
      </c>
      <c r="S95" s="307">
        <f t="shared" ca="1" si="50"/>
        <v>5.083000000000002</v>
      </c>
      <c r="T95" s="304">
        <f t="shared" ca="1" si="30"/>
        <v>49.86423000000002</v>
      </c>
      <c r="U95" s="311">
        <f t="shared" ca="1" si="31"/>
        <v>0</v>
      </c>
      <c r="V95" s="306">
        <f t="shared" ca="1" si="32"/>
        <v>1.1419607670124612</v>
      </c>
      <c r="W95" s="304">
        <f t="shared" ca="1" si="33"/>
        <v>62.547751608095453</v>
      </c>
      <c r="Y95" s="314" t="str">
        <f t="shared" ca="1" si="51"/>
        <v/>
      </c>
      <c r="Z95" s="315" t="str">
        <f t="shared" ca="1" si="52"/>
        <v/>
      </c>
      <c r="AA95" s="316" t="str">
        <f t="shared" ca="1" si="53"/>
        <v/>
      </c>
      <c r="AC95" s="310" t="e">
        <f t="shared" ca="1" si="54"/>
        <v>#N/A</v>
      </c>
      <c r="AD95" s="323" t="e">
        <f t="shared" ca="1" si="55"/>
        <v>#N/A</v>
      </c>
      <c r="AE95" s="324">
        <f t="shared" ca="1" si="34"/>
        <v>701.65280426130437</v>
      </c>
      <c r="AG95" s="306">
        <f t="shared" ca="1" si="56"/>
        <v>-21.803323445091969</v>
      </c>
      <c r="AH95" s="304">
        <f t="shared" ca="1" si="57"/>
        <v>-12.347083589431669</v>
      </c>
    </row>
    <row r="96" spans="1:34" x14ac:dyDescent="0.2">
      <c r="A96" s="347">
        <f t="shared" ca="1" si="35"/>
        <v>0.01</v>
      </c>
      <c r="B96" s="304">
        <f t="shared" ca="1" si="36"/>
        <v>0.9200000000000006</v>
      </c>
      <c r="D96" s="306">
        <f t="shared" ca="1" si="37"/>
        <v>-3.2770486320840551</v>
      </c>
      <c r="E96" s="307">
        <f t="shared" ca="1" si="38"/>
        <v>-21.670899327883774</v>
      </c>
      <c r="F96" s="304">
        <f t="shared" ca="1" si="39"/>
        <v>21.917274589152672</v>
      </c>
      <c r="G96" s="306">
        <f t="shared" ca="1" si="40"/>
        <v>35.536080312156699</v>
      </c>
      <c r="H96" s="307">
        <f t="shared" ca="1" si="41"/>
        <v>128.52064156015638</v>
      </c>
      <c r="I96" s="304">
        <f t="shared" ca="1" si="42"/>
        <v>133.34304747899773</v>
      </c>
      <c r="J96" s="306">
        <f t="shared" ca="1" si="43"/>
        <v>167.4477651215247</v>
      </c>
      <c r="K96" s="307">
        <f t="shared" ca="1" si="44"/>
        <v>702.93909422187232</v>
      </c>
      <c r="L96" s="304">
        <f t="shared" ca="1" si="29"/>
        <v>722.60786338764649</v>
      </c>
      <c r="M96" s="306">
        <f t="shared" ca="1" si="45"/>
        <v>1.3010352248299915</v>
      </c>
      <c r="N96" s="304">
        <f t="shared" ca="1" si="46"/>
        <v>74.543827380612683</v>
      </c>
      <c r="P96" s="310">
        <f t="shared" ca="1" si="47"/>
        <v>3</v>
      </c>
      <c r="Q96" s="304">
        <f t="shared" ca="1" si="48"/>
        <v>0</v>
      </c>
      <c r="R96" s="306">
        <f t="shared" ca="1" si="49"/>
        <v>0</v>
      </c>
      <c r="S96" s="307">
        <f t="shared" ca="1" si="50"/>
        <v>5.083000000000002</v>
      </c>
      <c r="T96" s="304">
        <f t="shared" ca="1" si="30"/>
        <v>49.86423000000002</v>
      </c>
      <c r="U96" s="311">
        <f t="shared" ca="1" si="31"/>
        <v>0</v>
      </c>
      <c r="V96" s="306">
        <f t="shared" ca="1" si="32"/>
        <v>1.1418137058701852</v>
      </c>
      <c r="W96" s="304">
        <f t="shared" ca="1" si="33"/>
        <v>62.336073534347236</v>
      </c>
      <c r="Y96" s="314" t="str">
        <f t="shared" ca="1" si="51"/>
        <v/>
      </c>
      <c r="Z96" s="315" t="str">
        <f t="shared" ca="1" si="52"/>
        <v/>
      </c>
      <c r="AA96" s="316" t="str">
        <f t="shared" ca="1" si="53"/>
        <v/>
      </c>
      <c r="AC96" s="310" t="e">
        <f t="shared" ca="1" si="54"/>
        <v>#N/A</v>
      </c>
      <c r="AD96" s="323" t="e">
        <f t="shared" ca="1" si="55"/>
        <v>#N/A</v>
      </c>
      <c r="AE96" s="324">
        <f t="shared" ca="1" si="34"/>
        <v>702.93909422187232</v>
      </c>
      <c r="AG96" s="306">
        <f t="shared" ca="1" si="56"/>
        <v>-21.761012002908416</v>
      </c>
      <c r="AH96" s="304">
        <f t="shared" ca="1" si="57"/>
        <v>-12.305282629961722</v>
      </c>
    </row>
    <row r="97" spans="1:34" x14ac:dyDescent="0.2">
      <c r="A97" s="347">
        <f t="shared" ca="1" si="35"/>
        <v>0.01</v>
      </c>
      <c r="B97" s="304">
        <f t="shared" ca="1" si="36"/>
        <v>0.9300000000000006</v>
      </c>
      <c r="D97" s="306">
        <f t="shared" ca="1" si="37"/>
        <v>-3.2682741558334523</v>
      </c>
      <c r="E97" s="307">
        <f t="shared" ca="1" si="38"/>
        <v>-21.630118809178295</v>
      </c>
      <c r="F97" s="304">
        <f t="shared" ca="1" si="39"/>
        <v>21.875640691345648</v>
      </c>
      <c r="G97" s="306">
        <f t="shared" ca="1" si="40"/>
        <v>35.503397570598366</v>
      </c>
      <c r="H97" s="307">
        <f t="shared" ca="1" si="41"/>
        <v>128.30434037206459</v>
      </c>
      <c r="I97" s="304">
        <f t="shared" ca="1" si="42"/>
        <v>133.12586148966915</v>
      </c>
      <c r="J97" s="306">
        <f t="shared" ca="1" si="43"/>
        <v>167.80296251093847</v>
      </c>
      <c r="K97" s="307">
        <f t="shared" ca="1" si="44"/>
        <v>704.22321913153348</v>
      </c>
      <c r="L97" s="304">
        <f t="shared" ca="1" si="29"/>
        <v>723.93934593405493</v>
      </c>
      <c r="M97" s="306">
        <f t="shared" ca="1" si="45"/>
        <v>1.3008388410001892</v>
      </c>
      <c r="N97" s="304">
        <f t="shared" ca="1" si="46"/>
        <v>74.532575416000398</v>
      </c>
      <c r="P97" s="310">
        <f t="shared" ca="1" si="47"/>
        <v>3</v>
      </c>
      <c r="Q97" s="304">
        <f t="shared" ca="1" si="48"/>
        <v>0</v>
      </c>
      <c r="R97" s="306">
        <f t="shared" ca="1" si="49"/>
        <v>0</v>
      </c>
      <c r="S97" s="307">
        <f t="shared" ca="1" si="50"/>
        <v>5.083000000000002</v>
      </c>
      <c r="T97" s="304">
        <f t="shared" ca="1" si="30"/>
        <v>49.86423000000002</v>
      </c>
      <c r="U97" s="311">
        <f t="shared" ca="1" si="31"/>
        <v>0</v>
      </c>
      <c r="V97" s="306">
        <f t="shared" ca="1" si="32"/>
        <v>1.1416669104843322</v>
      </c>
      <c r="W97" s="304">
        <f t="shared" ca="1" si="33"/>
        <v>62.125187825094706</v>
      </c>
      <c r="Y97" s="314" t="str">
        <f t="shared" ca="1" si="51"/>
        <v/>
      </c>
      <c r="Z97" s="315" t="str">
        <f t="shared" ca="1" si="52"/>
        <v/>
      </c>
      <c r="AA97" s="316" t="str">
        <f t="shared" ca="1" si="53"/>
        <v/>
      </c>
      <c r="AC97" s="310" t="e">
        <f t="shared" ca="1" si="54"/>
        <v>#N/A</v>
      </c>
      <c r="AD97" s="323" t="e">
        <f t="shared" ca="1" si="55"/>
        <v>#N/A</v>
      </c>
      <c r="AE97" s="324">
        <f t="shared" ca="1" si="34"/>
        <v>704.22321913153348</v>
      </c>
      <c r="AG97" s="306">
        <f t="shared" ca="1" si="56"/>
        <v>-21.718855643508441</v>
      </c>
      <c r="AH97" s="304">
        <f t="shared" ca="1" si="57"/>
        <v>-12.263638310908364</v>
      </c>
    </row>
    <row r="98" spans="1:34" x14ac:dyDescent="0.2">
      <c r="A98" s="347">
        <f t="shared" ca="1" si="35"/>
        <v>0.01</v>
      </c>
      <c r="B98" s="304">
        <f t="shared" ca="1" si="36"/>
        <v>0.94000000000000061</v>
      </c>
      <c r="D98" s="306">
        <f t="shared" ca="1" si="37"/>
        <v>-3.2595308033846289</v>
      </c>
      <c r="E98" s="307">
        <f t="shared" ca="1" si="38"/>
        <v>-21.589490929539284</v>
      </c>
      <c r="F98" s="304">
        <f t="shared" ca="1" si="39"/>
        <v>21.834162673546064</v>
      </c>
      <c r="G98" s="306">
        <f t="shared" ca="1" si="40"/>
        <v>35.470802262564519</v>
      </c>
      <c r="H98" s="307">
        <f t="shared" ca="1" si="41"/>
        <v>128.08844546276919</v>
      </c>
      <c r="I98" s="304">
        <f t="shared" ca="1" si="42"/>
        <v>132.90909552855572</v>
      </c>
      <c r="J98" s="306">
        <f t="shared" ca="1" si="43"/>
        <v>168.1578335101043</v>
      </c>
      <c r="K98" s="307">
        <f t="shared" ca="1" si="44"/>
        <v>705.50518306070762</v>
      </c>
      <c r="L98" s="304">
        <f t="shared" ca="1" si="29"/>
        <v>725.26865387684757</v>
      </c>
      <c r="M98" s="306">
        <f t="shared" ca="1" si="45"/>
        <v>1.3006419971767054</v>
      </c>
      <c r="N98" s="304">
        <f t="shared" ca="1" si="46"/>
        <v>74.521297095691551</v>
      </c>
      <c r="P98" s="310">
        <f t="shared" ca="1" si="47"/>
        <v>3</v>
      </c>
      <c r="Q98" s="304">
        <f t="shared" ca="1" si="48"/>
        <v>0</v>
      </c>
      <c r="R98" s="306">
        <f t="shared" ca="1" si="49"/>
        <v>0</v>
      </c>
      <c r="S98" s="307">
        <f t="shared" ca="1" si="50"/>
        <v>5.083000000000002</v>
      </c>
      <c r="T98" s="304">
        <f t="shared" ca="1" si="30"/>
        <v>49.86423000000002</v>
      </c>
      <c r="U98" s="311">
        <f t="shared" ca="1" si="31"/>
        <v>0</v>
      </c>
      <c r="V98" s="306">
        <f t="shared" ca="1" si="32"/>
        <v>1.1415203802941829</v>
      </c>
      <c r="W98" s="304">
        <f t="shared" ca="1" si="33"/>
        <v>61.915090665149556</v>
      </c>
      <c r="Y98" s="314" t="str">
        <f t="shared" ca="1" si="51"/>
        <v/>
      </c>
      <c r="Z98" s="315" t="str">
        <f t="shared" ca="1" si="52"/>
        <v/>
      </c>
      <c r="AA98" s="316" t="str">
        <f t="shared" ca="1" si="53"/>
        <v/>
      </c>
      <c r="AC98" s="310" t="e">
        <f t="shared" ca="1" si="54"/>
        <v>#N/A</v>
      </c>
      <c r="AD98" s="323" t="e">
        <f t="shared" ca="1" si="55"/>
        <v>#N/A</v>
      </c>
      <c r="AE98" s="324">
        <f t="shared" ca="1" si="34"/>
        <v>705.50518306070762</v>
      </c>
      <c r="AG98" s="306">
        <f t="shared" ca="1" si="56"/>
        <v>-21.676853606039021</v>
      </c>
      <c r="AH98" s="304">
        <f t="shared" ca="1" si="57"/>
        <v>-12.222149877059744</v>
      </c>
    </row>
    <row r="99" spans="1:34" x14ac:dyDescent="0.2">
      <c r="A99" s="347">
        <f t="shared" ca="1" si="35"/>
        <v>0.01</v>
      </c>
      <c r="B99" s="304">
        <f t="shared" ca="1" si="36"/>
        <v>0.95000000000000062</v>
      </c>
      <c r="D99" s="306">
        <f t="shared" ca="1" si="37"/>
        <v>-3.2508184222517928</v>
      </c>
      <c r="E99" s="307">
        <f t="shared" ca="1" si="38"/>
        <v>-21.549014953925074</v>
      </c>
      <c r="F99" s="304">
        <f t="shared" ca="1" si="39"/>
        <v>21.792839785097723</v>
      </c>
      <c r="G99" s="306">
        <f t="shared" ca="1" si="40"/>
        <v>35.438294078342004</v>
      </c>
      <c r="H99" s="307">
        <f t="shared" ca="1" si="41"/>
        <v>127.87295531322994</v>
      </c>
      <c r="I99" s="304">
        <f t="shared" ca="1" si="42"/>
        <v>132.69274806002909</v>
      </c>
      <c r="J99" s="306">
        <f t="shared" ca="1" si="43"/>
        <v>168.51237899180882</v>
      </c>
      <c r="K99" s="307">
        <f t="shared" ca="1" si="44"/>
        <v>706.78499006458765</v>
      </c>
      <c r="L99" s="304">
        <f t="shared" ca="1" si="29"/>
        <v>726.59579138202992</v>
      </c>
      <c r="M99" s="306">
        <f t="shared" ca="1" si="45"/>
        <v>1.3004446921587851</v>
      </c>
      <c r="N99" s="304">
        <f t="shared" ca="1" si="46"/>
        <v>74.50999235088797</v>
      </c>
      <c r="P99" s="310">
        <f t="shared" ca="1" si="47"/>
        <v>3</v>
      </c>
      <c r="Q99" s="304">
        <f t="shared" ca="1" si="48"/>
        <v>0</v>
      </c>
      <c r="R99" s="306">
        <f t="shared" ca="1" si="49"/>
        <v>0</v>
      </c>
      <c r="S99" s="307">
        <f t="shared" ca="1" si="50"/>
        <v>5.083000000000002</v>
      </c>
      <c r="T99" s="304">
        <f t="shared" ca="1" si="30"/>
        <v>49.86423000000002</v>
      </c>
      <c r="U99" s="311">
        <f t="shared" ca="1" si="31"/>
        <v>0</v>
      </c>
      <c r="V99" s="306">
        <f t="shared" ca="1" si="32"/>
        <v>1.141374114741178</v>
      </c>
      <c r="W99" s="304">
        <f t="shared" ca="1" si="33"/>
        <v>61.705778262703937</v>
      </c>
      <c r="Y99" s="314" t="str">
        <f t="shared" ca="1" si="51"/>
        <v/>
      </c>
      <c r="Z99" s="315" t="str">
        <f t="shared" ca="1" si="52"/>
        <v/>
      </c>
      <c r="AA99" s="316" t="str">
        <f t="shared" ca="1" si="53"/>
        <v/>
      </c>
      <c r="AC99" s="310" t="e">
        <f t="shared" ca="1" si="54"/>
        <v>#N/A</v>
      </c>
      <c r="AD99" s="323" t="e">
        <f t="shared" ca="1" si="55"/>
        <v>#N/A</v>
      </c>
      <c r="AE99" s="324">
        <f t="shared" ca="1" si="34"/>
        <v>706.78499006458765</v>
      </c>
      <c r="AG99" s="306">
        <f t="shared" ca="1" si="56"/>
        <v>-21.635005134254502</v>
      </c>
      <c r="AH99" s="304">
        <f t="shared" ca="1" si="57"/>
        <v>-12.180816577837799</v>
      </c>
    </row>
    <row r="100" spans="1:34" x14ac:dyDescent="0.2">
      <c r="A100" s="347">
        <f t="shared" ca="1" si="35"/>
        <v>0.01</v>
      </c>
      <c r="B100" s="304">
        <f t="shared" ca="1" si="36"/>
        <v>0.96000000000000063</v>
      </c>
      <c r="D100" s="306">
        <f t="shared" ca="1" si="37"/>
        <v>-3.242136860881077</v>
      </c>
      <c r="E100" s="307">
        <f t="shared" ca="1" si="38"/>
        <v>-21.508690151798017</v>
      </c>
      <c r="F100" s="304">
        <f t="shared" ca="1" si="39"/>
        <v>21.751671279943913</v>
      </c>
      <c r="G100" s="306">
        <f t="shared" ca="1" si="40"/>
        <v>35.405872709733195</v>
      </c>
      <c r="H100" s="307">
        <f t="shared" ca="1" si="41"/>
        <v>127.65786841171196</v>
      </c>
      <c r="I100" s="304">
        <f t="shared" ca="1" si="42"/>
        <v>132.47681755597768</v>
      </c>
      <c r="J100" s="306">
        <f t="shared" ca="1" si="43"/>
        <v>168.8665998257492</v>
      </c>
      <c r="K100" s="307">
        <f t="shared" ca="1" si="44"/>
        <v>708.06264418321234</v>
      </c>
      <c r="L100" s="304">
        <f t="shared" ca="1" si="29"/>
        <v>727.92076260018302</v>
      </c>
      <c r="M100" s="306">
        <f t="shared" ca="1" si="45"/>
        <v>1.3002469247410826</v>
      </c>
      <c r="N100" s="304">
        <f t="shared" ca="1" si="46"/>
        <v>74.49866111252841</v>
      </c>
      <c r="P100" s="310">
        <f t="shared" ca="1" si="47"/>
        <v>3</v>
      </c>
      <c r="Q100" s="304">
        <f t="shared" ca="1" si="48"/>
        <v>0</v>
      </c>
      <c r="R100" s="306">
        <f t="shared" ca="1" si="49"/>
        <v>0</v>
      </c>
      <c r="S100" s="307">
        <f t="shared" ca="1" si="50"/>
        <v>5.083000000000002</v>
      </c>
      <c r="T100" s="304">
        <f t="shared" ca="1" si="30"/>
        <v>49.86423000000002</v>
      </c>
      <c r="U100" s="311">
        <f t="shared" ca="1" si="31"/>
        <v>0</v>
      </c>
      <c r="V100" s="306">
        <f t="shared" ca="1" si="32"/>
        <v>1.1412281132689079</v>
      </c>
      <c r="W100" s="304">
        <f t="shared" ca="1" si="33"/>
        <v>61.4972468491586</v>
      </c>
      <c r="Y100" s="314" t="str">
        <f t="shared" ca="1" si="51"/>
        <v/>
      </c>
      <c r="Z100" s="315" t="str">
        <f t="shared" ca="1" si="52"/>
        <v/>
      </c>
      <c r="AA100" s="316" t="str">
        <f t="shared" ca="1" si="53"/>
        <v/>
      </c>
      <c r="AC100" s="310" t="e">
        <f t="shared" ca="1" si="54"/>
        <v>#N/A</v>
      </c>
      <c r="AD100" s="323" t="e">
        <f t="shared" ca="1" si="55"/>
        <v>#N/A</v>
      </c>
      <c r="AE100" s="324">
        <f t="shared" ca="1" si="34"/>
        <v>708.06264418321234</v>
      </c>
      <c r="AG100" s="306">
        <f t="shared" ca="1" si="56"/>
        <v>-21.593309476482364</v>
      </c>
      <c r="AH100" s="304">
        <f t="shared" ca="1" si="57"/>
        <v>-12.139637667264196</v>
      </c>
    </row>
    <row r="101" spans="1:34" x14ac:dyDescent="0.2">
      <c r="A101" s="347">
        <f t="shared" ca="1" si="35"/>
        <v>0.01</v>
      </c>
      <c r="B101" s="304">
        <f t="shared" ca="1" si="36"/>
        <v>0.97000000000000064</v>
      </c>
      <c r="D101" s="306">
        <f t="shared" ca="1" si="37"/>
        <v>-3.233485968643675</v>
      </c>
      <c r="E101" s="307">
        <f t="shared" ca="1" si="38"/>
        <v>-21.468515797091388</v>
      </c>
      <c r="F101" s="304">
        <f t="shared" ca="1" si="39"/>
        <v>21.710656416593626</v>
      </c>
      <c r="G101" s="306">
        <f t="shared" ca="1" si="40"/>
        <v>35.373537850046759</v>
      </c>
      <c r="H101" s="307">
        <f t="shared" ca="1" si="41"/>
        <v>127.44318325374104</v>
      </c>
      <c r="I101" s="304">
        <f t="shared" ca="1" si="42"/>
        <v>132.26130249576144</v>
      </c>
      <c r="J101" s="306">
        <f t="shared" ca="1" si="43"/>
        <v>169.22049687854812</v>
      </c>
      <c r="K101" s="307">
        <f t="shared" ca="1" si="44"/>
        <v>709.3381494415396</v>
      </c>
      <c r="L101" s="304">
        <f t="shared" ca="1" si="29"/>
        <v>729.24357166653908</v>
      </c>
      <c r="M101" s="306">
        <f t="shared" ca="1" si="45"/>
        <v>1.3000486937136406</v>
      </c>
      <c r="N101" s="304">
        <f t="shared" ca="1" si="46"/>
        <v>74.487303311287448</v>
      </c>
      <c r="P101" s="310">
        <f t="shared" ca="1" si="47"/>
        <v>3</v>
      </c>
      <c r="Q101" s="304">
        <f t="shared" ca="1" si="48"/>
        <v>0</v>
      </c>
      <c r="R101" s="306">
        <f t="shared" ca="1" si="49"/>
        <v>0</v>
      </c>
      <c r="S101" s="307">
        <f t="shared" ca="1" si="50"/>
        <v>5.083000000000002</v>
      </c>
      <c r="T101" s="304">
        <f t="shared" ca="1" si="30"/>
        <v>49.86423000000002</v>
      </c>
      <c r="U101" s="311">
        <f t="shared" ca="1" si="31"/>
        <v>0</v>
      </c>
      <c r="V101" s="306">
        <f t="shared" ca="1" si="32"/>
        <v>1.1410823753231034</v>
      </c>
      <c r="W101" s="304">
        <f t="shared" ca="1" si="33"/>
        <v>61.289492678952939</v>
      </c>
      <c r="Y101" s="314" t="str">
        <f t="shared" ca="1" si="51"/>
        <v/>
      </c>
      <c r="Z101" s="315" t="str">
        <f t="shared" ca="1" si="52"/>
        <v/>
      </c>
      <c r="AA101" s="316" t="str">
        <f t="shared" ca="1" si="53"/>
        <v/>
      </c>
      <c r="AC101" s="310" t="e">
        <f t="shared" ca="1" si="54"/>
        <v>#N/A</v>
      </c>
      <c r="AD101" s="323" t="e">
        <f t="shared" ca="1" si="55"/>
        <v>#N/A</v>
      </c>
      <c r="AE101" s="324">
        <f t="shared" ca="1" si="34"/>
        <v>709.3381494415396</v>
      </c>
      <c r="AG101" s="306">
        <f t="shared" ca="1" si="56"/>
        <v>-21.551765885589305</v>
      </c>
      <c r="AH101" s="304">
        <f t="shared" ca="1" si="57"/>
        <v>-12.098612403926534</v>
      </c>
    </row>
    <row r="102" spans="1:34" x14ac:dyDescent="0.2">
      <c r="A102" s="347">
        <f t="shared" ca="1" si="35"/>
        <v>0.01</v>
      </c>
      <c r="B102" s="304">
        <f t="shared" ca="1" si="36"/>
        <v>0.98000000000000065</v>
      </c>
      <c r="D102" s="306">
        <f t="shared" ca="1" si="37"/>
        <v>-3.2248655958290802</v>
      </c>
      <c r="E102" s="307">
        <f t="shared" ca="1" si="38"/>
        <v>-21.428491168176642</v>
      </c>
      <c r="F102" s="304">
        <f t="shared" ca="1" si="39"/>
        <v>21.669794458088116</v>
      </c>
      <c r="G102" s="306">
        <f t="shared" ca="1" si="40"/>
        <v>35.341289194088468</v>
      </c>
      <c r="H102" s="307">
        <f t="shared" ca="1" si="41"/>
        <v>127.22889834205927</v>
      </c>
      <c r="I102" s="304">
        <f t="shared" ca="1" si="42"/>
        <v>132.04620136616671</v>
      </c>
      <c r="J102" s="306">
        <f t="shared" ca="1" si="43"/>
        <v>169.57407101376879</v>
      </c>
      <c r="K102" s="307">
        <f t="shared" ca="1" si="44"/>
        <v>710.6115098495186</v>
      </c>
      <c r="L102" s="304">
        <f t="shared" ca="1" si="29"/>
        <v>730.56422270105395</v>
      </c>
      <c r="M102" s="306">
        <f t="shared" ca="1" si="45"/>
        <v>1.2998499978618701</v>
      </c>
      <c r="N102" s="304">
        <f t="shared" ca="1" si="46"/>
        <v>74.47591887757423</v>
      </c>
      <c r="P102" s="310">
        <f t="shared" ca="1" si="47"/>
        <v>3</v>
      </c>
      <c r="Q102" s="304">
        <f t="shared" ca="1" si="48"/>
        <v>0</v>
      </c>
      <c r="R102" s="306">
        <f t="shared" ca="1" si="49"/>
        <v>0</v>
      </c>
      <c r="S102" s="307">
        <f t="shared" ca="1" si="50"/>
        <v>5.083000000000002</v>
      </c>
      <c r="T102" s="304">
        <f t="shared" ca="1" si="30"/>
        <v>49.86423000000002</v>
      </c>
      <c r="U102" s="311">
        <f t="shared" ca="1" si="31"/>
        <v>0</v>
      </c>
      <c r="V102" s="306">
        <f t="shared" ca="1" si="32"/>
        <v>1.1409369003516223</v>
      </c>
      <c r="W102" s="304">
        <f t="shared" ca="1" si="33"/>
        <v>61.082512029395836</v>
      </c>
      <c r="Y102" s="314" t="str">
        <f t="shared" ca="1" si="51"/>
        <v/>
      </c>
      <c r="Z102" s="315" t="str">
        <f t="shared" ca="1" si="52"/>
        <v/>
      </c>
      <c r="AA102" s="316" t="str">
        <f t="shared" ca="1" si="53"/>
        <v/>
      </c>
      <c r="AC102" s="310" t="e">
        <f t="shared" ca="1" si="54"/>
        <v>#N/A</v>
      </c>
      <c r="AD102" s="323" t="e">
        <f t="shared" ca="1" si="55"/>
        <v>#N/A</v>
      </c>
      <c r="AE102" s="324">
        <f t="shared" ca="1" si="34"/>
        <v>710.6115098495186</v>
      </c>
      <c r="AG102" s="306">
        <f t="shared" ca="1" si="56"/>
        <v>-21.510373618947639</v>
      </c>
      <c r="AH102" s="304">
        <f t="shared" ca="1" si="57"/>
        <v>-12.057740050944897</v>
      </c>
    </row>
    <row r="103" spans="1:34" x14ac:dyDescent="0.2">
      <c r="A103" s="347">
        <f t="shared" ca="1" si="35"/>
        <v>0.01</v>
      </c>
      <c r="B103" s="304">
        <f t="shared" ca="1" si="36"/>
        <v>0.99000000000000066</v>
      </c>
      <c r="D103" s="306">
        <f t="shared" ca="1" si="37"/>
        <v>-3.2162755936383332</v>
      </c>
      <c r="E103" s="307">
        <f t="shared" ca="1" si="38"/>
        <v>-21.38861554783081</v>
      </c>
      <c r="F103" s="304">
        <f t="shared" ca="1" si="39"/>
        <v>21.629084671967593</v>
      </c>
      <c r="G103" s="306">
        <f t="shared" ca="1" si="40"/>
        <v>35.309126438152084</v>
      </c>
      <c r="H103" s="307">
        <f t="shared" ca="1" si="41"/>
        <v>127.01501218658096</v>
      </c>
      <c r="I103" s="304">
        <f t="shared" ca="1" si="42"/>
        <v>131.8315126613615</v>
      </c>
      <c r="J103" s="306">
        <f t="shared" ca="1" si="43"/>
        <v>169.92732309192999</v>
      </c>
      <c r="K103" s="307">
        <f t="shared" ca="1" si="44"/>
        <v>711.88272940216177</v>
      </c>
      <c r="L103" s="304">
        <f t="shared" ca="1" si="29"/>
        <v>731.88271980848174</v>
      </c>
      <c r="M103" s="306">
        <f t="shared" ca="1" si="45"/>
        <v>1.2996508359665302</v>
      </c>
      <c r="N103" s="304">
        <f t="shared" ca="1" si="46"/>
        <v>74.464507741531435</v>
      </c>
      <c r="P103" s="310">
        <f t="shared" ca="1" si="47"/>
        <v>3</v>
      </c>
      <c r="Q103" s="304">
        <f t="shared" ca="1" si="48"/>
        <v>0</v>
      </c>
      <c r="R103" s="306">
        <f t="shared" ca="1" si="49"/>
        <v>0</v>
      </c>
      <c r="S103" s="307">
        <f t="shared" ca="1" si="50"/>
        <v>5.083000000000002</v>
      </c>
      <c r="T103" s="304">
        <f t="shared" ca="1" si="30"/>
        <v>49.86423000000002</v>
      </c>
      <c r="U103" s="311">
        <f t="shared" ca="1" si="31"/>
        <v>0</v>
      </c>
      <c r="V103" s="306">
        <f t="shared" ca="1" si="32"/>
        <v>1.1407916878044415</v>
      </c>
      <c r="W103" s="304">
        <f t="shared" ca="1" si="33"/>
        <v>60.87630120049856</v>
      </c>
      <c r="Y103" s="314" t="str">
        <f t="shared" ca="1" si="51"/>
        <v/>
      </c>
      <c r="Z103" s="315" t="str">
        <f t="shared" ca="1" si="52"/>
        <v/>
      </c>
      <c r="AA103" s="316" t="str">
        <f t="shared" ca="1" si="53"/>
        <v/>
      </c>
      <c r="AC103" s="310" t="e">
        <f t="shared" ca="1" si="54"/>
        <v>#N/A</v>
      </c>
      <c r="AD103" s="323" t="e">
        <f t="shared" ca="1" si="55"/>
        <v>#N/A</v>
      </c>
      <c r="AE103" s="324">
        <f t="shared" ca="1" si="34"/>
        <v>711.88272940216177</v>
      </c>
      <c r="AG103" s="306">
        <f t="shared" ca="1" si="56"/>
        <v>-21.469131938401876</v>
      </c>
      <c r="AH103" s="304">
        <f t="shared" ca="1" si="57"/>
        <v>-12.017019875938582</v>
      </c>
    </row>
    <row r="104" spans="1:34" x14ac:dyDescent="0.2">
      <c r="A104" s="347">
        <f t="shared" ca="1" si="35"/>
        <v>0.01</v>
      </c>
      <c r="B104" s="304">
        <f t="shared" ca="1" si="36"/>
        <v>1.0000000000000007</v>
      </c>
      <c r="D104" s="306">
        <f t="shared" ca="1" si="37"/>
        <v>-3.2077158141773565</v>
      </c>
      <c r="E104" s="307">
        <f t="shared" ca="1" si="38"/>
        <v>-21.34888822320432</v>
      </c>
      <c r="F104" s="304">
        <f t="shared" ca="1" si="39"/>
        <v>21.588526330238377</v>
      </c>
      <c r="G104" s="306">
        <f t="shared" ca="1" si="40"/>
        <v>35.27704928001031</v>
      </c>
      <c r="H104" s="307">
        <f t="shared" ca="1" si="41"/>
        <v>126.80152330434892</v>
      </c>
      <c r="I104" s="304">
        <f t="shared" ca="1" si="42"/>
        <v>131.61723488285119</v>
      </c>
      <c r="J104" s="306">
        <f t="shared" ca="1" si="43"/>
        <v>170.28025397052082</v>
      </c>
      <c r="K104" s="307">
        <f t="shared" ca="1" si="44"/>
        <v>713.15181207961643</v>
      </c>
      <c r="L104" s="304">
        <f t="shared" ca="1" si="29"/>
        <v>733.19906707844746</v>
      </c>
      <c r="M104" s="306">
        <f t="shared" ca="1" si="45"/>
        <v>1.2994512068037067</v>
      </c>
      <c r="N104" s="304">
        <f t="shared" ca="1" si="46"/>
        <v>74.453069833033922</v>
      </c>
      <c r="P104" s="310">
        <f t="shared" ca="1" si="47"/>
        <v>3</v>
      </c>
      <c r="Q104" s="304">
        <f t="shared" ca="1" si="48"/>
        <v>0</v>
      </c>
      <c r="R104" s="306">
        <f t="shared" ca="1" si="49"/>
        <v>0</v>
      </c>
      <c r="S104" s="307">
        <f t="shared" ca="1" si="50"/>
        <v>5.083000000000002</v>
      </c>
      <c r="T104" s="304">
        <f t="shared" ca="1" si="30"/>
        <v>49.86423000000002</v>
      </c>
      <c r="U104" s="311">
        <f t="shared" ca="1" si="31"/>
        <v>0</v>
      </c>
      <c r="V104" s="306">
        <f t="shared" ca="1" si="32"/>
        <v>1.1406467371336455</v>
      </c>
      <c r="W104" s="304">
        <f t="shared" ca="1" si="33"/>
        <v>60.670856514808904</v>
      </c>
      <c r="Y104" s="314" t="str">
        <f t="shared" ca="1" si="51"/>
        <v/>
      </c>
      <c r="Z104" s="315" t="str">
        <f t="shared" ca="1" si="52"/>
        <v/>
      </c>
      <c r="AA104" s="316" t="str">
        <f t="shared" ca="1" si="53"/>
        <v/>
      </c>
      <c r="AC104" s="310">
        <f t="shared" ca="1" si="54"/>
        <v>1.0000000000000007</v>
      </c>
      <c r="AD104" s="323">
        <f t="shared" ca="1" si="55"/>
        <v>170.28025397052082</v>
      </c>
      <c r="AE104" s="324">
        <f t="shared" ca="1" si="34"/>
        <v>713.15181207961643</v>
      </c>
      <c r="AG104" s="306">
        <f t="shared" ca="1" si="56"/>
        <v>-21.428040110235699</v>
      </c>
      <c r="AH104" s="304">
        <f t="shared" ca="1" si="57"/>
        <v>-11.976451150993221</v>
      </c>
    </row>
    <row r="105" spans="1:34" x14ac:dyDescent="0.2">
      <c r="A105" s="347">
        <f t="shared" ca="1" si="35"/>
        <v>0.1</v>
      </c>
      <c r="B105" s="304">
        <f t="shared" ca="1" si="36"/>
        <v>1.1000000000000008</v>
      </c>
      <c r="D105" s="306">
        <f t="shared" ca="1" si="37"/>
        <v>-3.1991861104503596</v>
      </c>
      <c r="E105" s="307">
        <f t="shared" ca="1" si="38"/>
        <v>-21.309308485789039</v>
      </c>
      <c r="F105" s="304">
        <f t="shared" ca="1" si="39"/>
        <v>21.548118709340248</v>
      </c>
      <c r="G105" s="306">
        <f t="shared" ca="1" si="40"/>
        <v>34.957130668965277</v>
      </c>
      <c r="H105" s="307">
        <f t="shared" ca="1" si="41"/>
        <v>124.67059245577002</v>
      </c>
      <c r="I105" s="304">
        <f t="shared" ca="1" si="42"/>
        <v>129.47879211623737</v>
      </c>
      <c r="J105" s="306">
        <f t="shared" ca="1" si="43"/>
        <v>173.7919629679696</v>
      </c>
      <c r="K105" s="307">
        <f t="shared" ca="1" si="44"/>
        <v>725.72541786762235</v>
      </c>
      <c r="L105" s="304">
        <f t="shared" ca="1" si="29"/>
        <v>746.24461708704814</v>
      </c>
      <c r="M105" s="306">
        <f t="shared" ca="1" si="45"/>
        <v>1.2974204862907623</v>
      </c>
      <c r="N105" s="304">
        <f t="shared" ca="1" si="46"/>
        <v>74.336718118271563</v>
      </c>
      <c r="P105" s="310">
        <f t="shared" ca="1" si="47"/>
        <v>23</v>
      </c>
      <c r="Q105" s="304">
        <f t="shared" ca="1" si="48"/>
        <v>0</v>
      </c>
      <c r="R105" s="306">
        <f t="shared" ca="1" si="49"/>
        <v>0</v>
      </c>
      <c r="S105" s="307">
        <f t="shared" ca="1" si="50"/>
        <v>5.083000000000002</v>
      </c>
      <c r="T105" s="304">
        <f t="shared" ca="1" si="30"/>
        <v>49.86423000000002</v>
      </c>
      <c r="U105" s="311">
        <f t="shared" ca="1" si="31"/>
        <v>0</v>
      </c>
      <c r="V105" s="306">
        <f t="shared" ca="1" si="32"/>
        <v>1.1392115782233205</v>
      </c>
      <c r="W105" s="304">
        <f t="shared" ca="1" si="33"/>
        <v>58.641504943233315</v>
      </c>
      <c r="Y105" s="314" t="str">
        <f t="shared" ca="1" si="51"/>
        <v/>
      </c>
      <c r="Z105" s="315" t="str">
        <f t="shared" ca="1" si="52"/>
        <v/>
      </c>
      <c r="AA105" s="316" t="str">
        <f t="shared" ca="1" si="53"/>
        <v/>
      </c>
      <c r="AC105" s="310" t="e">
        <f t="shared" ca="1" si="54"/>
        <v>#N/A</v>
      </c>
      <c r="AD105" s="323" t="e">
        <f t="shared" ca="1" si="55"/>
        <v>#N/A</v>
      </c>
      <c r="AE105" s="324">
        <f t="shared" ca="1" si="34"/>
        <v>725.72541786762235</v>
      </c>
      <c r="AG105" s="306">
        <f t="shared" ca="1" si="56"/>
        <v>-21.38709740513918</v>
      </c>
      <c r="AH105" s="304">
        <f t="shared" ca="1" si="57"/>
        <v>-11.936033152628148</v>
      </c>
    </row>
    <row r="106" spans="1:34" x14ac:dyDescent="0.2">
      <c r="A106" s="347">
        <f t="shared" ca="1" si="35"/>
        <v>0.1</v>
      </c>
      <c r="B106" s="304">
        <f t="shared" ca="1" si="36"/>
        <v>1.2000000000000008</v>
      </c>
      <c r="D106" s="306">
        <f t="shared" ca="1" si="37"/>
        <v>-3.1147424098029095</v>
      </c>
      <c r="E106" s="307">
        <f t="shared" ca="1" si="38"/>
        <v>-20.918371143344061</v>
      </c>
      <c r="F106" s="304">
        <f t="shared" ca="1" si="39"/>
        <v>21.148992211689766</v>
      </c>
      <c r="G106" s="306">
        <f t="shared" ca="1" si="40"/>
        <v>34.645656427984989</v>
      </c>
      <c r="H106" s="307">
        <f t="shared" ca="1" si="41"/>
        <v>122.57875534143561</v>
      </c>
      <c r="I106" s="304">
        <f t="shared" ca="1" si="42"/>
        <v>127.3808179059214</v>
      </c>
      <c r="J106" s="306">
        <f t="shared" ca="1" si="43"/>
        <v>177.27210232281712</v>
      </c>
      <c r="K106" s="307">
        <f t="shared" ca="1" si="44"/>
        <v>738.08788525748264</v>
      </c>
      <c r="L106" s="304">
        <f t="shared" ca="1" si="29"/>
        <v>759.07781197042914</v>
      </c>
      <c r="M106" s="306">
        <f t="shared" ca="1" si="45"/>
        <v>1.2953412568027458</v>
      </c>
      <c r="N106" s="304">
        <f t="shared" ca="1" si="46"/>
        <v>74.217587043969075</v>
      </c>
      <c r="P106" s="310">
        <f t="shared" ca="1" si="47"/>
        <v>23</v>
      </c>
      <c r="Q106" s="304">
        <f t="shared" ca="1" si="48"/>
        <v>0</v>
      </c>
      <c r="R106" s="306">
        <f t="shared" ca="1" si="49"/>
        <v>0</v>
      </c>
      <c r="S106" s="307">
        <f t="shared" ca="1" si="50"/>
        <v>5.083000000000002</v>
      </c>
      <c r="T106" s="304">
        <f t="shared" ca="1" si="30"/>
        <v>49.86423000000002</v>
      </c>
      <c r="U106" s="311">
        <f t="shared" ca="1" si="31"/>
        <v>0</v>
      </c>
      <c r="V106" s="306">
        <f t="shared" ca="1" si="32"/>
        <v>1.1378022154749212</v>
      </c>
      <c r="W106" s="304">
        <f t="shared" ca="1" si="33"/>
        <v>56.686322053584057</v>
      </c>
      <c r="Y106" s="314" t="str">
        <f t="shared" ca="1" si="51"/>
        <v/>
      </c>
      <c r="Z106" s="315" t="str">
        <f t="shared" ca="1" si="52"/>
        <v/>
      </c>
      <c r="AA106" s="316" t="str">
        <f t="shared" ca="1" si="53"/>
        <v/>
      </c>
      <c r="AC106" s="310" t="e">
        <f t="shared" ca="1" si="54"/>
        <v>#N/A</v>
      </c>
      <c r="AD106" s="323" t="e">
        <f t="shared" ca="1" si="55"/>
        <v>#N/A</v>
      </c>
      <c r="AE106" s="324">
        <f t="shared" ca="1" si="34"/>
        <v>738.08788525748264</v>
      </c>
      <c r="AG106" s="306">
        <f t="shared" ca="1" si="56"/>
        <v>-20.982495562911069</v>
      </c>
      <c r="AH106" s="304">
        <f t="shared" ca="1" si="57"/>
        <v>-11.536790270161969</v>
      </c>
    </row>
    <row r="107" spans="1:34" x14ac:dyDescent="0.2">
      <c r="A107" s="347">
        <f t="shared" ca="1" si="35"/>
        <v>0.1</v>
      </c>
      <c r="B107" s="304">
        <f t="shared" ca="1" si="36"/>
        <v>1.3000000000000009</v>
      </c>
      <c r="D107" s="306">
        <f t="shared" ca="1" si="37"/>
        <v>-3.0332131578989867</v>
      </c>
      <c r="E107" s="307">
        <f t="shared" ca="1" si="38"/>
        <v>-20.541720276490306</v>
      </c>
      <c r="F107" s="304">
        <f t="shared" ca="1" si="39"/>
        <v>20.764456505741357</v>
      </c>
      <c r="G107" s="306">
        <f t="shared" ca="1" si="40"/>
        <v>34.342335112195087</v>
      </c>
      <c r="H107" s="307">
        <f t="shared" ca="1" si="41"/>
        <v>120.52458331378658</v>
      </c>
      <c r="I107" s="304">
        <f t="shared" ca="1" si="42"/>
        <v>125.32187025383953</v>
      </c>
      <c r="J107" s="306">
        <f t="shared" ca="1" si="43"/>
        <v>180.72150189982614</v>
      </c>
      <c r="K107" s="307">
        <f t="shared" ca="1" si="44"/>
        <v>750.2430521902437</v>
      </c>
      <c r="L107" s="304">
        <f t="shared" ca="1" si="29"/>
        <v>771.70259725405981</v>
      </c>
      <c r="M107" s="306">
        <f t="shared" ca="1" si="45"/>
        <v>1.2932122000948272</v>
      </c>
      <c r="N107" s="304">
        <f t="shared" ca="1" si="46"/>
        <v>74.095601080261318</v>
      </c>
      <c r="P107" s="310">
        <f t="shared" ca="1" si="47"/>
        <v>23</v>
      </c>
      <c r="Q107" s="304">
        <f t="shared" ca="1" si="48"/>
        <v>0</v>
      </c>
      <c r="R107" s="306">
        <f t="shared" ca="1" si="49"/>
        <v>0</v>
      </c>
      <c r="S107" s="307">
        <f t="shared" ca="1" si="50"/>
        <v>5.083000000000002</v>
      </c>
      <c r="T107" s="304">
        <f t="shared" ca="1" si="30"/>
        <v>49.86423000000002</v>
      </c>
      <c r="U107" s="311">
        <f t="shared" ca="1" si="31"/>
        <v>0</v>
      </c>
      <c r="V107" s="306">
        <f t="shared" ca="1" si="32"/>
        <v>1.1364181229953316</v>
      </c>
      <c r="W107" s="304">
        <f t="shared" ca="1" si="33"/>
        <v>54.80186322786858</v>
      </c>
      <c r="Y107" s="314" t="str">
        <f t="shared" ca="1" si="51"/>
        <v/>
      </c>
      <c r="Z107" s="315" t="str">
        <f t="shared" ca="1" si="52"/>
        <v/>
      </c>
      <c r="AA107" s="316" t="str">
        <f t="shared" ca="1" si="53"/>
        <v/>
      </c>
      <c r="AC107" s="310" t="e">
        <f t="shared" ca="1" si="54"/>
        <v>#N/A</v>
      </c>
      <c r="AD107" s="323" t="e">
        <f t="shared" ca="1" si="55"/>
        <v>#N/A</v>
      </c>
      <c r="AE107" s="324">
        <f t="shared" ca="1" si="34"/>
        <v>750.2430521902437</v>
      </c>
      <c r="AG107" s="306">
        <f t="shared" ca="1" si="56"/>
        <v>-20.592316866286886</v>
      </c>
      <c r="AH107" s="304">
        <f t="shared" ca="1" si="57"/>
        <v>-11.152138904895541</v>
      </c>
    </row>
    <row r="108" spans="1:34" x14ac:dyDescent="0.2">
      <c r="A108" s="347">
        <f t="shared" ca="1" si="35"/>
        <v>0.1</v>
      </c>
      <c r="B108" s="304">
        <f t="shared" ca="1" si="36"/>
        <v>1.400000000000001</v>
      </c>
      <c r="D108" s="306">
        <f t="shared" ca="1" si="37"/>
        <v>-2.9544603708126562</v>
      </c>
      <c r="E108" s="307">
        <f t="shared" ca="1" si="38"/>
        <v>-20.178692284493017</v>
      </c>
      <c r="F108" s="304">
        <f t="shared" ca="1" si="39"/>
        <v>20.393833832679928</v>
      </c>
      <c r="G108" s="306">
        <f t="shared" ca="1" si="40"/>
        <v>34.046889075113825</v>
      </c>
      <c r="H108" s="307">
        <f t="shared" ca="1" si="41"/>
        <v>118.50671408533728</v>
      </c>
      <c r="I108" s="304">
        <f t="shared" ca="1" si="42"/>
        <v>123.30057558258591</v>
      </c>
      <c r="J108" s="306">
        <f t="shared" ca="1" si="43"/>
        <v>184.14096310919157</v>
      </c>
      <c r="K108" s="307">
        <f t="shared" ca="1" si="44"/>
        <v>762.1946170601999</v>
      </c>
      <c r="L108" s="304">
        <f t="shared" ca="1" si="29"/>
        <v>784.12277646445489</v>
      </c>
      <c r="M108" s="306">
        <f t="shared" ca="1" si="45"/>
        <v>1.2910319455435131</v>
      </c>
      <c r="N108" s="304">
        <f t="shared" ca="1" si="46"/>
        <v>73.970681696206825</v>
      </c>
      <c r="P108" s="310">
        <f t="shared" ca="1" si="47"/>
        <v>23</v>
      </c>
      <c r="Q108" s="304">
        <f t="shared" ca="1" si="48"/>
        <v>0</v>
      </c>
      <c r="R108" s="306">
        <f t="shared" ca="1" si="49"/>
        <v>0</v>
      </c>
      <c r="S108" s="307">
        <f t="shared" ca="1" si="50"/>
        <v>5.083000000000002</v>
      </c>
      <c r="T108" s="304">
        <f t="shared" ca="1" si="30"/>
        <v>49.86423000000002</v>
      </c>
      <c r="U108" s="311">
        <f t="shared" ca="1" si="31"/>
        <v>0</v>
      </c>
      <c r="V108" s="306">
        <f t="shared" ca="1" si="32"/>
        <v>1.1350587945426989</v>
      </c>
      <c r="W108" s="304">
        <f t="shared" ca="1" si="33"/>
        <v>52.984886009753062</v>
      </c>
      <c r="Y108" s="314" t="str">
        <f t="shared" ca="1" si="51"/>
        <v/>
      </c>
      <c r="Z108" s="315" t="str">
        <f t="shared" ca="1" si="52"/>
        <v/>
      </c>
      <c r="AA108" s="316" t="str">
        <f t="shared" ca="1" si="53"/>
        <v/>
      </c>
      <c r="AC108" s="310" t="e">
        <f t="shared" ca="1" si="54"/>
        <v>#N/A</v>
      </c>
      <c r="AD108" s="323" t="e">
        <f t="shared" ca="1" si="55"/>
        <v>#N/A</v>
      </c>
      <c r="AE108" s="324">
        <f t="shared" ca="1" si="34"/>
        <v>762.1946170601999</v>
      </c>
      <c r="AG108" s="306">
        <f t="shared" ca="1" si="56"/>
        <v>-20.21587726391412</v>
      </c>
      <c r="AH108" s="304">
        <f t="shared" ca="1" si="57"/>
        <v>-10.781401382622184</v>
      </c>
    </row>
    <row r="109" spans="1:34" x14ac:dyDescent="0.2">
      <c r="A109" s="347">
        <f t="shared" ca="1" si="35"/>
        <v>0.1</v>
      </c>
      <c r="B109" s="304">
        <f t="shared" ca="1" si="36"/>
        <v>1.5000000000000011</v>
      </c>
      <c r="D109" s="306">
        <f t="shared" ca="1" si="37"/>
        <v>-2.8783541395644709</v>
      </c>
      <c r="E109" s="307">
        <f t="shared" ca="1" si="38"/>
        <v>-19.828662506908447</v>
      </c>
      <c r="F109" s="304">
        <f t="shared" ca="1" si="39"/>
        <v>20.036486203065262</v>
      </c>
      <c r="G109" s="306">
        <f t="shared" ca="1" si="40"/>
        <v>33.759053661157381</v>
      </c>
      <c r="H109" s="307">
        <f t="shared" ca="1" si="41"/>
        <v>116.52384783464643</v>
      </c>
      <c r="I109" s="304">
        <f t="shared" ca="1" si="42"/>
        <v>121.31562479041493</v>
      </c>
      <c r="J109" s="306">
        <f t="shared" ca="1" si="43"/>
        <v>187.53126024600513</v>
      </c>
      <c r="K109" s="307">
        <f t="shared" ca="1" si="44"/>
        <v>773.94614515619912</v>
      </c>
      <c r="L109" s="304">
        <f t="shared" ca="1" si="29"/>
        <v>796.34201771072912</v>
      </c>
      <c r="M109" s="306">
        <f t="shared" ca="1" si="45"/>
        <v>1.288799067717517</v>
      </c>
      <c r="N109" s="304">
        <f t="shared" ca="1" si="46"/>
        <v>73.842747220608899</v>
      </c>
      <c r="P109" s="310">
        <f t="shared" ca="1" si="47"/>
        <v>23</v>
      </c>
      <c r="Q109" s="304">
        <f t="shared" ca="1" si="48"/>
        <v>0</v>
      </c>
      <c r="R109" s="306">
        <f t="shared" ca="1" si="49"/>
        <v>0</v>
      </c>
      <c r="S109" s="307">
        <f t="shared" ca="1" si="50"/>
        <v>5.083000000000002</v>
      </c>
      <c r="T109" s="304">
        <f t="shared" ca="1" si="30"/>
        <v>49.86423000000002</v>
      </c>
      <c r="U109" s="311">
        <f t="shared" ca="1" si="31"/>
        <v>0</v>
      </c>
      <c r="V109" s="306">
        <f t="shared" ca="1" si="32"/>
        <v>1.1337237425964537</v>
      </c>
      <c r="W109" s="304">
        <f t="shared" ca="1" si="33"/>
        <v>51.232336024024889</v>
      </c>
      <c r="Y109" s="314" t="str">
        <f t="shared" ca="1" si="51"/>
        <v/>
      </c>
      <c r="Z109" s="315" t="str">
        <f t="shared" ca="1" si="52"/>
        <v/>
      </c>
      <c r="AA109" s="316" t="str">
        <f t="shared" ca="1" si="53"/>
        <v/>
      </c>
      <c r="AC109" s="310" t="e">
        <f t="shared" ca="1" si="54"/>
        <v>#N/A</v>
      </c>
      <c r="AD109" s="323" t="e">
        <f t="shared" ca="1" si="55"/>
        <v>#N/A</v>
      </c>
      <c r="AE109" s="324">
        <f t="shared" ca="1" si="34"/>
        <v>773.94614515619912</v>
      </c>
      <c r="AG109" s="306">
        <f t="shared" ca="1" si="56"/>
        <v>-19.852532163322735</v>
      </c>
      <c r="AH109" s="304">
        <f t="shared" ca="1" si="57"/>
        <v>-10.42393980124986</v>
      </c>
    </row>
    <row r="110" spans="1:34" x14ac:dyDescent="0.2">
      <c r="A110" s="347">
        <f t="shared" ca="1" si="35"/>
        <v>0.1</v>
      </c>
      <c r="B110" s="304">
        <f t="shared" ca="1" si="36"/>
        <v>1.6000000000000012</v>
      </c>
      <c r="D110" s="306">
        <f t="shared" ca="1" si="37"/>
        <v>-2.8047720676877934</v>
      </c>
      <c r="E110" s="307">
        <f t="shared" ca="1" si="38"/>
        <v>-19.491042511039225</v>
      </c>
      <c r="F110" s="304">
        <f t="shared" ca="1" si="39"/>
        <v>19.69181262654152</v>
      </c>
      <c r="G110" s="306">
        <f t="shared" ca="1" si="40"/>
        <v>33.478576454388602</v>
      </c>
      <c r="H110" s="307">
        <f t="shared" ca="1" si="41"/>
        <v>114.57474358354251</v>
      </c>
      <c r="I110" s="304">
        <f t="shared" ca="1" si="42"/>
        <v>119.3657695851154</v>
      </c>
      <c r="J110" s="306">
        <f t="shared" ca="1" si="43"/>
        <v>190.89314175178242</v>
      </c>
      <c r="K110" s="307">
        <f t="shared" ca="1" si="44"/>
        <v>785.50107472710852</v>
      </c>
      <c r="L110" s="304">
        <f t="shared" ca="1" si="29"/>
        <v>808.3638598832265</v>
      </c>
      <c r="M110" s="306">
        <f t="shared" ca="1" si="45"/>
        <v>1.2865120838123136</v>
      </c>
      <c r="N110" s="304">
        <f t="shared" ca="1" si="46"/>
        <v>73.711712695026407</v>
      </c>
      <c r="P110" s="310">
        <f t="shared" ca="1" si="47"/>
        <v>23</v>
      </c>
      <c r="Q110" s="304">
        <f t="shared" ca="1" si="48"/>
        <v>0</v>
      </c>
      <c r="R110" s="306">
        <f t="shared" ca="1" si="49"/>
        <v>0</v>
      </c>
      <c r="S110" s="307">
        <f t="shared" ca="1" si="50"/>
        <v>5.083000000000002</v>
      </c>
      <c r="T110" s="304">
        <f t="shared" ca="1" si="30"/>
        <v>49.86423000000002</v>
      </c>
      <c r="U110" s="311">
        <f t="shared" ca="1" si="31"/>
        <v>0</v>
      </c>
      <c r="V110" s="306">
        <f t="shared" ca="1" si="32"/>
        <v>1.1324124974826146</v>
      </c>
      <c r="W110" s="304">
        <f t="shared" ca="1" si="33"/>
        <v>49.541334032691644</v>
      </c>
      <c r="Y110" s="314" t="str">
        <f t="shared" ca="1" si="51"/>
        <v/>
      </c>
      <c r="Z110" s="315" t="str">
        <f t="shared" ca="1" si="52"/>
        <v/>
      </c>
      <c r="AA110" s="316" t="str">
        <f t="shared" ca="1" si="53"/>
        <v/>
      </c>
      <c r="AC110" s="310" t="e">
        <f t="shared" ca="1" si="54"/>
        <v>#N/A</v>
      </c>
      <c r="AD110" s="323" t="e">
        <f t="shared" ca="1" si="55"/>
        <v>#N/A</v>
      </c>
      <c r="AE110" s="324">
        <f t="shared" ca="1" si="34"/>
        <v>785.50107472710852</v>
      </c>
      <c r="AG110" s="306">
        <f t="shared" ca="1" si="56"/>
        <v>-19.501673642802459</v>
      </c>
      <c r="AH110" s="304">
        <f t="shared" ca="1" si="57"/>
        <v>-10.079153260677723</v>
      </c>
    </row>
    <row r="111" spans="1:34" x14ac:dyDescent="0.2">
      <c r="A111" s="347">
        <f t="shared" ca="1" si="35"/>
        <v>0.1</v>
      </c>
      <c r="B111" s="304">
        <f t="shared" ca="1" si="36"/>
        <v>1.7000000000000013</v>
      </c>
      <c r="D111" s="306">
        <f t="shared" ca="1" si="37"/>
        <v>-2.7335987542432427</v>
      </c>
      <c r="E111" s="307">
        <f t="shared" ca="1" si="38"/>
        <v>-19.165277598329727</v>
      </c>
      <c r="F111" s="304">
        <f t="shared" ca="1" si="39"/>
        <v>19.359246565149157</v>
      </c>
      <c r="G111" s="306">
        <f t="shared" ca="1" si="40"/>
        <v>33.205216578964276</v>
      </c>
      <c r="H111" s="307">
        <f t="shared" ca="1" si="41"/>
        <v>112.65821582370954</v>
      </c>
      <c r="I111" s="304">
        <f t="shared" ca="1" si="42"/>
        <v>117.44981907451984</v>
      </c>
      <c r="J111" s="306">
        <f t="shared" ca="1" si="43"/>
        <v>194.22733140345008</v>
      </c>
      <c r="K111" s="307">
        <f t="shared" ca="1" si="44"/>
        <v>796.8627226974711</v>
      </c>
      <c r="L111" s="304">
        <f t="shared" ca="1" si="29"/>
        <v>820.19171849570171</v>
      </c>
      <c r="M111" s="306">
        <f t="shared" ca="1" si="45"/>
        <v>1.2841694509398309</v>
      </c>
      <c r="N111" s="304">
        <f t="shared" ca="1" si="46"/>
        <v>73.577489718484543</v>
      </c>
      <c r="P111" s="310">
        <f t="shared" ca="1" si="47"/>
        <v>23</v>
      </c>
      <c r="Q111" s="304">
        <f t="shared" ca="1" si="48"/>
        <v>0</v>
      </c>
      <c r="R111" s="306">
        <f t="shared" ca="1" si="49"/>
        <v>0</v>
      </c>
      <c r="S111" s="307">
        <f t="shared" ca="1" si="50"/>
        <v>5.083000000000002</v>
      </c>
      <c r="T111" s="304">
        <f t="shared" ca="1" si="30"/>
        <v>49.86423000000002</v>
      </c>
      <c r="U111" s="311">
        <f t="shared" ca="1" si="31"/>
        <v>0</v>
      </c>
      <c r="V111" s="306">
        <f t="shared" ca="1" si="32"/>
        <v>1.1311246065504836</v>
      </c>
      <c r="W111" s="304">
        <f t="shared" ca="1" si="33"/>
        <v>47.90916402380045</v>
      </c>
      <c r="Y111" s="314" t="str">
        <f t="shared" ca="1" si="51"/>
        <v/>
      </c>
      <c r="Z111" s="315" t="str">
        <f t="shared" ca="1" si="52"/>
        <v/>
      </c>
      <c r="AA111" s="316" t="str">
        <f t="shared" ca="1" si="53"/>
        <v/>
      </c>
      <c r="AC111" s="310" t="e">
        <f t="shared" ca="1" si="54"/>
        <v>#N/A</v>
      </c>
      <c r="AD111" s="323" t="e">
        <f t="shared" ca="1" si="55"/>
        <v>#N/A</v>
      </c>
      <c r="AE111" s="324">
        <f t="shared" ca="1" si="34"/>
        <v>796.8627226974711</v>
      </c>
      <c r="AG111" s="306">
        <f t="shared" ca="1" si="56"/>
        <v>-19.162727885690465</v>
      </c>
      <c r="AH111" s="304">
        <f t="shared" ca="1" si="57"/>
        <v>-9.7464753162879454</v>
      </c>
    </row>
    <row r="112" spans="1:34" x14ac:dyDescent="0.2">
      <c r="A112" s="347">
        <f t="shared" ca="1" si="35"/>
        <v>0.1</v>
      </c>
      <c r="B112" s="304">
        <f t="shared" ca="1" si="36"/>
        <v>1.8000000000000014</v>
      </c>
      <c r="D112" s="306">
        <f t="shared" ca="1" si="37"/>
        <v>-2.6647253181296766</v>
      </c>
      <c r="E112" s="307">
        <f t="shared" ca="1" si="38"/>
        <v>-18.850844509682762</v>
      </c>
      <c r="F112" s="304">
        <f t="shared" ca="1" si="39"/>
        <v>19.038253589794365</v>
      </c>
      <c r="G112" s="306">
        <f t="shared" ca="1" si="40"/>
        <v>32.93874404715131</v>
      </c>
      <c r="H112" s="307">
        <f t="shared" ca="1" si="41"/>
        <v>110.77313137274126</v>
      </c>
      <c r="I112" s="304">
        <f t="shared" ca="1" si="42"/>
        <v>115.56663659346646</v>
      </c>
      <c r="J112" s="306">
        <f t="shared" ca="1" si="43"/>
        <v>197.53452943475585</v>
      </c>
      <c r="K112" s="307">
        <f t="shared" ca="1" si="44"/>
        <v>808.03429005729367</v>
      </c>
      <c r="L112" s="304">
        <f t="shared" ca="1" si="29"/>
        <v>831.82889119542199</v>
      </c>
      <c r="M112" s="306">
        <f t="shared" ca="1" si="45"/>
        <v>1.2817695632641197</v>
      </c>
      <c r="N112" s="304">
        <f t="shared" ca="1" si="46"/>
        <v>73.439986283360824</v>
      </c>
      <c r="P112" s="310">
        <f t="shared" ca="1" si="47"/>
        <v>23</v>
      </c>
      <c r="Q112" s="304">
        <f t="shared" ca="1" si="48"/>
        <v>0</v>
      </c>
      <c r="R112" s="306">
        <f t="shared" ca="1" si="49"/>
        <v>0</v>
      </c>
      <c r="S112" s="307">
        <f t="shared" ca="1" si="50"/>
        <v>5.083000000000002</v>
      </c>
      <c r="T112" s="304">
        <f t="shared" ca="1" si="30"/>
        <v>49.86423000000002</v>
      </c>
      <c r="U112" s="311">
        <f t="shared" ca="1" si="31"/>
        <v>0</v>
      </c>
      <c r="V112" s="306">
        <f t="shared" ca="1" si="32"/>
        <v>1.1298596333971671</v>
      </c>
      <c r="W112" s="304">
        <f t="shared" ca="1" si="33"/>
        <v>46.333262239654395</v>
      </c>
      <c r="Y112" s="314" t="str">
        <f t="shared" ca="1" si="51"/>
        <v/>
      </c>
      <c r="Z112" s="315" t="str">
        <f t="shared" ca="1" si="52"/>
        <v/>
      </c>
      <c r="AA112" s="316" t="str">
        <f t="shared" ca="1" si="53"/>
        <v/>
      </c>
      <c r="AC112" s="310" t="e">
        <f t="shared" ca="1" si="54"/>
        <v>#N/A</v>
      </c>
      <c r="AD112" s="323" t="e">
        <f t="shared" ca="1" si="55"/>
        <v>#N/A</v>
      </c>
      <c r="AE112" s="324">
        <f t="shared" ca="1" si="34"/>
        <v>808.03429005729367</v>
      </c>
      <c r="AG112" s="306">
        <f t="shared" ca="1" si="56"/>
        <v>-18.835152816535064</v>
      </c>
      <c r="AH112" s="304">
        <f t="shared" ca="1" si="57"/>
        <v>-9.4253716356089772</v>
      </c>
    </row>
    <row r="113" spans="1:34" x14ac:dyDescent="0.2">
      <c r="A113" s="347">
        <f t="shared" ca="1" si="35"/>
        <v>0.1</v>
      </c>
      <c r="B113" s="304">
        <f t="shared" ca="1" si="36"/>
        <v>1.9000000000000015</v>
      </c>
      <c r="D113" s="306">
        <f t="shared" ca="1" si="37"/>
        <v>-2.5980489599637799</v>
      </c>
      <c r="E113" s="307">
        <f t="shared" ca="1" si="38"/>
        <v>-18.547249311719625</v>
      </c>
      <c r="F113" s="304">
        <f t="shared" ca="1" si="39"/>
        <v>18.728329221515008</v>
      </c>
      <c r="G113" s="306">
        <f t="shared" ca="1" si="40"/>
        <v>32.678939151154935</v>
      </c>
      <c r="H113" s="307">
        <f t="shared" ca="1" si="41"/>
        <v>108.9184064415693</v>
      </c>
      <c r="I113" s="304">
        <f t="shared" ca="1" si="42"/>
        <v>113.7151367488769</v>
      </c>
      <c r="J113" s="306">
        <f t="shared" ca="1" si="43"/>
        <v>200.81541359467116</v>
      </c>
      <c r="K113" s="307">
        <f t="shared" ca="1" si="44"/>
        <v>819.01886694800919</v>
      </c>
      <c r="L113" s="304">
        <f t="shared" ca="1" si="29"/>
        <v>843.27856296362688</v>
      </c>
      <c r="M113" s="306">
        <f t="shared" ca="1" si="45"/>
        <v>1.2793107489732105</v>
      </c>
      <c r="N113" s="304">
        <f t="shared" ca="1" si="46"/>
        <v>73.299106601885271</v>
      </c>
      <c r="P113" s="310">
        <f t="shared" ca="1" si="47"/>
        <v>23</v>
      </c>
      <c r="Q113" s="304">
        <f t="shared" ca="1" si="48"/>
        <v>0</v>
      </c>
      <c r="R113" s="306">
        <f t="shared" ca="1" si="49"/>
        <v>0</v>
      </c>
      <c r="S113" s="307">
        <f t="shared" ca="1" si="50"/>
        <v>5.083000000000002</v>
      </c>
      <c r="T113" s="304">
        <f t="shared" ca="1" si="30"/>
        <v>49.86423000000002</v>
      </c>
      <c r="U113" s="311">
        <f t="shared" ca="1" si="31"/>
        <v>0</v>
      </c>
      <c r="V113" s="306">
        <f t="shared" ca="1" si="32"/>
        <v>1.1286171571366284</v>
      </c>
      <c r="W113" s="304">
        <f t="shared" ca="1" si="33"/>
        <v>44.811207060506042</v>
      </c>
      <c r="Y113" s="314" t="str">
        <f t="shared" ca="1" si="51"/>
        <v/>
      </c>
      <c r="Z113" s="315" t="str">
        <f t="shared" ca="1" si="52"/>
        <v/>
      </c>
      <c r="AA113" s="316" t="str">
        <f t="shared" ca="1" si="53"/>
        <v/>
      </c>
      <c r="AC113" s="310" t="e">
        <f t="shared" ca="1" si="54"/>
        <v>#N/A</v>
      </c>
      <c r="AD113" s="323" t="e">
        <f t="shared" ca="1" si="55"/>
        <v>#N/A</v>
      </c>
      <c r="AE113" s="324">
        <f t="shared" ca="1" si="34"/>
        <v>819.01886694800919</v>
      </c>
      <c r="AG113" s="306">
        <f t="shared" ca="1" si="56"/>
        <v>-18.518435920677373</v>
      </c>
      <c r="AH113" s="304">
        <f t="shared" ca="1" si="57"/>
        <v>-9.1153378397903548</v>
      </c>
    </row>
    <row r="114" spans="1:34" x14ac:dyDescent="0.2">
      <c r="A114" s="347">
        <f t="shared" ca="1" si="35"/>
        <v>0.1</v>
      </c>
      <c r="B114" s="304">
        <f t="shared" ca="1" si="36"/>
        <v>2.0000000000000013</v>
      </c>
      <c r="D114" s="306">
        <f t="shared" ca="1" si="37"/>
        <v>-2.5334725581762041</v>
      </c>
      <c r="E114" s="307">
        <f t="shared" ca="1" si="38"/>
        <v>-18.254025447816467</v>
      </c>
      <c r="F114" s="304">
        <f t="shared" ca="1" si="39"/>
        <v>18.428996941031897</v>
      </c>
      <c r="G114" s="306">
        <f t="shared" ca="1" si="40"/>
        <v>32.425591895337313</v>
      </c>
      <c r="H114" s="307">
        <f t="shared" ca="1" si="41"/>
        <v>107.09300389678765</v>
      </c>
      <c r="I114" s="304">
        <f t="shared" ca="1" si="42"/>
        <v>111.8942826662754</v>
      </c>
      <c r="J114" s="306">
        <f t="shared" ca="1" si="43"/>
        <v>204.07064014699577</v>
      </c>
      <c r="K114" s="307">
        <f t="shared" ca="1" si="44"/>
        <v>829.81943746492709</v>
      </c>
      <c r="L114" s="304">
        <f t="shared" ca="1" si="29"/>
        <v>854.54381102703724</v>
      </c>
      <c r="M114" s="306">
        <f t="shared" ca="1" si="45"/>
        <v>1.276791267076667</v>
      </c>
      <c r="N114" s="304">
        <f t="shared" ca="1" si="46"/>
        <v>73.154750922653719</v>
      </c>
      <c r="P114" s="310">
        <f t="shared" ca="1" si="47"/>
        <v>23</v>
      </c>
      <c r="Q114" s="304">
        <f t="shared" ca="1" si="48"/>
        <v>0</v>
      </c>
      <c r="R114" s="306">
        <f t="shared" ca="1" si="49"/>
        <v>0</v>
      </c>
      <c r="S114" s="307">
        <f t="shared" ca="1" si="50"/>
        <v>5.083000000000002</v>
      </c>
      <c r="T114" s="304">
        <f t="shared" ca="1" si="30"/>
        <v>49.86423000000002</v>
      </c>
      <c r="U114" s="311">
        <f t="shared" ca="1" si="31"/>
        <v>0</v>
      </c>
      <c r="V114" s="306">
        <f t="shared" ca="1" si="32"/>
        <v>1.1273967717102542</v>
      </c>
      <c r="W114" s="304">
        <f t="shared" ca="1" si="33"/>
        <v>43.340709668169346</v>
      </c>
      <c r="Y114" s="314" t="str">
        <f t="shared" ca="1" si="51"/>
        <v/>
      </c>
      <c r="Z114" s="315" t="str">
        <f t="shared" ca="1" si="52"/>
        <v/>
      </c>
      <c r="AA114" s="316" t="str">
        <f t="shared" ca="1" si="53"/>
        <v/>
      </c>
      <c r="AC114" s="310">
        <f t="shared" ca="1" si="54"/>
        <v>2.0000000000000013</v>
      </c>
      <c r="AD114" s="323">
        <f t="shared" ca="1" si="55"/>
        <v>204.07064014699577</v>
      </c>
      <c r="AE114" s="324">
        <f t="shared" ca="1" si="34"/>
        <v>829.81943746492709</v>
      </c>
      <c r="AG114" s="306">
        <f t="shared" ca="1" si="56"/>
        <v>-18.21209223063471</v>
      </c>
      <c r="AH114" s="304">
        <f t="shared" ca="1" si="57"/>
        <v>-8.8158975133791113</v>
      </c>
    </row>
    <row r="115" spans="1:34" x14ac:dyDescent="0.2">
      <c r="A115" s="347">
        <f t="shared" ca="1" si="35"/>
        <v>0.1</v>
      </c>
      <c r="B115" s="304">
        <f t="shared" ca="1" si="36"/>
        <v>2.1000000000000014</v>
      </c>
      <c r="D115" s="306">
        <f t="shared" ca="1" si="37"/>
        <v>-2.4709042963066659</v>
      </c>
      <c r="E115" s="307">
        <f t="shared" ca="1" si="38"/>
        <v>-17.970731939360839</v>
      </c>
      <c r="F115" s="304">
        <f t="shared" ca="1" si="39"/>
        <v>18.139806351719152</v>
      </c>
      <c r="G115" s="306">
        <f t="shared" ca="1" si="40"/>
        <v>32.178501465706645</v>
      </c>
      <c r="H115" s="307">
        <f t="shared" ca="1" si="41"/>
        <v>105.29593070285156</v>
      </c>
      <c r="I115" s="304">
        <f t="shared" ca="1" si="42"/>
        <v>110.1030834225736</v>
      </c>
      <c r="J115" s="306">
        <f t="shared" ca="1" si="43"/>
        <v>207.30084481504798</v>
      </c>
      <c r="K115" s="307">
        <f t="shared" ca="1" si="44"/>
        <v>840.43888419490906</v>
      </c>
      <c r="L115" s="304">
        <f t="shared" ca="1" si="29"/>
        <v>865.62760949949859</v>
      </c>
      <c r="M115" s="306">
        <f t="shared" ca="1" si="45"/>
        <v>1.2742093040176106</v>
      </c>
      <c r="N115" s="304">
        <f t="shared" ca="1" si="46"/>
        <v>73.006815336511096</v>
      </c>
      <c r="P115" s="310">
        <f t="shared" ca="1" si="47"/>
        <v>23</v>
      </c>
      <c r="Q115" s="304">
        <f t="shared" ca="1" si="48"/>
        <v>0</v>
      </c>
      <c r="R115" s="306">
        <f t="shared" ca="1" si="49"/>
        <v>0</v>
      </c>
      <c r="S115" s="307">
        <f t="shared" ca="1" si="50"/>
        <v>5.083000000000002</v>
      </c>
      <c r="T115" s="304">
        <f t="shared" ca="1" si="30"/>
        <v>49.86423000000002</v>
      </c>
      <c r="U115" s="311">
        <f t="shared" ca="1" si="31"/>
        <v>0</v>
      </c>
      <c r="V115" s="306">
        <f t="shared" ca="1" si="32"/>
        <v>1.1261980852361466</v>
      </c>
      <c r="W115" s="304">
        <f t="shared" ca="1" si="33"/>
        <v>41.919605421435165</v>
      </c>
      <c r="Y115" s="314" t="str">
        <f t="shared" ca="1" si="51"/>
        <v/>
      </c>
      <c r="Z115" s="315" t="str">
        <f t="shared" ca="1" si="52"/>
        <v/>
      </c>
      <c r="AA115" s="316" t="str">
        <f t="shared" ca="1" si="53"/>
        <v/>
      </c>
      <c r="AC115" s="310" t="e">
        <f t="shared" ca="1" si="54"/>
        <v>#N/A</v>
      </c>
      <c r="AD115" s="323" t="e">
        <f t="shared" ca="1" si="55"/>
        <v>#N/A</v>
      </c>
      <c r="AE115" s="324">
        <f t="shared" ca="1" si="34"/>
        <v>840.43888419490906</v>
      </c>
      <c r="AG115" s="306">
        <f t="shared" ca="1" si="56"/>
        <v>-17.915662464305434</v>
      </c>
      <c r="AH115" s="304">
        <f t="shared" ca="1" si="57"/>
        <v>-8.5266003675328204</v>
      </c>
    </row>
    <row r="116" spans="1:34" x14ac:dyDescent="0.2">
      <c r="A116" s="347">
        <f t="shared" ca="1" si="35"/>
        <v>0.1</v>
      </c>
      <c r="B116" s="304">
        <f t="shared" ca="1" si="36"/>
        <v>2.2000000000000015</v>
      </c>
      <c r="D116" s="306">
        <f t="shared" ca="1" si="37"/>
        <v>-2.4102573187780374</v>
      </c>
      <c r="E116" s="307">
        <f t="shared" ca="1" si="38"/>
        <v>-17.696951724105709</v>
      </c>
      <c r="F116" s="304">
        <f t="shared" ca="1" si="39"/>
        <v>17.860331482591555</v>
      </c>
      <c r="G116" s="306">
        <f t="shared" ca="1" si="40"/>
        <v>31.93747573382884</v>
      </c>
      <c r="H116" s="307">
        <f t="shared" ca="1" si="41"/>
        <v>103.526235530441</v>
      </c>
      <c r="I116" s="304">
        <f t="shared" ca="1" si="42"/>
        <v>108.34059165129776</v>
      </c>
      <c r="J116" s="306">
        <f t="shared" ca="1" si="43"/>
        <v>210.50664367502475</v>
      </c>
      <c r="K116" s="307">
        <f t="shared" ca="1" si="44"/>
        <v>850.87999250657367</v>
      </c>
      <c r="L116" s="304">
        <f t="shared" ca="1" si="29"/>
        <v>876.53283377139428</v>
      </c>
      <c r="M116" s="306">
        <f t="shared" ca="1" si="45"/>
        <v>1.2715629700871878</v>
      </c>
      <c r="N116" s="304">
        <f t="shared" ca="1" si="46"/>
        <v>72.855191571115597</v>
      </c>
      <c r="P116" s="310">
        <f t="shared" ca="1" si="47"/>
        <v>23</v>
      </c>
      <c r="Q116" s="304">
        <f t="shared" ca="1" si="48"/>
        <v>0</v>
      </c>
      <c r="R116" s="306">
        <f t="shared" ca="1" si="49"/>
        <v>0</v>
      </c>
      <c r="S116" s="307">
        <f t="shared" ca="1" si="50"/>
        <v>5.083000000000002</v>
      </c>
      <c r="T116" s="304">
        <f t="shared" ca="1" si="30"/>
        <v>49.86423000000002</v>
      </c>
      <c r="U116" s="311">
        <f t="shared" ca="1" si="31"/>
        <v>0</v>
      </c>
      <c r="V116" s="306">
        <f t="shared" ca="1" si="32"/>
        <v>1.1250207193945634</v>
      </c>
      <c r="W116" s="304">
        <f t="shared" ca="1" si="33"/>
        <v>40.545845881810699</v>
      </c>
      <c r="Y116" s="314" t="str">
        <f t="shared" ca="1" si="51"/>
        <v/>
      </c>
      <c r="Z116" s="315" t="str">
        <f t="shared" ca="1" si="52"/>
        <v/>
      </c>
      <c r="AA116" s="316" t="str">
        <f t="shared" ca="1" si="53"/>
        <v/>
      </c>
      <c r="AC116" s="310" t="e">
        <f t="shared" ca="1" si="54"/>
        <v>#N/A</v>
      </c>
      <c r="AD116" s="323" t="e">
        <f t="shared" ca="1" si="55"/>
        <v>#N/A</v>
      </c>
      <c r="AE116" s="324">
        <f t="shared" ca="1" si="34"/>
        <v>850.87999250657367</v>
      </c>
      <c r="AG116" s="306">
        <f t="shared" ca="1" si="56"/>
        <v>-17.6287113014696</v>
      </c>
      <c r="AH116" s="304">
        <f t="shared" ca="1" si="57"/>
        <v>-8.2470205432687678</v>
      </c>
    </row>
    <row r="117" spans="1:34" x14ac:dyDescent="0.2">
      <c r="A117" s="347">
        <f t="shared" ca="1" si="35"/>
        <v>0.1</v>
      </c>
      <c r="B117" s="304">
        <f t="shared" ca="1" si="36"/>
        <v>2.3000000000000016</v>
      </c>
      <c r="D117" s="306">
        <f t="shared" ca="1" si="37"/>
        <v>-2.3514494126948944</v>
      </c>
      <c r="E117" s="307">
        <f t="shared" ca="1" si="38"/>
        <v>-17.43229011977661</v>
      </c>
      <c r="F117" s="304">
        <f t="shared" ca="1" si="39"/>
        <v>17.590169219212314</v>
      </c>
      <c r="G117" s="306">
        <f t="shared" ca="1" si="40"/>
        <v>31.702330792559351</v>
      </c>
      <c r="H117" s="307">
        <f t="shared" ca="1" si="41"/>
        <v>101.78300651846334</v>
      </c>
      <c r="I117" s="304">
        <f t="shared" ca="1" si="42"/>
        <v>106.60590130765935</v>
      </c>
      <c r="J117" s="306">
        <f t="shared" ca="1" si="43"/>
        <v>213.68863400134416</v>
      </c>
      <c r="K117" s="307">
        <f t="shared" ca="1" si="44"/>
        <v>861.14545460901888</v>
      </c>
      <c r="L117" s="304">
        <f t="shared" ca="1" si="29"/>
        <v>887.26226466312335</v>
      </c>
      <c r="M117" s="306">
        <f t="shared" ca="1" si="45"/>
        <v>1.2688502956286025</v>
      </c>
      <c r="N117" s="304">
        <f t="shared" ca="1" si="46"/>
        <v>72.699766773445731</v>
      </c>
      <c r="P117" s="310">
        <f t="shared" ca="1" si="47"/>
        <v>23</v>
      </c>
      <c r="Q117" s="304">
        <f t="shared" ca="1" si="48"/>
        <v>0</v>
      </c>
      <c r="R117" s="306">
        <f t="shared" ca="1" si="49"/>
        <v>0</v>
      </c>
      <c r="S117" s="307">
        <f t="shared" ca="1" si="50"/>
        <v>5.083000000000002</v>
      </c>
      <c r="T117" s="304">
        <f t="shared" ca="1" si="30"/>
        <v>49.86423000000002</v>
      </c>
      <c r="U117" s="311">
        <f t="shared" ca="1" si="31"/>
        <v>0</v>
      </c>
      <c r="V117" s="306">
        <f t="shared" ca="1" si="32"/>
        <v>1.1238643088471465</v>
      </c>
      <c r="W117" s="304">
        <f t="shared" ca="1" si="33"/>
        <v>39.217491434029093</v>
      </c>
      <c r="Y117" s="314" t="str">
        <f t="shared" ca="1" si="51"/>
        <v/>
      </c>
      <c r="Z117" s="315" t="str">
        <f t="shared" ca="1" si="52"/>
        <v/>
      </c>
      <c r="AA117" s="316" t="str">
        <f t="shared" ca="1" si="53"/>
        <v/>
      </c>
      <c r="AC117" s="310" t="e">
        <f t="shared" ca="1" si="54"/>
        <v>#N/A</v>
      </c>
      <c r="AD117" s="323" t="e">
        <f t="shared" ca="1" si="55"/>
        <v>#N/A</v>
      </c>
      <c r="AE117" s="324">
        <f t="shared" ca="1" si="34"/>
        <v>861.14545460901888</v>
      </c>
      <c r="AG117" s="306">
        <f t="shared" ca="1" si="56"/>
        <v>-17.350825786354516</v>
      </c>
      <c r="AH117" s="304">
        <f t="shared" ca="1" si="57"/>
        <v>-7.9767550426540792</v>
      </c>
    </row>
    <row r="118" spans="1:34" x14ac:dyDescent="0.2">
      <c r="A118" s="347">
        <f t="shared" ca="1" si="35"/>
        <v>0.1</v>
      </c>
      <c r="B118" s="304">
        <f t="shared" ca="1" si="36"/>
        <v>2.4000000000000017</v>
      </c>
      <c r="D118" s="306">
        <f t="shared" ca="1" si="37"/>
        <v>-2.2944027134490286</v>
      </c>
      <c r="E118" s="307">
        <f t="shared" ca="1" si="38"/>
        <v>-17.176373402228617</v>
      </c>
      <c r="F118" s="304">
        <f t="shared" ca="1" si="39"/>
        <v>17.328937851590009</v>
      </c>
      <c r="G118" s="306">
        <f t="shared" ca="1" si="40"/>
        <v>31.472890521214449</v>
      </c>
      <c r="H118" s="307">
        <f t="shared" ca="1" si="41"/>
        <v>100.06536917824047</v>
      </c>
      <c r="I118" s="304">
        <f t="shared" ca="1" si="42"/>
        <v>104.89814558197827</v>
      </c>
      <c r="J118" s="306">
        <f t="shared" ca="1" si="43"/>
        <v>216.84739506703283</v>
      </c>
      <c r="K118" s="307">
        <f t="shared" ca="1" si="44"/>
        <v>871.2378733938541</v>
      </c>
      <c r="L118" s="304">
        <f t="shared" ca="1" si="29"/>
        <v>897.81859235772299</v>
      </c>
      <c r="M118" s="306">
        <f t="shared" ca="1" si="45"/>
        <v>1.2660692270169092</v>
      </c>
      <c r="N118" s="304">
        <f t="shared" ca="1" si="46"/>
        <v>72.54042327945939</v>
      </c>
      <c r="P118" s="310">
        <f t="shared" ca="1" si="47"/>
        <v>23</v>
      </c>
      <c r="Q118" s="304">
        <f t="shared" ca="1" si="48"/>
        <v>0</v>
      </c>
      <c r="R118" s="306">
        <f t="shared" ca="1" si="49"/>
        <v>0</v>
      </c>
      <c r="S118" s="307">
        <f t="shared" ca="1" si="50"/>
        <v>5.083000000000002</v>
      </c>
      <c r="T118" s="304">
        <f t="shared" ca="1" si="30"/>
        <v>49.86423000000002</v>
      </c>
      <c r="U118" s="311">
        <f t="shared" ca="1" si="31"/>
        <v>0</v>
      </c>
      <c r="V118" s="306">
        <f t="shared" ca="1" si="32"/>
        <v>1.1227285006877341</v>
      </c>
      <c r="W118" s="304">
        <f t="shared" ca="1" si="33"/>
        <v>37.932704451069711</v>
      </c>
      <c r="Y118" s="314" t="str">
        <f t="shared" ca="1" si="51"/>
        <v/>
      </c>
      <c r="Z118" s="315" t="str">
        <f t="shared" ca="1" si="52"/>
        <v/>
      </c>
      <c r="AA118" s="316" t="str">
        <f t="shared" ca="1" si="53"/>
        <v/>
      </c>
      <c r="AC118" s="310" t="e">
        <f t="shared" ca="1" si="54"/>
        <v>#N/A</v>
      </c>
      <c r="AD118" s="323" t="e">
        <f t="shared" ca="1" si="55"/>
        <v>#N/A</v>
      </c>
      <c r="AE118" s="324">
        <f t="shared" ca="1" si="34"/>
        <v>871.2378733938541</v>
      </c>
      <c r="AG118" s="306">
        <f t="shared" ca="1" si="56"/>
        <v>-17.0816138451884</v>
      </c>
      <c r="AH118" s="304">
        <f t="shared" ca="1" si="57"/>
        <v>-7.7154222770074909</v>
      </c>
    </row>
    <row r="119" spans="1:34" x14ac:dyDescent="0.2">
      <c r="A119" s="347">
        <f t="shared" ca="1" si="35"/>
        <v>0.1</v>
      </c>
      <c r="B119" s="304">
        <f t="shared" ca="1" si="36"/>
        <v>2.5000000000000018</v>
      </c>
      <c r="D119" s="306">
        <f t="shared" ca="1" si="37"/>
        <v>-2.2390434321262789</v>
      </c>
      <c r="E119" s="307">
        <f t="shared" ca="1" si="38"/>
        <v>-16.928847488469746</v>
      </c>
      <c r="F119" s="304">
        <f t="shared" ca="1" si="39"/>
        <v>17.076275729175148</v>
      </c>
      <c r="G119" s="306">
        <f t="shared" ca="1" si="40"/>
        <v>31.248986178001822</v>
      </c>
      <c r="H119" s="307">
        <f t="shared" ca="1" si="41"/>
        <v>98.372484429393495</v>
      </c>
      <c r="I119" s="304">
        <f t="shared" ca="1" si="42"/>
        <v>103.2164949509729</v>
      </c>
      <c r="J119" s="306">
        <f t="shared" ca="1" si="43"/>
        <v>219.98348890199364</v>
      </c>
      <c r="K119" s="307">
        <f t="shared" ca="1" si="44"/>
        <v>881.15976607423579</v>
      </c>
      <c r="L119" s="304">
        <f t="shared" ca="1" si="29"/>
        <v>908.20442012660089</v>
      </c>
      <c r="M119" s="306">
        <f t="shared" ca="1" si="45"/>
        <v>1.2632176223997809</v>
      </c>
      <c r="N119" s="304">
        <f t="shared" ca="1" si="46"/>
        <v>72.377038370057932</v>
      </c>
      <c r="P119" s="310">
        <f t="shared" ca="1" si="47"/>
        <v>23</v>
      </c>
      <c r="Q119" s="304">
        <f t="shared" ca="1" si="48"/>
        <v>0</v>
      </c>
      <c r="R119" s="306">
        <f t="shared" ca="1" si="49"/>
        <v>0</v>
      </c>
      <c r="S119" s="307">
        <f t="shared" ca="1" si="50"/>
        <v>5.083000000000002</v>
      </c>
      <c r="T119" s="304">
        <f t="shared" ca="1" si="30"/>
        <v>49.86423000000002</v>
      </c>
      <c r="U119" s="311">
        <f t="shared" ca="1" si="31"/>
        <v>0</v>
      </c>
      <c r="V119" s="306">
        <f t="shared" ca="1" si="32"/>
        <v>1.1216129539227335</v>
      </c>
      <c r="W119" s="304">
        <f t="shared" ca="1" si="33"/>
        <v>36.68974295816983</v>
      </c>
      <c r="Y119" s="314" t="str">
        <f t="shared" ca="1" si="51"/>
        <v/>
      </c>
      <c r="Z119" s="315" t="str">
        <f t="shared" ca="1" si="52"/>
        <v/>
      </c>
      <c r="AA119" s="316" t="str">
        <f t="shared" ca="1" si="53"/>
        <v/>
      </c>
      <c r="AC119" s="310" t="e">
        <f t="shared" ca="1" si="54"/>
        <v>#N/A</v>
      </c>
      <c r="AD119" s="323" t="e">
        <f t="shared" ca="1" si="55"/>
        <v>#N/A</v>
      </c>
      <c r="AE119" s="324">
        <f t="shared" ca="1" si="34"/>
        <v>881.15976607423579</v>
      </c>
      <c r="AG119" s="306">
        <f t="shared" ca="1" si="56"/>
        <v>-16.820702908694191</v>
      </c>
      <c r="AH119" s="304">
        <f t="shared" ca="1" si="57"/>
        <v>-7.4626607222250039</v>
      </c>
    </row>
    <row r="120" spans="1:34" x14ac:dyDescent="0.2">
      <c r="A120" s="347">
        <f t="shared" ca="1" si="35"/>
        <v>0.1</v>
      </c>
      <c r="B120" s="304">
        <f t="shared" ca="1" si="36"/>
        <v>2.6000000000000019</v>
      </c>
      <c r="D120" s="306">
        <f t="shared" ca="1" si="37"/>
        <v>-2.1853016028987251</v>
      </c>
      <c r="E120" s="307">
        <f t="shared" ca="1" si="38"/>
        <v>-16.689376715780217</v>
      </c>
      <c r="F120" s="304">
        <f t="shared" ca="1" si="39"/>
        <v>16.83184001399902</v>
      </c>
      <c r="G120" s="306">
        <f t="shared" ca="1" si="40"/>
        <v>31.030456017711948</v>
      </c>
      <c r="H120" s="307">
        <f t="shared" ca="1" si="41"/>
        <v>96.703546757815474</v>
      </c>
      <c r="I120" s="304">
        <f t="shared" ca="1" si="42"/>
        <v>101.56015535734554</v>
      </c>
      <c r="J120" s="306">
        <f t="shared" ca="1" si="43"/>
        <v>223.09746101177933</v>
      </c>
      <c r="K120" s="307">
        <f t="shared" ca="1" si="44"/>
        <v>890.91356763359624</v>
      </c>
      <c r="L120" s="304">
        <f t="shared" ca="1" si="29"/>
        <v>918.4222678613171</v>
      </c>
      <c r="M120" s="306">
        <f t="shared" ca="1" si="45"/>
        <v>1.2602932471834027</v>
      </c>
      <c r="N120" s="304">
        <f t="shared" ca="1" si="46"/>
        <v>72.209484012446808</v>
      </c>
      <c r="P120" s="310">
        <f t="shared" ca="1" si="47"/>
        <v>23</v>
      </c>
      <c r="Q120" s="304">
        <f t="shared" ca="1" si="48"/>
        <v>0</v>
      </c>
      <c r="R120" s="306">
        <f t="shared" ca="1" si="49"/>
        <v>0</v>
      </c>
      <c r="S120" s="307">
        <f t="shared" ca="1" si="50"/>
        <v>5.083000000000002</v>
      </c>
      <c r="T120" s="304">
        <f t="shared" ca="1" si="30"/>
        <v>49.86423000000002</v>
      </c>
      <c r="U120" s="311">
        <f t="shared" ca="1" si="31"/>
        <v>0</v>
      </c>
      <c r="V120" s="306">
        <f t="shared" ca="1" si="32"/>
        <v>1.1205173389791798</v>
      </c>
      <c r="W120" s="304">
        <f t="shared" ca="1" si="33"/>
        <v>35.486954754555434</v>
      </c>
      <c r="Y120" s="314" t="str">
        <f t="shared" ca="1" si="51"/>
        <v/>
      </c>
      <c r="Z120" s="315" t="str">
        <f t="shared" ca="1" si="52"/>
        <v/>
      </c>
      <c r="AA120" s="316" t="str">
        <f t="shared" ca="1" si="53"/>
        <v/>
      </c>
      <c r="AC120" s="310" t="e">
        <f t="shared" ca="1" si="54"/>
        <v>#N/A</v>
      </c>
      <c r="AD120" s="323" t="e">
        <f t="shared" ca="1" si="55"/>
        <v>#N/A</v>
      </c>
      <c r="AE120" s="324">
        <f t="shared" ca="1" si="34"/>
        <v>890.91356763359624</v>
      </c>
      <c r="AG120" s="306">
        <f t="shared" ca="1" si="56"/>
        <v>-16.567738630394174</v>
      </c>
      <c r="AH120" s="304">
        <f t="shared" ca="1" si="57"/>
        <v>-7.2181276722742114</v>
      </c>
    </row>
    <row r="121" spans="1:34" x14ac:dyDescent="0.2">
      <c r="A121" s="347">
        <f t="shared" ca="1" si="35"/>
        <v>0.1</v>
      </c>
      <c r="B121" s="304">
        <f t="shared" ca="1" si="36"/>
        <v>2.700000000000002</v>
      </c>
      <c r="D121" s="306">
        <f t="shared" ca="1" si="37"/>
        <v>-2.1331108487563148</v>
      </c>
      <c r="E121" s="307">
        <f t="shared" ca="1" si="38"/>
        <v>-16.457642708974923</v>
      </c>
      <c r="F121" s="304">
        <f t="shared" ca="1" si="39"/>
        <v>16.59530552383286</v>
      </c>
      <c r="G121" s="306">
        <f t="shared" ca="1" si="40"/>
        <v>30.817144932836317</v>
      </c>
      <c r="H121" s="307">
        <f t="shared" ca="1" si="41"/>
        <v>95.057782486917986</v>
      </c>
      <c r="I121" s="304">
        <f t="shared" ca="1" si="42"/>
        <v>99.928366508923034</v>
      </c>
      <c r="J121" s="306">
        <f t="shared" ca="1" si="43"/>
        <v>226.18984105930673</v>
      </c>
      <c r="K121" s="307">
        <f t="shared" ca="1" si="44"/>
        <v>900.50163409583297</v>
      </c>
      <c r="L121" s="304">
        <f t="shared" ca="1" si="29"/>
        <v>928.47457542341988</v>
      </c>
      <c r="M121" s="306">
        <f t="shared" ca="1" si="45"/>
        <v>1.2572937692465045</v>
      </c>
      <c r="N121" s="304">
        <f t="shared" ca="1" si="46"/>
        <v>72.037626585919924</v>
      </c>
      <c r="P121" s="310">
        <f t="shared" ca="1" si="47"/>
        <v>23</v>
      </c>
      <c r="Q121" s="304">
        <f t="shared" ca="1" si="48"/>
        <v>0</v>
      </c>
      <c r="R121" s="306">
        <f t="shared" ca="1" si="49"/>
        <v>0</v>
      </c>
      <c r="S121" s="307">
        <f t="shared" ca="1" si="50"/>
        <v>5.083000000000002</v>
      </c>
      <c r="T121" s="304">
        <f t="shared" ca="1" si="30"/>
        <v>49.86423000000002</v>
      </c>
      <c r="U121" s="311">
        <f t="shared" ca="1" si="31"/>
        <v>0</v>
      </c>
      <c r="V121" s="306">
        <f t="shared" ca="1" si="32"/>
        <v>1.1194413372387353</v>
      </c>
      <c r="W121" s="304">
        <f t="shared" ca="1" si="33"/>
        <v>34.322771955429793</v>
      </c>
      <c r="Y121" s="314" t="str">
        <f t="shared" ca="1" si="51"/>
        <v/>
      </c>
      <c r="Z121" s="315" t="str">
        <f t="shared" ca="1" si="52"/>
        <v/>
      </c>
      <c r="AA121" s="316" t="str">
        <f t="shared" ca="1" si="53"/>
        <v/>
      </c>
      <c r="AC121" s="310" t="e">
        <f t="shared" ca="1" si="54"/>
        <v>#N/A</v>
      </c>
      <c r="AD121" s="323" t="e">
        <f t="shared" ca="1" si="55"/>
        <v>#N/A</v>
      </c>
      <c r="AE121" s="324">
        <f t="shared" ca="1" si="34"/>
        <v>900.50163409583297</v>
      </c>
      <c r="AG121" s="306">
        <f t="shared" ca="1" si="56"/>
        <v>-16.322383692416416</v>
      </c>
      <c r="AH121" s="304">
        <f t="shared" ca="1" si="57"/>
        <v>-6.9814980827376392</v>
      </c>
    </row>
    <row r="122" spans="1:34" x14ac:dyDescent="0.2">
      <c r="A122" s="347">
        <f t="shared" ca="1" si="35"/>
        <v>0.1</v>
      </c>
      <c r="B122" s="304">
        <f t="shared" ca="1" si="36"/>
        <v>2.800000000000002</v>
      </c>
      <c r="D122" s="306">
        <f t="shared" ca="1" si="37"/>
        <v>-2.0824081640846019</v>
      </c>
      <c r="E122" s="307">
        <f t="shared" ca="1" si="38"/>
        <v>-16.233343328590358</v>
      </c>
      <c r="F122" s="304">
        <f t="shared" ca="1" si="39"/>
        <v>16.366363657994874</v>
      </c>
      <c r="G122" s="306">
        <f t="shared" ca="1" si="40"/>
        <v>30.608904116427858</v>
      </c>
      <c r="H122" s="307">
        <f t="shared" ca="1" si="41"/>
        <v>93.434448154058956</v>
      </c>
      <c r="I122" s="304">
        <f t="shared" ca="1" si="42"/>
        <v>98.320400289371307</v>
      </c>
      <c r="J122" s="306">
        <f t="shared" ca="1" si="43"/>
        <v>229.26114351176994</v>
      </c>
      <c r="K122" s="307">
        <f t="shared" ca="1" si="44"/>
        <v>909.92624562788183</v>
      </c>
      <c r="L122" s="304">
        <f t="shared" ca="1" si="29"/>
        <v>938.36370582348115</v>
      </c>
      <c r="M122" s="306">
        <f t="shared" ca="1" si="45"/>
        <v>1.2542167538643247</v>
      </c>
      <c r="N122" s="304">
        <f t="shared" ca="1" si="46"/>
        <v>71.861326591024195</v>
      </c>
      <c r="P122" s="310">
        <f t="shared" ca="1" si="47"/>
        <v>23</v>
      </c>
      <c r="Q122" s="304">
        <f t="shared" ca="1" si="48"/>
        <v>0</v>
      </c>
      <c r="R122" s="306">
        <f t="shared" ca="1" si="49"/>
        <v>0</v>
      </c>
      <c r="S122" s="307">
        <f t="shared" ca="1" si="50"/>
        <v>5.083000000000002</v>
      </c>
      <c r="T122" s="304">
        <f t="shared" ca="1" si="30"/>
        <v>49.86423000000002</v>
      </c>
      <c r="U122" s="311">
        <f t="shared" ca="1" si="31"/>
        <v>0</v>
      </c>
      <c r="V122" s="306">
        <f t="shared" ca="1" si="32"/>
        <v>1.1183846405960212</v>
      </c>
      <c r="W122" s="304">
        <f t="shared" ca="1" si="33"/>
        <v>33.195705920181318</v>
      </c>
      <c r="Y122" s="314" t="str">
        <f t="shared" ca="1" si="51"/>
        <v/>
      </c>
      <c r="Z122" s="315" t="str">
        <f t="shared" ca="1" si="52"/>
        <v/>
      </c>
      <c r="AA122" s="316" t="str">
        <f t="shared" ca="1" si="53"/>
        <v/>
      </c>
      <c r="AC122" s="310" t="e">
        <f t="shared" ca="1" si="54"/>
        <v>#N/A</v>
      </c>
      <c r="AD122" s="323" t="e">
        <f t="shared" ca="1" si="55"/>
        <v>#N/A</v>
      </c>
      <c r="AE122" s="324">
        <f t="shared" ca="1" si="34"/>
        <v>909.92624562788183</v>
      </c>
      <c r="AG122" s="306">
        <f t="shared" ca="1" si="56"/>
        <v>-16.084316691227002</v>
      </c>
      <c r="AH122" s="304">
        <f t="shared" ca="1" si="57"/>
        <v>-6.7524634970351718</v>
      </c>
    </row>
    <row r="123" spans="1:34" x14ac:dyDescent="0.2">
      <c r="A123" s="347">
        <f t="shared" ca="1" si="35"/>
        <v>0.1</v>
      </c>
      <c r="B123" s="304">
        <f t="shared" ca="1" si="36"/>
        <v>2.9000000000000021</v>
      </c>
      <c r="D123" s="306">
        <f t="shared" ca="1" si="37"/>
        <v>-2.0331337127323872</v>
      </c>
      <c r="E123" s="307">
        <f t="shared" ca="1" si="38"/>
        <v>-16.01619169343633</v>
      </c>
      <c r="F123" s="304">
        <f t="shared" ca="1" si="39"/>
        <v>16.144721399105897</v>
      </c>
      <c r="G123" s="306">
        <f t="shared" ca="1" si="40"/>
        <v>30.405590745154619</v>
      </c>
      <c r="H123" s="307">
        <f t="shared" ca="1" si="41"/>
        <v>91.83282898471532</v>
      </c>
      <c r="I123" s="304">
        <f t="shared" ca="1" si="42"/>
        <v>96.73555927319488</v>
      </c>
      <c r="J123" s="306">
        <f t="shared" ca="1" si="43"/>
        <v>232.31186825484906</v>
      </c>
      <c r="K123" s="307">
        <f t="shared" ca="1" si="44"/>
        <v>919.18960948482049</v>
      </c>
      <c r="L123" s="304">
        <f t="shared" ca="1" si="29"/>
        <v>948.09194823968153</v>
      </c>
      <c r="M123" s="306">
        <f t="shared" ca="1" si="45"/>
        <v>1.251059658322986</v>
      </c>
      <c r="N123" s="304">
        <f t="shared" ca="1" si="46"/>
        <v>71.680438340985916</v>
      </c>
      <c r="P123" s="310">
        <f t="shared" ca="1" si="47"/>
        <v>23</v>
      </c>
      <c r="Q123" s="304">
        <f t="shared" ca="1" si="48"/>
        <v>0</v>
      </c>
      <c r="R123" s="306">
        <f t="shared" ca="1" si="49"/>
        <v>0</v>
      </c>
      <c r="S123" s="307">
        <f t="shared" ca="1" si="50"/>
        <v>5.083000000000002</v>
      </c>
      <c r="T123" s="304">
        <f t="shared" ca="1" si="30"/>
        <v>49.86423000000002</v>
      </c>
      <c r="U123" s="311">
        <f t="shared" ca="1" si="31"/>
        <v>0</v>
      </c>
      <c r="V123" s="306">
        <f t="shared" ca="1" si="32"/>
        <v>1.1173469510397891</v>
      </c>
      <c r="W123" s="304">
        <f t="shared" ca="1" si="33"/>
        <v>32.104342535850584</v>
      </c>
      <c r="Y123" s="314" t="str">
        <f t="shared" ca="1" si="51"/>
        <v/>
      </c>
      <c r="Z123" s="315" t="str">
        <f t="shared" ca="1" si="52"/>
        <v/>
      </c>
      <c r="AA123" s="316" t="str">
        <f t="shared" ca="1" si="53"/>
        <v/>
      </c>
      <c r="AC123" s="310" t="e">
        <f t="shared" ca="1" si="54"/>
        <v>#N/A</v>
      </c>
      <c r="AD123" s="323" t="e">
        <f t="shared" ca="1" si="55"/>
        <v>#N/A</v>
      </c>
      <c r="AE123" s="324">
        <f t="shared" ca="1" si="34"/>
        <v>919.18960948482049</v>
      </c>
      <c r="AG123" s="306">
        <f t="shared" ca="1" si="56"/>
        <v>-15.853231096367377</v>
      </c>
      <c r="AH123" s="304">
        <f t="shared" ca="1" si="57"/>
        <v>-6.5307310486290193</v>
      </c>
    </row>
    <row r="124" spans="1:34" x14ac:dyDescent="0.2">
      <c r="A124" s="347">
        <f t="shared" ca="1" si="35"/>
        <v>0.1</v>
      </c>
      <c r="B124" s="304">
        <f t="shared" ca="1" si="36"/>
        <v>3.0000000000000022</v>
      </c>
      <c r="D124" s="306">
        <f t="shared" ca="1" si="37"/>
        <v>-1.9852306403364688</v>
      </c>
      <c r="E124" s="307">
        <f t="shared" ca="1" si="38"/>
        <v>-15.805915271545524</v>
      </c>
      <c r="F124" s="304">
        <f t="shared" ca="1" si="39"/>
        <v>15.930100384699614</v>
      </c>
      <c r="G124" s="306">
        <f t="shared" ca="1" si="40"/>
        <v>30.207067681120972</v>
      </c>
      <c r="H124" s="307">
        <f t="shared" ca="1" si="41"/>
        <v>90.252237457560767</v>
      </c>
      <c r="I124" s="304">
        <f t="shared" ca="1" si="42"/>
        <v>95.173175338368097</v>
      </c>
      <c r="J124" s="306">
        <f t="shared" ca="1" si="43"/>
        <v>235.34250117616284</v>
      </c>
      <c r="K124" s="307">
        <f t="shared" ca="1" si="44"/>
        <v>928.29386280693427</v>
      </c>
      <c r="L124" s="304">
        <f t="shared" ca="1" si="29"/>
        <v>957.66152088557442</v>
      </c>
      <c r="M124" s="306">
        <f t="shared" ca="1" si="45"/>
        <v>1.2478198262033624</v>
      </c>
      <c r="N124" s="304">
        <f t="shared" ca="1" si="46"/>
        <v>71.49480963420055</v>
      </c>
      <c r="P124" s="310">
        <f t="shared" ca="1" si="47"/>
        <v>23</v>
      </c>
      <c r="Q124" s="304">
        <f t="shared" ca="1" si="48"/>
        <v>0</v>
      </c>
      <c r="R124" s="306">
        <f t="shared" ca="1" si="49"/>
        <v>0</v>
      </c>
      <c r="S124" s="307">
        <f t="shared" ca="1" si="50"/>
        <v>5.083000000000002</v>
      </c>
      <c r="T124" s="304">
        <f t="shared" ca="1" si="30"/>
        <v>49.86423000000002</v>
      </c>
      <c r="U124" s="311">
        <f t="shared" ca="1" si="31"/>
        <v>0</v>
      </c>
      <c r="V124" s="306">
        <f t="shared" ca="1" si="32"/>
        <v>1.1163279802555317</v>
      </c>
      <c r="W124" s="304">
        <f t="shared" ca="1" si="33"/>
        <v>31.047337827668155</v>
      </c>
      <c r="Y124" s="314" t="str">
        <f t="shared" ca="1" si="51"/>
        <v/>
      </c>
      <c r="Z124" s="315" t="str">
        <f t="shared" ca="1" si="52"/>
        <v/>
      </c>
      <c r="AA124" s="316" t="str">
        <f t="shared" ca="1" si="53"/>
        <v/>
      </c>
      <c r="AC124" s="310">
        <f t="shared" ca="1" si="54"/>
        <v>3.0000000000000022</v>
      </c>
      <c r="AD124" s="323">
        <f t="shared" ca="1" si="55"/>
        <v>235.34250117616284</v>
      </c>
      <c r="AE124" s="324">
        <f t="shared" ca="1" si="34"/>
        <v>928.29386280693427</v>
      </c>
      <c r="AG124" s="306">
        <f t="shared" ca="1" si="56"/>
        <v>-15.628834275861625</v>
      </c>
      <c r="AH124" s="304">
        <f t="shared" ca="1" si="57"/>
        <v>-6.316022533120317</v>
      </c>
    </row>
    <row r="125" spans="1:34" x14ac:dyDescent="0.2">
      <c r="A125" s="347">
        <f t="shared" ca="1" si="35"/>
        <v>0.1</v>
      </c>
      <c r="B125" s="304">
        <f t="shared" ca="1" si="36"/>
        <v>3.1000000000000023</v>
      </c>
      <c r="D125" s="306">
        <f t="shared" ca="1" si="37"/>
        <v>-1.9386448997818189</v>
      </c>
      <c r="E125" s="307">
        <f t="shared" ca="1" si="38"/>
        <v>-15.6022550340876</v>
      </c>
      <c r="F125" s="304">
        <f t="shared" ca="1" si="39"/>
        <v>15.722236043138453</v>
      </c>
      <c r="G125" s="306">
        <f t="shared" ca="1" si="40"/>
        <v>30.013203191142789</v>
      </c>
      <c r="H125" s="307">
        <f t="shared" ca="1" si="41"/>
        <v>88.692011954152008</v>
      </c>
      <c r="I125" s="304">
        <f t="shared" ca="1" si="42"/>
        <v>93.632608370525844</v>
      </c>
      <c r="J125" s="306">
        <f t="shared" ca="1" si="43"/>
        <v>238.35351471977603</v>
      </c>
      <c r="K125" s="307">
        <f t="shared" ca="1" si="44"/>
        <v>937.24107527751994</v>
      </c>
      <c r="L125" s="304">
        <f t="shared" ca="1" si="29"/>
        <v>967.07457373598254</v>
      </c>
      <c r="M125" s="306">
        <f t="shared" ca="1" si="45"/>
        <v>1.2444944813120065</v>
      </c>
      <c r="N125" s="304">
        <f t="shared" ca="1" si="46"/>
        <v>71.304281406500465</v>
      </c>
      <c r="P125" s="310">
        <f t="shared" ca="1" si="47"/>
        <v>23</v>
      </c>
      <c r="Q125" s="304">
        <f t="shared" ca="1" si="48"/>
        <v>0</v>
      </c>
      <c r="R125" s="306">
        <f t="shared" ca="1" si="49"/>
        <v>0</v>
      </c>
      <c r="S125" s="307">
        <f t="shared" ca="1" si="50"/>
        <v>5.083000000000002</v>
      </c>
      <c r="T125" s="304">
        <f t="shared" ca="1" si="30"/>
        <v>49.86423000000002</v>
      </c>
      <c r="U125" s="311">
        <f t="shared" ca="1" si="31"/>
        <v>0</v>
      </c>
      <c r="V125" s="306">
        <f t="shared" ca="1" si="32"/>
        <v>1.1153274492482534</v>
      </c>
      <c r="W125" s="304">
        <f t="shared" ca="1" si="33"/>
        <v>30.023413870972863</v>
      </c>
      <c r="Y125" s="314" t="str">
        <f t="shared" ca="1" si="51"/>
        <v/>
      </c>
      <c r="Z125" s="315" t="str">
        <f t="shared" ca="1" si="52"/>
        <v/>
      </c>
      <c r="AA125" s="316" t="str">
        <f t="shared" ca="1" si="53"/>
        <v/>
      </c>
      <c r="AC125" s="310" t="e">
        <f t="shared" ca="1" si="54"/>
        <v>#N/A</v>
      </c>
      <c r="AD125" s="323" t="e">
        <f t="shared" ca="1" si="55"/>
        <v>#N/A</v>
      </c>
      <c r="AE125" s="324">
        <f t="shared" ca="1" si="34"/>
        <v>937.24107527751994</v>
      </c>
      <c r="AG125" s="306">
        <f t="shared" ca="1" si="56"/>
        <v>-15.410846582482169</v>
      </c>
      <c r="AH125" s="304">
        <f t="shared" ca="1" si="57"/>
        <v>-6.108073544691746</v>
      </c>
    </row>
    <row r="126" spans="1:34" x14ac:dyDescent="0.2">
      <c r="A126" s="347">
        <f t="shared" ca="1" si="35"/>
        <v>0.1</v>
      </c>
      <c r="B126" s="304">
        <f t="shared" ca="1" si="36"/>
        <v>3.2000000000000024</v>
      </c>
      <c r="D126" s="306">
        <f t="shared" ca="1" si="37"/>
        <v>-1.8933250887758084</v>
      </c>
      <c r="E126" s="307">
        <f t="shared" ca="1" si="38"/>
        <v>-15.404964667295349</v>
      </c>
      <c r="F126" s="304">
        <f t="shared" ca="1" si="39"/>
        <v>15.520876788777302</v>
      </c>
      <c r="G126" s="306">
        <f t="shared" ca="1" si="40"/>
        <v>29.823870682265209</v>
      </c>
      <c r="H126" s="307">
        <f t="shared" ca="1" si="41"/>
        <v>87.151515487422472</v>
      </c>
      <c r="I126" s="304">
        <f t="shared" ca="1" si="42"/>
        <v>92.113245053178517</v>
      </c>
      <c r="J126" s="306">
        <f t="shared" ca="1" si="43"/>
        <v>241.34536841344644</v>
      </c>
      <c r="K126" s="307">
        <f t="shared" ca="1" si="44"/>
        <v>946.0332516495987</v>
      </c>
      <c r="L126" s="304">
        <f t="shared" ca="1" si="29"/>
        <v>976.33319111937146</v>
      </c>
      <c r="M126" s="306">
        <f t="shared" ca="1" si="45"/>
        <v>1.2410807212350983</v>
      </c>
      <c r="N126" s="304">
        <f t="shared" ca="1" si="46"/>
        <v>71.108687361823371</v>
      </c>
      <c r="P126" s="310">
        <f t="shared" ca="1" si="47"/>
        <v>23</v>
      </c>
      <c r="Q126" s="304">
        <f t="shared" ca="1" si="48"/>
        <v>0</v>
      </c>
      <c r="R126" s="306">
        <f t="shared" ca="1" si="49"/>
        <v>0</v>
      </c>
      <c r="S126" s="307">
        <f t="shared" ca="1" si="50"/>
        <v>5.083000000000002</v>
      </c>
      <c r="T126" s="304">
        <f t="shared" ca="1" si="30"/>
        <v>49.86423000000002</v>
      </c>
      <c r="U126" s="311">
        <f t="shared" ca="1" si="31"/>
        <v>0</v>
      </c>
      <c r="V126" s="306">
        <f t="shared" ca="1" si="32"/>
        <v>1.1143450879841901</v>
      </c>
      <c r="W126" s="304">
        <f t="shared" ca="1" si="33"/>
        <v>29.031354981074518</v>
      </c>
      <c r="Y126" s="314" t="str">
        <f t="shared" ca="1" si="51"/>
        <v/>
      </c>
      <c r="Z126" s="315" t="str">
        <f t="shared" ca="1" si="52"/>
        <v/>
      </c>
      <c r="AA126" s="316" t="str">
        <f t="shared" ca="1" si="53"/>
        <v/>
      </c>
      <c r="AC126" s="310" t="e">
        <f t="shared" ca="1" si="54"/>
        <v>#N/A</v>
      </c>
      <c r="AD126" s="323" t="e">
        <f t="shared" ca="1" si="55"/>
        <v>#N/A</v>
      </c>
      <c r="AE126" s="324">
        <f t="shared" ca="1" si="34"/>
        <v>946.0332516495987</v>
      </c>
      <c r="AG126" s="306">
        <f t="shared" ca="1" si="56"/>
        <v>-15.19900049552975</v>
      </c>
      <c r="AH126" s="304">
        <f t="shared" ca="1" si="57"/>
        <v>-5.9066326718419937</v>
      </c>
    </row>
    <row r="127" spans="1:34" x14ac:dyDescent="0.2">
      <c r="A127" s="347">
        <f t="shared" ca="1" si="35"/>
        <v>0.1</v>
      </c>
      <c r="B127" s="304">
        <f t="shared" ca="1" si="36"/>
        <v>3.3000000000000025</v>
      </c>
      <c r="D127" s="306">
        <f t="shared" ca="1" si="37"/>
        <v>-1.8492222986056313</v>
      </c>
      <c r="E127" s="307">
        <f t="shared" ca="1" si="38"/>
        <v>-15.213809837884362</v>
      </c>
      <c r="F127" s="304">
        <f t="shared" ca="1" si="39"/>
        <v>15.325783271760283</v>
      </c>
      <c r="G127" s="306">
        <f t="shared" ca="1" si="40"/>
        <v>29.638948452404644</v>
      </c>
      <c r="H127" s="307">
        <f t="shared" ca="1" si="41"/>
        <v>85.630134503634039</v>
      </c>
      <c r="I127" s="304">
        <f t="shared" ca="1" si="42"/>
        <v>90.614497738909066</v>
      </c>
      <c r="J127" s="306">
        <f t="shared" ca="1" si="43"/>
        <v>244.31850937017992</v>
      </c>
      <c r="K127" s="307">
        <f t="shared" ca="1" si="44"/>
        <v>954.67233414915154</v>
      </c>
      <c r="L127" s="304">
        <f t="shared" ca="1" si="29"/>
        <v>985.43939418447042</v>
      </c>
      <c r="M127" s="306">
        <f t="shared" ca="1" si="45"/>
        <v>1.2375755104896546</v>
      </c>
      <c r="N127" s="304">
        <f t="shared" ca="1" si="46"/>
        <v>70.907853579805547</v>
      </c>
      <c r="P127" s="310">
        <f t="shared" ca="1" si="47"/>
        <v>23</v>
      </c>
      <c r="Q127" s="304">
        <f t="shared" ca="1" si="48"/>
        <v>0</v>
      </c>
      <c r="R127" s="306">
        <f t="shared" ca="1" si="49"/>
        <v>0</v>
      </c>
      <c r="S127" s="307">
        <f t="shared" ca="1" si="50"/>
        <v>5.083000000000002</v>
      </c>
      <c r="T127" s="304">
        <f t="shared" ca="1" si="30"/>
        <v>49.86423000000002</v>
      </c>
      <c r="U127" s="311">
        <f t="shared" ca="1" si="31"/>
        <v>0</v>
      </c>
      <c r="V127" s="306">
        <f t="shared" ca="1" si="32"/>
        <v>1.1133806350503648</v>
      </c>
      <c r="W127" s="304">
        <f t="shared" ca="1" si="33"/>
        <v>28.07000415966117</v>
      </c>
      <c r="Y127" s="314" t="str">
        <f t="shared" ca="1" si="51"/>
        <v/>
      </c>
      <c r="Z127" s="315" t="str">
        <f t="shared" ca="1" si="52"/>
        <v/>
      </c>
      <c r="AA127" s="316" t="str">
        <f t="shared" ca="1" si="53"/>
        <v/>
      </c>
      <c r="AC127" s="310" t="e">
        <f t="shared" ca="1" si="54"/>
        <v>#N/A</v>
      </c>
      <c r="AD127" s="323" t="e">
        <f t="shared" ca="1" si="55"/>
        <v>#N/A</v>
      </c>
      <c r="AE127" s="324">
        <f t="shared" ca="1" si="34"/>
        <v>954.67233414915154</v>
      </c>
      <c r="AG127" s="306">
        <f t="shared" ca="1" si="56"/>
        <v>-14.993039813201102</v>
      </c>
      <c r="AH127" s="304">
        <f t="shared" ca="1" si="57"/>
        <v>-5.7114607478013983</v>
      </c>
    </row>
    <row r="128" spans="1:34" x14ac:dyDescent="0.2">
      <c r="A128" s="347">
        <f t="shared" ca="1" si="35"/>
        <v>0.1</v>
      </c>
      <c r="B128" s="304">
        <f t="shared" ca="1" si="36"/>
        <v>3.4000000000000026</v>
      </c>
      <c r="D128" s="306">
        <f t="shared" ca="1" si="37"/>
        <v>-1.8062899732299371</v>
      </c>
      <c r="E128" s="307">
        <f t="shared" ca="1" si="38"/>
        <v>-15.028567507839377</v>
      </c>
      <c r="F128" s="304">
        <f t="shared" ca="1" si="39"/>
        <v>15.136727678236021</v>
      </c>
      <c r="G128" s="306">
        <f t="shared" ca="1" si="40"/>
        <v>29.45831945508165</v>
      </c>
      <c r="H128" s="307">
        <f t="shared" ca="1" si="41"/>
        <v>84.127277752850105</v>
      </c>
      <c r="I128" s="304">
        <f t="shared" ca="1" si="42"/>
        <v>89.135803396967432</v>
      </c>
      <c r="J128" s="306">
        <f t="shared" ca="1" si="43"/>
        <v>247.27337276555423</v>
      </c>
      <c r="K128" s="307">
        <f t="shared" ca="1" si="44"/>
        <v>963.16020476197571</v>
      </c>
      <c r="L128" s="304">
        <f t="shared" ca="1" si="29"/>
        <v>994.39514324838888</v>
      </c>
      <c r="M128" s="306">
        <f t="shared" ca="1" si="45"/>
        <v>1.2339756732443907</v>
      </c>
      <c r="N128" s="304">
        <f t="shared" ca="1" si="46"/>
        <v>70.701598098717923</v>
      </c>
      <c r="P128" s="310">
        <f t="shared" ca="1" si="47"/>
        <v>23</v>
      </c>
      <c r="Q128" s="304">
        <f t="shared" ca="1" si="48"/>
        <v>0</v>
      </c>
      <c r="R128" s="306">
        <f t="shared" ca="1" si="49"/>
        <v>0</v>
      </c>
      <c r="S128" s="307">
        <f t="shared" ca="1" si="50"/>
        <v>5.083000000000002</v>
      </c>
      <c r="T128" s="304">
        <f t="shared" ca="1" si="30"/>
        <v>49.86423000000002</v>
      </c>
      <c r="U128" s="311">
        <f t="shared" ca="1" si="31"/>
        <v>0</v>
      </c>
      <c r="V128" s="306">
        <f t="shared" ca="1" si="32"/>
        <v>1.1124338373309384</v>
      </c>
      <c r="W128" s="304">
        <f t="shared" ca="1" si="33"/>
        <v>27.138259778191888</v>
      </c>
      <c r="Y128" s="314" t="str">
        <f t="shared" ca="1" si="51"/>
        <v/>
      </c>
      <c r="Z128" s="315" t="str">
        <f t="shared" ca="1" si="52"/>
        <v/>
      </c>
      <c r="AA128" s="316" t="str">
        <f t="shared" ca="1" si="53"/>
        <v/>
      </c>
      <c r="AC128" s="310" t="e">
        <f t="shared" ca="1" si="54"/>
        <v>#N/A</v>
      </c>
      <c r="AD128" s="323" t="e">
        <f t="shared" ca="1" si="55"/>
        <v>#N/A</v>
      </c>
      <c r="AE128" s="324">
        <f t="shared" ca="1" si="34"/>
        <v>963.16020476197571</v>
      </c>
      <c r="AG128" s="306">
        <f t="shared" ca="1" si="56"/>
        <v>-14.792718890989521</v>
      </c>
      <c r="AH128" s="304">
        <f t="shared" ca="1" si="57"/>
        <v>-5.5223301514186822</v>
      </c>
    </row>
    <row r="129" spans="1:34" x14ac:dyDescent="0.2">
      <c r="A129" s="347">
        <f t="shared" ca="1" si="35"/>
        <v>0.1</v>
      </c>
      <c r="B129" s="304">
        <f t="shared" ca="1" si="36"/>
        <v>3.5000000000000027</v>
      </c>
      <c r="D129" s="306">
        <f t="shared" ca="1" si="37"/>
        <v>-1.7644837779298215</v>
      </c>
      <c r="E129" s="307">
        <f t="shared" ca="1" si="38"/>
        <v>-14.849025294794737</v>
      </c>
      <c r="F129" s="304">
        <f t="shared" ca="1" si="39"/>
        <v>14.95349307713858</v>
      </c>
      <c r="G129" s="306">
        <f t="shared" ca="1" si="40"/>
        <v>29.281871077288667</v>
      </c>
      <c r="H129" s="307">
        <f t="shared" ca="1" si="41"/>
        <v>82.642375223370635</v>
      </c>
      <c r="I129" s="304">
        <f t="shared" ca="1" si="42"/>
        <v>87.6766226331018</v>
      </c>
      <c r="J129" s="306">
        <f t="shared" ca="1" si="43"/>
        <v>250.21038229217274</v>
      </c>
      <c r="K129" s="307">
        <f t="shared" ca="1" si="44"/>
        <v>971.49868741078672</v>
      </c>
      <c r="L129" s="304">
        <f t="shared" ca="1" si="29"/>
        <v>1003.2023400329949</v>
      </c>
      <c r="M129" s="306">
        <f t="shared" ca="1" si="45"/>
        <v>1.230277885580664</v>
      </c>
      <c r="N129" s="304">
        <f t="shared" ca="1" si="46"/>
        <v>70.489730472050852</v>
      </c>
      <c r="P129" s="310">
        <f t="shared" ca="1" si="47"/>
        <v>23</v>
      </c>
      <c r="Q129" s="304">
        <f t="shared" ca="1" si="48"/>
        <v>0</v>
      </c>
      <c r="R129" s="306">
        <f t="shared" ca="1" si="49"/>
        <v>0</v>
      </c>
      <c r="S129" s="307">
        <f t="shared" ca="1" si="50"/>
        <v>5.083000000000002</v>
      </c>
      <c r="T129" s="304">
        <f t="shared" ca="1" si="30"/>
        <v>49.86423000000002</v>
      </c>
      <c r="U129" s="311">
        <f t="shared" ca="1" si="31"/>
        <v>0</v>
      </c>
      <c r="V129" s="306">
        <f t="shared" ca="1" si="32"/>
        <v>1.1115044496993796</v>
      </c>
      <c r="W129" s="304">
        <f t="shared" ca="1" si="33"/>
        <v>26.235072480382993</v>
      </c>
      <c r="Y129" s="314" t="str">
        <f t="shared" ca="1" si="51"/>
        <v/>
      </c>
      <c r="Z129" s="315" t="str">
        <f t="shared" ca="1" si="52"/>
        <v/>
      </c>
      <c r="AA129" s="316" t="str">
        <f t="shared" ca="1" si="53"/>
        <v/>
      </c>
      <c r="AC129" s="310" t="e">
        <f t="shared" ca="1" si="54"/>
        <v>#N/A</v>
      </c>
      <c r="AD129" s="323" t="e">
        <f t="shared" ca="1" si="55"/>
        <v>#N/A</v>
      </c>
      <c r="AE129" s="324">
        <f t="shared" ca="1" si="34"/>
        <v>971.49868741078672</v>
      </c>
      <c r="AG129" s="306">
        <f t="shared" ca="1" si="56"/>
        <v>-14.597801921894481</v>
      </c>
      <c r="AH129" s="304">
        <f t="shared" ca="1" si="57"/>
        <v>-5.3390241546708399</v>
      </c>
    </row>
    <row r="130" spans="1:34" x14ac:dyDescent="0.2">
      <c r="A130" s="347">
        <f t="shared" ca="1" si="35"/>
        <v>0.1</v>
      </c>
      <c r="B130" s="304">
        <f t="shared" ca="1" si="36"/>
        <v>3.6000000000000028</v>
      </c>
      <c r="D130" s="306">
        <f t="shared" ca="1" si="37"/>
        <v>-1.7237614768115259</v>
      </c>
      <c r="E130" s="307">
        <f t="shared" ca="1" si="38"/>
        <v>-14.67498087455688</v>
      </c>
      <c r="F130" s="304">
        <f t="shared" ca="1" si="39"/>
        <v>14.77587281000854</v>
      </c>
      <c r="G130" s="306">
        <f t="shared" ca="1" si="40"/>
        <v>29.109494929607514</v>
      </c>
      <c r="H130" s="307">
        <f t="shared" ca="1" si="41"/>
        <v>81.174877135914954</v>
      </c>
      <c r="I130" s="304">
        <f t="shared" ca="1" si="42"/>
        <v>86.236438777860798</v>
      </c>
      <c r="J130" s="306">
        <f t="shared" ca="1" si="43"/>
        <v>253.12995059251756</v>
      </c>
      <c r="K130" s="307">
        <f t="shared" ca="1" si="44"/>
        <v>979.689550028751</v>
      </c>
      <c r="L130" s="304">
        <f t="shared" ca="1" si="29"/>
        <v>1011.8628297958705</v>
      </c>
      <c r="M130" s="306">
        <f t="shared" ca="1" si="45"/>
        <v>1.2264786672618355</v>
      </c>
      <c r="N130" s="304">
        <f t="shared" ca="1" si="46"/>
        <v>70.272051296933185</v>
      </c>
      <c r="P130" s="310">
        <f t="shared" ca="1" si="47"/>
        <v>23</v>
      </c>
      <c r="Q130" s="304">
        <f t="shared" ca="1" si="48"/>
        <v>0</v>
      </c>
      <c r="R130" s="306">
        <f t="shared" ca="1" si="49"/>
        <v>0</v>
      </c>
      <c r="S130" s="307">
        <f t="shared" ca="1" si="50"/>
        <v>5.083000000000002</v>
      </c>
      <c r="T130" s="304">
        <f t="shared" ca="1" si="30"/>
        <v>49.86423000000002</v>
      </c>
      <c r="U130" s="311">
        <f t="shared" ca="1" si="31"/>
        <v>0</v>
      </c>
      <c r="V130" s="306">
        <f t="shared" ca="1" si="32"/>
        <v>1.1105922347255541</v>
      </c>
      <c r="W130" s="304">
        <f t="shared" ca="1" si="33"/>
        <v>25.359442287405379</v>
      </c>
      <c r="Y130" s="314" t="str">
        <f t="shared" ca="1" si="51"/>
        <v/>
      </c>
      <c r="Z130" s="315" t="str">
        <f t="shared" ca="1" si="52"/>
        <v/>
      </c>
      <c r="AA130" s="316" t="str">
        <f t="shared" ca="1" si="53"/>
        <v/>
      </c>
      <c r="AC130" s="310" t="e">
        <f t="shared" ca="1" si="54"/>
        <v>#N/A</v>
      </c>
      <c r="AD130" s="323" t="e">
        <f t="shared" ca="1" si="55"/>
        <v>#N/A</v>
      </c>
      <c r="AE130" s="324">
        <f t="shared" ca="1" si="34"/>
        <v>979.689550028751</v>
      </c>
      <c r="AG130" s="306">
        <f t="shared" ca="1" si="56"/>
        <v>-14.408062254509979</v>
      </c>
      <c r="AH130" s="304">
        <f t="shared" ca="1" si="57"/>
        <v>-5.1613363132762116</v>
      </c>
    </row>
    <row r="131" spans="1:34" x14ac:dyDescent="0.2">
      <c r="A131" s="347">
        <f t="shared" ca="1" si="35"/>
        <v>0.1</v>
      </c>
      <c r="B131" s="304">
        <f t="shared" ca="1" si="36"/>
        <v>3.7000000000000028</v>
      </c>
      <c r="D131" s="306">
        <f t="shared" ca="1" si="37"/>
        <v>-1.6840828185141699</v>
      </c>
      <c r="E131" s="307">
        <f t="shared" ca="1" si="38"/>
        <v>-14.506241422607065</v>
      </c>
      <c r="F131" s="304">
        <f t="shared" ca="1" si="39"/>
        <v>14.603669920625283</v>
      </c>
      <c r="G131" s="306">
        <f t="shared" ca="1" si="40"/>
        <v>28.941086647756098</v>
      </c>
      <c r="H131" s="307">
        <f t="shared" ca="1" si="41"/>
        <v>79.724252993654247</v>
      </c>
      <c r="I131" s="304">
        <f t="shared" ca="1" si="42"/>
        <v>84.814757039969848</v>
      </c>
      <c r="J131" s="306">
        <f t="shared" ca="1" si="43"/>
        <v>256.03247967138572</v>
      </c>
      <c r="K131" s="307">
        <f t="shared" ca="1" si="44"/>
        <v>987.73450653522946</v>
      </c>
      <c r="L131" s="304">
        <f t="shared" ca="1" si="29"/>
        <v>1020.3784033617488</v>
      </c>
      <c r="M131" s="306">
        <f t="shared" ca="1" si="45"/>
        <v>1.2225743729771559</v>
      </c>
      <c r="N131" s="304">
        <f t="shared" ca="1" si="46"/>
        <v>70.048351712443989</v>
      </c>
      <c r="P131" s="310">
        <f t="shared" ca="1" si="47"/>
        <v>23</v>
      </c>
      <c r="Q131" s="304">
        <f t="shared" ca="1" si="48"/>
        <v>0</v>
      </c>
      <c r="R131" s="306">
        <f t="shared" ca="1" si="49"/>
        <v>0</v>
      </c>
      <c r="S131" s="307">
        <f t="shared" ca="1" si="50"/>
        <v>5.083000000000002</v>
      </c>
      <c r="T131" s="304">
        <f t="shared" ca="1" si="30"/>
        <v>49.86423000000002</v>
      </c>
      <c r="U131" s="311">
        <f t="shared" ca="1" si="31"/>
        <v>0</v>
      </c>
      <c r="V131" s="306">
        <f t="shared" ca="1" si="32"/>
        <v>1.1096969623968806</v>
      </c>
      <c r="W131" s="304">
        <f t="shared" ca="1" si="33"/>
        <v>24.510415890779836</v>
      </c>
      <c r="Y131" s="314" t="str">
        <f t="shared" ca="1" si="51"/>
        <v/>
      </c>
      <c r="Z131" s="315" t="str">
        <f t="shared" ca="1" si="52"/>
        <v/>
      </c>
      <c r="AA131" s="316" t="str">
        <f t="shared" ca="1" si="53"/>
        <v/>
      </c>
      <c r="AC131" s="310" t="e">
        <f t="shared" ca="1" si="54"/>
        <v>#N/A</v>
      </c>
      <c r="AD131" s="323" t="e">
        <f t="shared" ca="1" si="55"/>
        <v>#N/A</v>
      </c>
      <c r="AE131" s="324">
        <f t="shared" ca="1" si="34"/>
        <v>987.73450653522946</v>
      </c>
      <c r="AG131" s="306">
        <f t="shared" ca="1" si="56"/>
        <v>-14.223281745320843</v>
      </c>
      <c r="AH131" s="304">
        <f t="shared" ca="1" si="57"/>
        <v>-4.9890698971877567</v>
      </c>
    </row>
    <row r="132" spans="1:34" x14ac:dyDescent="0.2">
      <c r="A132" s="347">
        <f t="shared" ca="1" si="35"/>
        <v>0.1</v>
      </c>
      <c r="B132" s="304">
        <f t="shared" ca="1" si="36"/>
        <v>3.8000000000000029</v>
      </c>
      <c r="D132" s="306">
        <f t="shared" ca="1" si="37"/>
        <v>-1.6454094295312656</v>
      </c>
      <c r="E132" s="307">
        <f t="shared" ca="1" si="38"/>
        <v>-14.342623091685663</v>
      </c>
      <c r="F132" s="304">
        <f t="shared" ca="1" si="39"/>
        <v>14.436696621490153</v>
      </c>
      <c r="G132" s="306">
        <f t="shared" ca="1" si="40"/>
        <v>28.77654570480297</v>
      </c>
      <c r="H132" s="307">
        <f t="shared" ca="1" si="41"/>
        <v>78.289990684485687</v>
      </c>
      <c r="I132" s="304">
        <f t="shared" ca="1" si="42"/>
        <v>83.411103721731621</v>
      </c>
      <c r="J132" s="306">
        <f t="shared" ca="1" si="43"/>
        <v>258.91836128901366</v>
      </c>
      <c r="K132" s="307">
        <f t="shared" ca="1" si="44"/>
        <v>995.63521871913645</v>
      </c>
      <c r="L132" s="304">
        <f t="shared" ref="L132:L195" ca="1" si="58">SQRT(pos_x^2+pos_z^2)</f>
        <v>1028.7507990599527</v>
      </c>
      <c r="M132" s="306">
        <f t="shared" ca="1" si="45"/>
        <v>1.218561183023916</v>
      </c>
      <c r="N132" s="304">
        <f t="shared" ca="1" si="46"/>
        <v>69.818412865739049</v>
      </c>
      <c r="P132" s="310">
        <f t="shared" ca="1" si="47"/>
        <v>23</v>
      </c>
      <c r="Q132" s="304">
        <f t="shared" ca="1" si="48"/>
        <v>0</v>
      </c>
      <c r="R132" s="306">
        <f t="shared" ca="1" si="49"/>
        <v>0</v>
      </c>
      <c r="S132" s="307">
        <f t="shared" ca="1" si="50"/>
        <v>5.083000000000002</v>
      </c>
      <c r="T132" s="304">
        <f t="shared" ref="T132:T195" ca="1" si="59">m*g</f>
        <v>49.86423000000002</v>
      </c>
      <c r="U132" s="311">
        <f t="shared" ref="U132:U195" ca="1" si="60">IF(pos_xz&lt;L_rampe,Poids*COS(Beta),0)</f>
        <v>0</v>
      </c>
      <c r="V132" s="306">
        <f t="shared" ref="V132:V195" ca="1" si="61">Rho_moyen*(20000-Alt_rampe-pos_z)/(20000+Alt_rampe+pos_z)</f>
        <v>1.1088184098527745</v>
      </c>
      <c r="W132" s="304">
        <f t="shared" ref="W132:W195" ca="1" si="62">1/2*Rho*Sref*Cx*vit_xz^2</f>
        <v>23.687084119201099</v>
      </c>
      <c r="Y132" s="314" t="str">
        <f t="shared" ca="1" si="51"/>
        <v/>
      </c>
      <c r="Z132" s="315" t="str">
        <f t="shared" ca="1" si="52"/>
        <v/>
      </c>
      <c r="AA132" s="316" t="str">
        <f t="shared" ca="1" si="53"/>
        <v/>
      </c>
      <c r="AC132" s="310" t="e">
        <f t="shared" ca="1" si="54"/>
        <v>#N/A</v>
      </c>
      <c r="AD132" s="323" t="e">
        <f t="shared" ca="1" si="55"/>
        <v>#N/A</v>
      </c>
      <c r="AE132" s="324">
        <f t="shared" ref="AE132:AE195" ca="1" si="63">IF(t&lt;T_para, pos_z, NA())</f>
        <v>995.63521871913645</v>
      </c>
      <c r="AG132" s="306">
        <f t="shared" ca="1" si="56"/>
        <v>-14.04325014176446</v>
      </c>
      <c r="AH132" s="304">
        <f t="shared" ca="1" si="57"/>
        <v>-4.8220373580129499</v>
      </c>
    </row>
    <row r="133" spans="1:34" x14ac:dyDescent="0.2">
      <c r="A133" s="347">
        <f t="shared" ref="A133:A196" ca="1" si="64">IF(B132+0.01&lt;=T_ini+ROUNDUP(Temps_fin_propu,0), 0.01, IF(K132&gt;0, 0.1, 0.0001))</f>
        <v>0.1</v>
      </c>
      <c r="B133" s="304">
        <f t="shared" ref="B133:B196" ca="1" si="65">B132+pas</f>
        <v>3.900000000000003</v>
      </c>
      <c r="D133" s="306">
        <f t="shared" ref="D133:D196" ca="1" si="66">IF(AND(L132&lt;L_rampe,Poussee&lt;Poids*SIN(M132)),0,(-W132+Poussee)/m*COS(M132)-U132/m*SIN(M132))</f>
        <v>-1.6077047146052639</v>
      </c>
      <c r="E133" s="307">
        <f t="shared" ref="E133:E196" ca="1" si="67">IF(AND(L132&lt;L_rampe,Poussee&lt;Poids*SIN(M132)),0,(-W132+Poussee)/m*SIN(M132)+U132/m*COS(M132)-Poids/m)</f>
        <v>-14.18395052279822</v>
      </c>
      <c r="F133" s="304">
        <f t="shared" ref="F133:F196" ca="1" si="68">SQRT(acc_x^2+acc_z^2)</f>
        <v>14.274773794444236</v>
      </c>
      <c r="G133" s="306">
        <f t="shared" ref="G133:G196" ca="1" si="69">G132+acc_x*pas</f>
        <v>28.615775233342443</v>
      </c>
      <c r="H133" s="307">
        <f t="shared" ref="H133:H196" ca="1" si="70">H132+acc_z*pas</f>
        <v>76.871595632205867</v>
      </c>
      <c r="I133" s="304">
        <f t="shared" ref="I133:I196" ca="1" si="71">SQRT(vit_x^2+vit_z^2)</f>
        <v>82.025025493726901</v>
      </c>
      <c r="J133" s="306">
        <f t="shared" ref="J133:J196" ca="1" si="72">J132+0.5*(vit_x+G132)*pas*(K132&gt;=0)</f>
        <v>261.78797733592091</v>
      </c>
      <c r="K133" s="307">
        <f t="shared" ref="K133:K196" ca="1" si="73">K132+0.5*(vit_z+H132)*pas</f>
        <v>1003.3932980349711</v>
      </c>
      <c r="L133" s="304">
        <f t="shared" ca="1" si="58"/>
        <v>1036.9817045730019</v>
      </c>
      <c r="M133" s="306">
        <f t="shared" ref="M133:M196" ca="1" si="74">IF(AND(L132&gt;L_rampe,G133&gt;0),ATAN2(G133,H133),$M$4)</f>
        <v>1.2144350933891008</v>
      </c>
      <c r="N133" s="304">
        <f t="shared" ref="N133:N196" ca="1" si="75">DEGREES(Beta)</f>
        <v>69.582005343771456</v>
      </c>
      <c r="P133" s="310">
        <f t="shared" ref="P133:P196" ca="1" si="76">MATCH(t-pas/2-T_ini,CdP_t)</f>
        <v>23</v>
      </c>
      <c r="Q133" s="304">
        <f t="shared" ref="Q133:Q196" ca="1" si="77">(INDEX(CdP,2,i_P+1)-INDEX(CdP,2,i_P+0))/(INDEX(CdP,1,i_P+1)-INDEX(CdP,1,i_P+0))*(t-pas/2-T_ini-INDEX(CdP,1,i_P+0))+INDEX(CdP,2,i_P+0)</f>
        <v>0</v>
      </c>
      <c r="R133" s="306">
        <f t="shared" ref="R133:R196" ca="1" si="78">Poussee/(g*ISP)</f>
        <v>0</v>
      </c>
      <c r="S133" s="307">
        <f t="shared" ref="S133:S196" ca="1" si="79">S132-Débit*pas</f>
        <v>5.083000000000002</v>
      </c>
      <c r="T133" s="304">
        <f t="shared" ca="1" si="59"/>
        <v>49.86423000000002</v>
      </c>
      <c r="U133" s="311">
        <f t="shared" ca="1" si="60"/>
        <v>0</v>
      </c>
      <c r="V133" s="306">
        <f t="shared" ca="1" si="61"/>
        <v>1.1079563611316239</v>
      </c>
      <c r="W133" s="304">
        <f t="shared" ca="1" si="62"/>
        <v>22.888579566650115</v>
      </c>
      <c r="Y133" s="314" t="str">
        <f t="shared" ref="Y133:Y196" ca="1" si="80">IF(AND(pos_z&lt;=0,K132&gt;0),"Impact balistique","") &amp; IF(AND(H134&lt;0,vit_z&gt;=0),"Apogée","") &amp; IF(AND(Poussee=0,Q132&gt;0),"Fin de propulsion","") &amp; IF(AND(L134&gt;L_rampe,pos_xz&lt;=L_rampe),"Sortie de rampe","")</f>
        <v/>
      </c>
      <c r="Z133" s="315" t="str">
        <f t="shared" ref="Z133:Z196" ca="1" si="81">IF(ABS(t-T_para)&lt;pas/2,"Para","")</f>
        <v/>
      </c>
      <c r="AA133" s="316" t="str">
        <f t="shared" ref="AA133:AA196" ca="1" si="82">IF(ABS(t-T_satellite)&lt;pas/2,"Satellite","")</f>
        <v/>
      </c>
      <c r="AC133" s="310" t="e">
        <f t="shared" ref="AC133:AC196" ca="1" si="83">IF(ABS(t-ROUND(t,0))&lt;0.001,t,NA())</f>
        <v>#N/A</v>
      </c>
      <c r="AD133" s="323" t="e">
        <f t="shared" ref="AD133:AD196" ca="1" si="84">IF(ABS(t-ROUND(t,0))&lt;0.001,pos_x,NA())</f>
        <v>#N/A</v>
      </c>
      <c r="AE133" s="324">
        <f t="shared" ca="1" si="63"/>
        <v>1003.3932980349711</v>
      </c>
      <c r="AG133" s="306">
        <f t="shared" ref="AG133:AG196" ca="1" si="85">IF(AND(L132&lt;L_rampe,Poussee&lt;Poids*SIN(M132)),0,(-W132+Poussee)/m-Poids*SIN(M132)/m)</f>
        <v>-13.867764492815063</v>
      </c>
      <c r="AH133" s="304">
        <f t="shared" ref="AH133:AH196" ca="1" si="86">IF(AND(L132&lt;L_rampe,Poussee&lt;Poids*SIN(M132)), g*SIN(M132), (-W132+Poussee)/m)</f>
        <v>-4.6600598306514049</v>
      </c>
    </row>
    <row r="134" spans="1:34" x14ac:dyDescent="0.2">
      <c r="A134" s="347">
        <f t="shared" ca="1" si="64"/>
        <v>0.1</v>
      </c>
      <c r="B134" s="304">
        <f t="shared" ca="1" si="65"/>
        <v>4.0000000000000027</v>
      </c>
      <c r="D134" s="306">
        <f t="shared" ca="1" si="66"/>
        <v>-1.5709337637002987</v>
      </c>
      <c r="E134" s="307">
        <f t="shared" ca="1" si="67"/>
        <v>-14.03005638720008</v>
      </c>
      <c r="F134" s="304">
        <f t="shared" ca="1" si="68"/>
        <v>14.117730522925678</v>
      </c>
      <c r="G134" s="306">
        <f t="shared" ca="1" si="69"/>
        <v>28.458681856972415</v>
      </c>
      <c r="H134" s="307">
        <f t="shared" ca="1" si="70"/>
        <v>75.468589993485864</v>
      </c>
      <c r="I134" s="304">
        <f t="shared" ca="1" si="71"/>
        <v>80.656088726402089</v>
      </c>
      <c r="J134" s="306">
        <f t="shared" ca="1" si="72"/>
        <v>264.64170019043667</v>
      </c>
      <c r="K134" s="307">
        <f t="shared" ca="1" si="73"/>
        <v>1011.0103073162556</v>
      </c>
      <c r="L134" s="304">
        <f t="shared" ca="1" si="58"/>
        <v>1045.0727587012277</v>
      </c>
      <c r="M134" s="306">
        <f t="shared" ca="1" si="74"/>
        <v>1.2101919051891372</v>
      </c>
      <c r="N134" s="304">
        <f t="shared" ca="1" si="75"/>
        <v>69.338888568233827</v>
      </c>
      <c r="P134" s="310">
        <f t="shared" ca="1" si="76"/>
        <v>23</v>
      </c>
      <c r="Q134" s="304">
        <f t="shared" ca="1" si="77"/>
        <v>0</v>
      </c>
      <c r="R134" s="306">
        <f t="shared" ca="1" si="78"/>
        <v>0</v>
      </c>
      <c r="S134" s="307">
        <f t="shared" ca="1" si="79"/>
        <v>5.083000000000002</v>
      </c>
      <c r="T134" s="304">
        <f t="shared" ca="1" si="59"/>
        <v>49.86423000000002</v>
      </c>
      <c r="U134" s="311">
        <f t="shared" ca="1" si="60"/>
        <v>0</v>
      </c>
      <c r="V134" s="306">
        <f t="shared" ca="1" si="61"/>
        <v>1.1071106069296286</v>
      </c>
      <c r="W134" s="304">
        <f t="shared" ca="1" si="62"/>
        <v>22.114074370182497</v>
      </c>
      <c r="Y134" s="314" t="str">
        <f t="shared" ca="1" si="80"/>
        <v/>
      </c>
      <c r="Z134" s="315" t="str">
        <f t="shared" ca="1" si="81"/>
        <v/>
      </c>
      <c r="AA134" s="316" t="str">
        <f t="shared" ca="1" si="82"/>
        <v/>
      </c>
      <c r="AC134" s="310">
        <f t="shared" ca="1" si="83"/>
        <v>4.0000000000000027</v>
      </c>
      <c r="AD134" s="323">
        <f t="shared" ca="1" si="84"/>
        <v>264.64170019043667</v>
      </c>
      <c r="AE134" s="324">
        <f t="shared" ca="1" si="63"/>
        <v>1011.0103073162556</v>
      </c>
      <c r="AG134" s="306">
        <f t="shared" ca="1" si="85"/>
        <v>-13.696628584020722</v>
      </c>
      <c r="AH134" s="304">
        <f t="shared" ca="1" si="86"/>
        <v>-4.5029666666634087</v>
      </c>
    </row>
    <row r="135" spans="1:34" x14ac:dyDescent="0.2">
      <c r="A135" s="347">
        <f t="shared" ca="1" si="64"/>
        <v>0.1</v>
      </c>
      <c r="B135" s="304">
        <f t="shared" ca="1" si="65"/>
        <v>4.1000000000000023</v>
      </c>
      <c r="D135" s="306">
        <f t="shared" ca="1" si="66"/>
        <v>-1.5350632651003546</v>
      </c>
      <c r="E135" s="307">
        <f t="shared" ca="1" si="67"/>
        <v>-13.880780957113696</v>
      </c>
      <c r="F135" s="304">
        <f t="shared" ca="1" si="68"/>
        <v>13.965403653573025</v>
      </c>
      <c r="G135" s="306">
        <f t="shared" ca="1" si="69"/>
        <v>28.305175530462378</v>
      </c>
      <c r="H135" s="307">
        <f t="shared" ca="1" si="70"/>
        <v>74.0805118977745</v>
      </c>
      <c r="I135" s="304">
        <f t="shared" ca="1" si="71"/>
        <v>79.30387887642442</v>
      </c>
      <c r="J135" s="306">
        <f t="shared" ca="1" si="72"/>
        <v>267.47989305980843</v>
      </c>
      <c r="K135" s="307">
        <f t="shared" ca="1" si="73"/>
        <v>1018.4877624108186</v>
      </c>
      <c r="L135" s="304">
        <f t="shared" ca="1" si="58"/>
        <v>1053.0255530479224</v>
      </c>
      <c r="M135" s="306">
        <f t="shared" ca="1" si="74"/>
        <v>1.2058272134235504</v>
      </c>
      <c r="N135" s="304">
        <f t="shared" ca="1" si="75"/>
        <v>69.088810151190202</v>
      </c>
      <c r="P135" s="310">
        <f t="shared" ca="1" si="76"/>
        <v>23</v>
      </c>
      <c r="Q135" s="304">
        <f t="shared" ca="1" si="77"/>
        <v>0</v>
      </c>
      <c r="R135" s="306">
        <f t="shared" ca="1" si="78"/>
        <v>0</v>
      </c>
      <c r="S135" s="307">
        <f t="shared" ca="1" si="79"/>
        <v>5.083000000000002</v>
      </c>
      <c r="T135" s="304">
        <f t="shared" ca="1" si="59"/>
        <v>49.86423000000002</v>
      </c>
      <c r="U135" s="311">
        <f t="shared" ca="1" si="60"/>
        <v>0</v>
      </c>
      <c r="V135" s="306">
        <f t="shared" ca="1" si="61"/>
        <v>1.1062809443708383</v>
      </c>
      <c r="W135" s="304">
        <f t="shared" ca="1" si="62"/>
        <v>21.362778126715568</v>
      </c>
      <c r="Y135" s="314" t="str">
        <f t="shared" ca="1" si="80"/>
        <v/>
      </c>
      <c r="Z135" s="315" t="str">
        <f t="shared" ca="1" si="81"/>
        <v/>
      </c>
      <c r="AA135" s="316" t="str">
        <f t="shared" ca="1" si="82"/>
        <v/>
      </c>
      <c r="AC135" s="310" t="e">
        <f t="shared" ca="1" si="83"/>
        <v>#N/A</v>
      </c>
      <c r="AD135" s="323" t="e">
        <f t="shared" ca="1" si="84"/>
        <v>#N/A</v>
      </c>
      <c r="AE135" s="324">
        <f t="shared" ca="1" si="63"/>
        <v>1018.4877624108186</v>
      </c>
      <c r="AG135" s="306">
        <f t="shared" ca="1" si="85"/>
        <v>-13.529652394071585</v>
      </c>
      <c r="AH135" s="304">
        <f t="shared" ca="1" si="86"/>
        <v>-4.3505949970848885</v>
      </c>
    </row>
    <row r="136" spans="1:34" x14ac:dyDescent="0.2">
      <c r="A136" s="347">
        <f t="shared" ca="1" si="64"/>
        <v>0.1</v>
      </c>
      <c r="B136" s="304">
        <f t="shared" ca="1" si="65"/>
        <v>4.200000000000002</v>
      </c>
      <c r="D136" s="306">
        <f t="shared" ca="1" si="66"/>
        <v>-1.5000614242183732</v>
      </c>
      <c r="E136" s="307">
        <f t="shared" ca="1" si="67"/>
        <v>-13.735971703111588</v>
      </c>
      <c r="F136" s="304">
        <f t="shared" ca="1" si="68"/>
        <v>13.81763738506371</v>
      </c>
      <c r="G136" s="306">
        <f t="shared" ca="1" si="69"/>
        <v>28.155169388040541</v>
      </c>
      <c r="H136" s="307">
        <f t="shared" ca="1" si="70"/>
        <v>72.706914727463342</v>
      </c>
      <c r="I136" s="304">
        <f t="shared" ca="1" si="71"/>
        <v>77.967999925968869</v>
      </c>
      <c r="J136" s="306">
        <f t="shared" ca="1" si="72"/>
        <v>270.30291030573358</v>
      </c>
      <c r="K136" s="307">
        <f t="shared" ca="1" si="73"/>
        <v>1025.8271337420806</v>
      </c>
      <c r="L136" s="304">
        <f t="shared" ca="1" si="58"/>
        <v>1060.8416336292812</v>
      </c>
      <c r="M136" s="306">
        <f t="shared" ca="1" si="74"/>
        <v>1.2013363949954166</v>
      </c>
      <c r="N136" s="304">
        <f t="shared" ca="1" si="75"/>
        <v>68.831505208698559</v>
      </c>
      <c r="P136" s="310">
        <f t="shared" ca="1" si="76"/>
        <v>23</v>
      </c>
      <c r="Q136" s="304">
        <f t="shared" ca="1" si="77"/>
        <v>0</v>
      </c>
      <c r="R136" s="306">
        <f t="shared" ca="1" si="78"/>
        <v>0</v>
      </c>
      <c r="S136" s="307">
        <f t="shared" ca="1" si="79"/>
        <v>5.083000000000002</v>
      </c>
      <c r="T136" s="304">
        <f t="shared" ca="1" si="59"/>
        <v>49.86423000000002</v>
      </c>
      <c r="U136" s="311">
        <f t="shared" ca="1" si="60"/>
        <v>0</v>
      </c>
      <c r="V136" s="306">
        <f t="shared" ca="1" si="61"/>
        <v>1.1054671767877893</v>
      </c>
      <c r="W136" s="304">
        <f t="shared" ca="1" si="62"/>
        <v>20.633935938988994</v>
      </c>
      <c r="Y136" s="314" t="str">
        <f t="shared" ca="1" si="80"/>
        <v/>
      </c>
      <c r="Z136" s="315" t="str">
        <f t="shared" ca="1" si="81"/>
        <v/>
      </c>
      <c r="AA136" s="316" t="str">
        <f t="shared" ca="1" si="82"/>
        <v/>
      </c>
      <c r="AC136" s="310" t="e">
        <f t="shared" ca="1" si="83"/>
        <v>#N/A</v>
      </c>
      <c r="AD136" s="323" t="e">
        <f t="shared" ca="1" si="84"/>
        <v>#N/A</v>
      </c>
      <c r="AE136" s="324">
        <f t="shared" ca="1" si="63"/>
        <v>1025.8271337420806</v>
      </c>
      <c r="AG136" s="306">
        <f t="shared" ca="1" si="85"/>
        <v>-13.366651570103144</v>
      </c>
      <c r="AH136" s="304">
        <f t="shared" ca="1" si="86"/>
        <v>-4.2027893225881483</v>
      </c>
    </row>
    <row r="137" spans="1:34" x14ac:dyDescent="0.2">
      <c r="A137" s="347">
        <f t="shared" ca="1" si="64"/>
        <v>0.1</v>
      </c>
      <c r="B137" s="304">
        <f t="shared" ca="1" si="65"/>
        <v>4.3000000000000016</v>
      </c>
      <c r="D137" s="306">
        <f t="shared" ca="1" si="66"/>
        <v>-1.465897887737047</v>
      </c>
      <c r="E137" s="307">
        <f t="shared" ca="1" si="67"/>
        <v>-13.59548291626114</v>
      </c>
      <c r="F137" s="304">
        <f t="shared" ca="1" si="68"/>
        <v>13.674282882243604</v>
      </c>
      <c r="G137" s="306">
        <f t="shared" ca="1" si="69"/>
        <v>28.008579599266834</v>
      </c>
      <c r="H137" s="307">
        <f t="shared" ca="1" si="70"/>
        <v>71.34736643583723</v>
      </c>
      <c r="I137" s="304">
        <f t="shared" ca="1" si="71"/>
        <v>76.648073873373363</v>
      </c>
      <c r="J137" s="306">
        <f t="shared" ca="1" si="72"/>
        <v>273.11109775509897</v>
      </c>
      <c r="K137" s="307">
        <f t="shared" ca="1" si="73"/>
        <v>1033.0298478002455</v>
      </c>
      <c r="L137" s="304">
        <f t="shared" ca="1" si="58"/>
        <v>1068.5225024131189</v>
      </c>
      <c r="M137" s="306">
        <f t="shared" ca="1" si="74"/>
        <v>1.1967145959484735</v>
      </c>
      <c r="N137" s="304">
        <f t="shared" ca="1" si="75"/>
        <v>68.566695629551134</v>
      </c>
      <c r="P137" s="310">
        <f t="shared" ca="1" si="76"/>
        <v>23</v>
      </c>
      <c r="Q137" s="304">
        <f t="shared" ca="1" si="77"/>
        <v>0</v>
      </c>
      <c r="R137" s="306">
        <f t="shared" ca="1" si="78"/>
        <v>0</v>
      </c>
      <c r="S137" s="307">
        <f t="shared" ca="1" si="79"/>
        <v>5.083000000000002</v>
      </c>
      <c r="T137" s="304">
        <f t="shared" ca="1" si="59"/>
        <v>49.86423000000002</v>
      </c>
      <c r="U137" s="311">
        <f t="shared" ca="1" si="60"/>
        <v>0</v>
      </c>
      <c r="V137" s="306">
        <f t="shared" ca="1" si="61"/>
        <v>1.1046691135121793</v>
      </c>
      <c r="W137" s="304">
        <f t="shared" ca="1" si="62"/>
        <v>19.926826581651248</v>
      </c>
      <c r="Y137" s="314" t="str">
        <f t="shared" ca="1" si="80"/>
        <v/>
      </c>
      <c r="Z137" s="315" t="str">
        <f t="shared" ca="1" si="81"/>
        <v/>
      </c>
      <c r="AA137" s="316" t="str">
        <f t="shared" ca="1" si="82"/>
        <v/>
      </c>
      <c r="AC137" s="310" t="e">
        <f t="shared" ca="1" si="83"/>
        <v>#N/A</v>
      </c>
      <c r="AD137" s="323" t="e">
        <f t="shared" ca="1" si="84"/>
        <v>#N/A</v>
      </c>
      <c r="AE137" s="324">
        <f t="shared" ca="1" si="63"/>
        <v>1033.0298478002455</v>
      </c>
      <c r="AG137" s="306">
        <f t="shared" ca="1" si="85"/>
        <v>-13.207446919041825</v>
      </c>
      <c r="AH137" s="304">
        <f t="shared" ca="1" si="86"/>
        <v>-4.0594011290554768</v>
      </c>
    </row>
    <row r="138" spans="1:34" x14ac:dyDescent="0.2">
      <c r="A138" s="347">
        <f t="shared" ca="1" si="64"/>
        <v>0.1</v>
      </c>
      <c r="B138" s="304">
        <f t="shared" ca="1" si="65"/>
        <v>4.4000000000000012</v>
      </c>
      <c r="D138" s="306">
        <f t="shared" ca="1" si="66"/>
        <v>-1.432543672734234</v>
      </c>
      <c r="E138" s="307">
        <f t="shared" ca="1" si="67"/>
        <v>-13.459175353275857</v>
      </c>
      <c r="F138" s="304">
        <f t="shared" ca="1" si="68"/>
        <v>13.535197913755054</v>
      </c>
      <c r="G138" s="306">
        <f t="shared" ca="1" si="69"/>
        <v>27.86532523199341</v>
      </c>
      <c r="H138" s="307">
        <f t="shared" ca="1" si="70"/>
        <v>70.001448900509644</v>
      </c>
      <c r="I138" s="304">
        <f t="shared" ca="1" si="71"/>
        <v>75.343740273863702</v>
      </c>
      <c r="J138" s="306">
        <f t="shared" ca="1" si="72"/>
        <v>275.90479299666197</v>
      </c>
      <c r="K138" s="307">
        <f t="shared" ca="1" si="73"/>
        <v>1040.0972885670628</v>
      </c>
      <c r="L138" s="304">
        <f t="shared" ca="1" si="58"/>
        <v>1076.0696187901074</v>
      </c>
      <c r="M138" s="306">
        <f t="shared" ca="1" si="74"/>
        <v>1.1919567178675794</v>
      </c>
      <c r="N138" s="304">
        <f t="shared" ca="1" si="75"/>
        <v>68.294089296078099</v>
      </c>
      <c r="P138" s="310">
        <f t="shared" ca="1" si="76"/>
        <v>23</v>
      </c>
      <c r="Q138" s="304">
        <f t="shared" ca="1" si="77"/>
        <v>0</v>
      </c>
      <c r="R138" s="306">
        <f t="shared" ca="1" si="78"/>
        <v>0</v>
      </c>
      <c r="S138" s="307">
        <f t="shared" ca="1" si="79"/>
        <v>5.083000000000002</v>
      </c>
      <c r="T138" s="304">
        <f t="shared" ca="1" si="59"/>
        <v>49.86423000000002</v>
      </c>
      <c r="U138" s="311">
        <f t="shared" ca="1" si="60"/>
        <v>0</v>
      </c>
      <c r="V138" s="306">
        <f t="shared" ca="1" si="61"/>
        <v>1.1038865696750373</v>
      </c>
      <c r="W138" s="304">
        <f t="shared" ca="1" si="62"/>
        <v>19.240760779133051</v>
      </c>
      <c r="Y138" s="314" t="str">
        <f t="shared" ca="1" si="80"/>
        <v/>
      </c>
      <c r="Z138" s="315" t="str">
        <f t="shared" ca="1" si="81"/>
        <v/>
      </c>
      <c r="AA138" s="316" t="str">
        <f t="shared" ca="1" si="82"/>
        <v/>
      </c>
      <c r="AC138" s="310" t="e">
        <f t="shared" ca="1" si="83"/>
        <v>#N/A</v>
      </c>
      <c r="AD138" s="323" t="e">
        <f t="shared" ca="1" si="84"/>
        <v>#N/A</v>
      </c>
      <c r="AE138" s="324">
        <f t="shared" ca="1" si="63"/>
        <v>1040.0972885670628</v>
      </c>
      <c r="AG138" s="306">
        <f t="shared" ca="1" si="85"/>
        <v>-13.051863912383215</v>
      </c>
      <c r="AH138" s="304">
        <f t="shared" ca="1" si="86"/>
        <v>-3.9202885267856069</v>
      </c>
    </row>
    <row r="139" spans="1:34" x14ac:dyDescent="0.2">
      <c r="A139" s="347">
        <f t="shared" ca="1" si="64"/>
        <v>0.1</v>
      </c>
      <c r="B139" s="304">
        <f t="shared" ca="1" si="65"/>
        <v>4.5000000000000009</v>
      </c>
      <c r="D139" s="306">
        <f t="shared" ca="1" si="66"/>
        <v>-1.3999711004756366</v>
      </c>
      <c r="E139" s="307">
        <f t="shared" ca="1" si="67"/>
        <v>-13.326915903052782</v>
      </c>
      <c r="F139" s="304">
        <f t="shared" ca="1" si="68"/>
        <v>13.400246511508964</v>
      </c>
      <c r="G139" s="306">
        <f t="shared" ca="1" si="69"/>
        <v>27.725328121945847</v>
      </c>
      <c r="H139" s="307">
        <f t="shared" ca="1" si="70"/>
        <v>68.66875731020437</v>
      </c>
      <c r="I139" s="304">
        <f t="shared" ca="1" si="71"/>
        <v>74.054655829308317</v>
      </c>
      <c r="J139" s="306">
        <f t="shared" ca="1" si="72"/>
        <v>278.68432566435894</v>
      </c>
      <c r="K139" s="307">
        <f t="shared" ca="1" si="73"/>
        <v>1047.0307988775985</v>
      </c>
      <c r="L139" s="304">
        <f t="shared" ca="1" si="58"/>
        <v>1083.4844009810481</v>
      </c>
      <c r="M139" s="306">
        <f t="shared" ca="1" si="74"/>
        <v>1.1870574033859884</v>
      </c>
      <c r="N139" s="304">
        <f t="shared" ca="1" si="75"/>
        <v>68.013379253775611</v>
      </c>
      <c r="P139" s="310">
        <f t="shared" ca="1" si="76"/>
        <v>23</v>
      </c>
      <c r="Q139" s="304">
        <f t="shared" ca="1" si="77"/>
        <v>0</v>
      </c>
      <c r="R139" s="306">
        <f t="shared" ca="1" si="78"/>
        <v>0</v>
      </c>
      <c r="S139" s="307">
        <f t="shared" ca="1" si="79"/>
        <v>5.083000000000002</v>
      </c>
      <c r="T139" s="304">
        <f t="shared" ca="1" si="59"/>
        <v>49.86423000000002</v>
      </c>
      <c r="U139" s="311">
        <f t="shared" ca="1" si="60"/>
        <v>0</v>
      </c>
      <c r="V139" s="306">
        <f t="shared" ca="1" si="61"/>
        <v>1.1031193660158984</v>
      </c>
      <c r="W139" s="304">
        <f t="shared" ca="1" si="62"/>
        <v>18.575079587617338</v>
      </c>
      <c r="Y139" s="314" t="str">
        <f t="shared" ca="1" si="80"/>
        <v/>
      </c>
      <c r="Z139" s="315" t="str">
        <f t="shared" ca="1" si="81"/>
        <v/>
      </c>
      <c r="AA139" s="316" t="str">
        <f t="shared" ca="1" si="82"/>
        <v/>
      </c>
      <c r="AC139" s="310" t="e">
        <f t="shared" ca="1" si="83"/>
        <v>#N/A</v>
      </c>
      <c r="AD139" s="323" t="e">
        <f t="shared" ca="1" si="84"/>
        <v>#N/A</v>
      </c>
      <c r="AE139" s="324">
        <f t="shared" ca="1" si="63"/>
        <v>1047.0307988775985</v>
      </c>
      <c r="AG139" s="306">
        <f t="shared" ca="1" si="85"/>
        <v>-12.899732201856658</v>
      </c>
      <c r="AH139" s="304">
        <f t="shared" ca="1" si="86"/>
        <v>-3.7853159116925132</v>
      </c>
    </row>
    <row r="140" spans="1:34" x14ac:dyDescent="0.2">
      <c r="A140" s="347">
        <f t="shared" ca="1" si="64"/>
        <v>0.1</v>
      </c>
      <c r="B140" s="304">
        <f t="shared" ca="1" si="65"/>
        <v>4.6000000000000005</v>
      </c>
      <c r="D140" s="306">
        <f t="shared" ca="1" si="66"/>
        <v>-1.3681537345846366</v>
      </c>
      <c r="E140" s="307">
        <f t="shared" ca="1" si="67"/>
        <v>-13.198577273099142</v>
      </c>
      <c r="F140" s="304">
        <f t="shared" ca="1" si="68"/>
        <v>13.26929865047234</v>
      </c>
      <c r="G140" s="306">
        <f t="shared" ca="1" si="69"/>
        <v>27.588512748487382</v>
      </c>
      <c r="H140" s="307">
        <f t="shared" ca="1" si="70"/>
        <v>67.348899582894461</v>
      </c>
      <c r="I140" s="304">
        <f t="shared" ca="1" si="71"/>
        <v>72.780494026217312</v>
      </c>
      <c r="J140" s="306">
        <f t="shared" ca="1" si="72"/>
        <v>281.45001770788059</v>
      </c>
      <c r="K140" s="307">
        <f t="shared" ca="1" si="73"/>
        <v>1053.8316817222535</v>
      </c>
      <c r="L140" s="304">
        <f t="shared" ca="1" si="58"/>
        <v>1090.7682273834891</v>
      </c>
      <c r="M140" s="306">
        <f t="shared" ca="1" si="74"/>
        <v>1.1820110207395822</v>
      </c>
      <c r="N140" s="304">
        <f t="shared" ca="1" si="75"/>
        <v>67.724242826328478</v>
      </c>
      <c r="P140" s="310">
        <f t="shared" ca="1" si="76"/>
        <v>23</v>
      </c>
      <c r="Q140" s="304">
        <f t="shared" ca="1" si="77"/>
        <v>0</v>
      </c>
      <c r="R140" s="306">
        <f t="shared" ca="1" si="78"/>
        <v>0</v>
      </c>
      <c r="S140" s="307">
        <f t="shared" ca="1" si="79"/>
        <v>5.083000000000002</v>
      </c>
      <c r="T140" s="304">
        <f t="shared" ca="1" si="59"/>
        <v>49.86423000000002</v>
      </c>
      <c r="U140" s="311">
        <f t="shared" ca="1" si="60"/>
        <v>0</v>
      </c>
      <c r="V140" s="306">
        <f t="shared" ca="1" si="61"/>
        <v>1.1023673287005058</v>
      </c>
      <c r="W140" s="304">
        <f t="shared" ca="1" si="62"/>
        <v>17.929152874006903</v>
      </c>
      <c r="Y140" s="314" t="str">
        <f t="shared" ca="1" si="80"/>
        <v/>
      </c>
      <c r="Z140" s="315" t="str">
        <f t="shared" ca="1" si="81"/>
        <v/>
      </c>
      <c r="AA140" s="316" t="str">
        <f t="shared" ca="1" si="82"/>
        <v/>
      </c>
      <c r="AC140" s="310" t="e">
        <f t="shared" ca="1" si="83"/>
        <v>#N/A</v>
      </c>
      <c r="AD140" s="323" t="e">
        <f t="shared" ca="1" si="84"/>
        <v>#N/A</v>
      </c>
      <c r="AE140" s="324">
        <f t="shared" ca="1" si="63"/>
        <v>1053.8316817222535</v>
      </c>
      <c r="AG140" s="306">
        <f t="shared" ca="1" si="85"/>
        <v>-12.750885143474553</v>
      </c>
      <c r="AH140" s="304">
        <f t="shared" ca="1" si="86"/>
        <v>-3.6543536469835396</v>
      </c>
    </row>
    <row r="141" spans="1:34" x14ac:dyDescent="0.2">
      <c r="A141" s="347">
        <f t="shared" ca="1" si="64"/>
        <v>0.1</v>
      </c>
      <c r="B141" s="304">
        <f t="shared" ca="1" si="65"/>
        <v>4.7</v>
      </c>
      <c r="D141" s="306">
        <f t="shared" ca="1" si="66"/>
        <v>-1.337066323324448</v>
      </c>
      <c r="E141" s="307">
        <f t="shared" ca="1" si="67"/>
        <v>-13.074037694463446</v>
      </c>
      <c r="F141" s="304">
        <f t="shared" ca="1" si="68"/>
        <v>13.142229947357466</v>
      </c>
      <c r="G141" s="306">
        <f t="shared" ca="1" si="69"/>
        <v>27.454806116154938</v>
      </c>
      <c r="H141" s="307">
        <f t="shared" ca="1" si="70"/>
        <v>66.041495813448122</v>
      </c>
      <c r="I141" s="304">
        <f t="shared" ca="1" si="71"/>
        <v>71.520944821453142</v>
      </c>
      <c r="J141" s="306">
        <f t="shared" ca="1" si="72"/>
        <v>284.2021836511127</v>
      </c>
      <c r="K141" s="307">
        <f t="shared" ca="1" si="73"/>
        <v>1060.5012014920705</v>
      </c>
      <c r="L141" s="304">
        <f t="shared" ca="1" si="58"/>
        <v>1097.9224378607926</v>
      </c>
      <c r="M141" s="306">
        <f t="shared" ca="1" si="74"/>
        <v>1.1768116473048746</v>
      </c>
      <c r="N141" s="304">
        <f t="shared" ca="1" si="75"/>
        <v>67.426340672407292</v>
      </c>
      <c r="P141" s="310">
        <f t="shared" ca="1" si="76"/>
        <v>23</v>
      </c>
      <c r="Q141" s="304">
        <f t="shared" ca="1" si="77"/>
        <v>0</v>
      </c>
      <c r="R141" s="306">
        <f t="shared" ca="1" si="78"/>
        <v>0</v>
      </c>
      <c r="S141" s="307">
        <f t="shared" ca="1" si="79"/>
        <v>5.083000000000002</v>
      </c>
      <c r="T141" s="304">
        <f t="shared" ca="1" si="59"/>
        <v>49.86423000000002</v>
      </c>
      <c r="U141" s="311">
        <f t="shared" ca="1" si="60"/>
        <v>0</v>
      </c>
      <c r="V141" s="306">
        <f t="shared" ca="1" si="61"/>
        <v>1.1016302891466088</v>
      </c>
      <c r="W141" s="304">
        <f t="shared" ca="1" si="62"/>
        <v>17.302377885333662</v>
      </c>
      <c r="Y141" s="314" t="str">
        <f t="shared" ca="1" si="80"/>
        <v/>
      </c>
      <c r="Z141" s="315" t="str">
        <f t="shared" ca="1" si="81"/>
        <v/>
      </c>
      <c r="AA141" s="316" t="str">
        <f t="shared" ca="1" si="82"/>
        <v>Satellite</v>
      </c>
      <c r="AC141" s="310" t="e">
        <f t="shared" ca="1" si="83"/>
        <v>#N/A</v>
      </c>
      <c r="AD141" s="323" t="e">
        <f t="shared" ca="1" si="84"/>
        <v>#N/A</v>
      </c>
      <c r="AE141" s="324">
        <f t="shared" ca="1" si="63"/>
        <v>1060.5012014920705</v>
      </c>
      <c r="AG141" s="306">
        <f t="shared" ca="1" si="85"/>
        <v>-12.605159327491403</v>
      </c>
      <c r="AH141" s="304">
        <f t="shared" ca="1" si="86"/>
        <v>-3.5272777639203019</v>
      </c>
    </row>
    <row r="142" spans="1:34" x14ac:dyDescent="0.2">
      <c r="A142" s="347">
        <f t="shared" ca="1" si="64"/>
        <v>0.1</v>
      </c>
      <c r="B142" s="304">
        <f t="shared" ca="1" si="65"/>
        <v>4.8</v>
      </c>
      <c r="D142" s="306">
        <f t="shared" ca="1" si="66"/>
        <v>-1.3066847457510891</v>
      </c>
      <c r="E142" s="307">
        <f t="shared" ca="1" si="67"/>
        <v>-12.953180643888766</v>
      </c>
      <c r="F142" s="304">
        <f t="shared" ca="1" si="68"/>
        <v>13.018921376903432</v>
      </c>
      <c r="G142" s="306">
        <f t="shared" ca="1" si="69"/>
        <v>27.324137641579828</v>
      </c>
      <c r="H142" s="307">
        <f t="shared" ca="1" si="70"/>
        <v>64.746177749059243</v>
      </c>
      <c r="I142" s="304">
        <f t="shared" ca="1" si="71"/>
        <v>70.275714375371336</v>
      </c>
      <c r="J142" s="306">
        <f t="shared" ca="1" si="72"/>
        <v>286.94113083899947</v>
      </c>
      <c r="K142" s="307">
        <f t="shared" ca="1" si="73"/>
        <v>1067.040585170196</v>
      </c>
      <c r="L142" s="304">
        <f t="shared" ca="1" si="58"/>
        <v>1104.9483349765808</v>
      </c>
      <c r="M142" s="306">
        <f t="shared" ca="1" si="74"/>
        <v>1.1714530520542894</v>
      </c>
      <c r="N142" s="304">
        <f t="shared" ca="1" si="75"/>
        <v>67.119315780429915</v>
      </c>
      <c r="P142" s="310">
        <f t="shared" ca="1" si="76"/>
        <v>23</v>
      </c>
      <c r="Q142" s="304">
        <f t="shared" ca="1" si="77"/>
        <v>0</v>
      </c>
      <c r="R142" s="306">
        <f t="shared" ca="1" si="78"/>
        <v>0</v>
      </c>
      <c r="S142" s="307">
        <f t="shared" ca="1" si="79"/>
        <v>5.083000000000002</v>
      </c>
      <c r="T142" s="304">
        <f t="shared" ca="1" si="59"/>
        <v>49.86423000000002</v>
      </c>
      <c r="U142" s="311">
        <f t="shared" ca="1" si="60"/>
        <v>0</v>
      </c>
      <c r="V142" s="306">
        <f t="shared" ca="1" si="61"/>
        <v>1.1009080838574341</v>
      </c>
      <c r="W142" s="304">
        <f t="shared" ca="1" si="62"/>
        <v>16.694177902548851</v>
      </c>
      <c r="Y142" s="314" t="str">
        <f t="shared" ca="1" si="80"/>
        <v/>
      </c>
      <c r="Z142" s="315" t="str">
        <f t="shared" ca="1" si="81"/>
        <v/>
      </c>
      <c r="AA142" s="316" t="str">
        <f t="shared" ca="1" si="82"/>
        <v/>
      </c>
      <c r="AC142" s="310" t="e">
        <f t="shared" ca="1" si="83"/>
        <v>#N/A</v>
      </c>
      <c r="AD142" s="323" t="e">
        <f t="shared" ca="1" si="84"/>
        <v>#N/A</v>
      </c>
      <c r="AE142" s="324">
        <f t="shared" ca="1" si="63"/>
        <v>1067.040585170196</v>
      </c>
      <c r="AG142" s="306">
        <f t="shared" ca="1" si="85"/>
        <v>-12.462394111806994</v>
      </c>
      <c r="AH142" s="304">
        <f t="shared" ca="1" si="86"/>
        <v>-3.4039696803725468</v>
      </c>
    </row>
    <row r="143" spans="1:34" x14ac:dyDescent="0.2">
      <c r="A143" s="347">
        <f t="shared" ca="1" si="64"/>
        <v>0.1</v>
      </c>
      <c r="B143" s="304">
        <f t="shared" ca="1" si="65"/>
        <v>4.8999999999999995</v>
      </c>
      <c r="D143" s="306">
        <f t="shared" ca="1" si="66"/>
        <v>-1.2769859615173187</v>
      </c>
      <c r="E143" s="307">
        <f t="shared" ca="1" si="67"/>
        <v>-12.835894581999085</v>
      </c>
      <c r="F143" s="304">
        <f t="shared" ca="1" si="68"/>
        <v>12.899259004536106</v>
      </c>
      <c r="G143" s="306">
        <f t="shared" ca="1" si="69"/>
        <v>27.196439045428097</v>
      </c>
      <c r="H143" s="307">
        <f t="shared" ca="1" si="70"/>
        <v>63.462588290859337</v>
      </c>
      <c r="I143" s="304">
        <f t="shared" ca="1" si="71"/>
        <v>69.044524832363081</v>
      </c>
      <c r="J143" s="306">
        <f t="shared" ca="1" si="72"/>
        <v>289.66715967334989</v>
      </c>
      <c r="K143" s="307">
        <f t="shared" ca="1" si="73"/>
        <v>1073.451023472192</v>
      </c>
      <c r="L143" s="304">
        <f t="shared" ca="1" si="58"/>
        <v>1111.8471851773168</v>
      </c>
      <c r="M143" s="306">
        <f t="shared" ca="1" si="74"/>
        <v>1.165928676858984</v>
      </c>
      <c r="N143" s="304">
        <f t="shared" ca="1" si="75"/>
        <v>66.802792397292151</v>
      </c>
      <c r="P143" s="310">
        <f t="shared" ca="1" si="76"/>
        <v>23</v>
      </c>
      <c r="Q143" s="304">
        <f t="shared" ca="1" si="77"/>
        <v>0</v>
      </c>
      <c r="R143" s="306">
        <f t="shared" ca="1" si="78"/>
        <v>0</v>
      </c>
      <c r="S143" s="307">
        <f t="shared" ca="1" si="79"/>
        <v>5.083000000000002</v>
      </c>
      <c r="T143" s="304">
        <f t="shared" ca="1" si="59"/>
        <v>49.86423000000002</v>
      </c>
      <c r="U143" s="311">
        <f t="shared" ca="1" si="60"/>
        <v>0</v>
      </c>
      <c r="V143" s="306">
        <f t="shared" ca="1" si="61"/>
        <v>1.1002005542624436</v>
      </c>
      <c r="W143" s="304">
        <f t="shared" ca="1" si="62"/>
        <v>16.104000973088588</v>
      </c>
      <c r="Y143" s="314" t="str">
        <f t="shared" ca="1" si="80"/>
        <v/>
      </c>
      <c r="Z143" s="315" t="str">
        <f t="shared" ca="1" si="81"/>
        <v/>
      </c>
      <c r="AA143" s="316" t="str">
        <f t="shared" ca="1" si="82"/>
        <v/>
      </c>
      <c r="AC143" s="310" t="e">
        <f t="shared" ca="1" si="83"/>
        <v>#N/A</v>
      </c>
      <c r="AD143" s="323" t="e">
        <f t="shared" ca="1" si="84"/>
        <v>#N/A</v>
      </c>
      <c r="AE143" s="324">
        <f t="shared" ca="1" si="63"/>
        <v>1073.451023472192</v>
      </c>
      <c r="AG143" s="306">
        <f t="shared" ca="1" si="85"/>
        <v>-12.322431156340528</v>
      </c>
      <c r="AH143" s="304">
        <f t="shared" ca="1" si="86"/>
        <v>-3.2843159359726233</v>
      </c>
    </row>
    <row r="144" spans="1:34" x14ac:dyDescent="0.2">
      <c r="A144" s="347">
        <f t="shared" ca="1" si="64"/>
        <v>0.1</v>
      </c>
      <c r="B144" s="304">
        <f t="shared" ca="1" si="65"/>
        <v>4.9999999999999991</v>
      </c>
      <c r="D144" s="306">
        <f t="shared" ca="1" si="66"/>
        <v>-1.2479479641278866</v>
      </c>
      <c r="E144" s="307">
        <f t="shared" ca="1" si="67"/>
        <v>-12.722072706414773</v>
      </c>
      <c r="F144" s="304">
        <f t="shared" ca="1" si="68"/>
        <v>12.783133734279504</v>
      </c>
      <c r="G144" s="306">
        <f t="shared" ca="1" si="69"/>
        <v>27.071644249015307</v>
      </c>
      <c r="H144" s="307">
        <f t="shared" ca="1" si="70"/>
        <v>62.190381020217856</v>
      </c>
      <c r="I144" s="304">
        <f t="shared" ca="1" si="71"/>
        <v>67.827114149026841</v>
      </c>
      <c r="J144" s="306">
        <f t="shared" ca="1" si="72"/>
        <v>292.38056383807208</v>
      </c>
      <c r="K144" s="307">
        <f t="shared" ca="1" si="73"/>
        <v>1079.7336719377458</v>
      </c>
      <c r="L144" s="304">
        <f t="shared" ca="1" si="58"/>
        <v>1118.6202199256174</v>
      </c>
      <c r="M144" s="306">
        <f t="shared" ca="1" si="74"/>
        <v>1.160231616566437</v>
      </c>
      <c r="N144" s="304">
        <f t="shared" ca="1" si="75"/>
        <v>66.476374886897645</v>
      </c>
      <c r="P144" s="310">
        <f t="shared" ca="1" si="76"/>
        <v>23</v>
      </c>
      <c r="Q144" s="304">
        <f t="shared" ca="1" si="77"/>
        <v>0</v>
      </c>
      <c r="R144" s="306">
        <f t="shared" ca="1" si="78"/>
        <v>0</v>
      </c>
      <c r="S144" s="307">
        <f t="shared" ca="1" si="79"/>
        <v>5.083000000000002</v>
      </c>
      <c r="T144" s="304">
        <f t="shared" ca="1" si="59"/>
        <v>49.86423000000002</v>
      </c>
      <c r="U144" s="311">
        <f t="shared" ca="1" si="60"/>
        <v>0</v>
      </c>
      <c r="V144" s="306">
        <f t="shared" ca="1" si="61"/>
        <v>1.0995075465650177</v>
      </c>
      <c r="W144" s="304">
        <f t="shared" ca="1" si="62"/>
        <v>15.531318717026053</v>
      </c>
      <c r="Y144" s="314" t="str">
        <f t="shared" ca="1" si="80"/>
        <v/>
      </c>
      <c r="Z144" s="315" t="str">
        <f t="shared" ca="1" si="81"/>
        <v/>
      </c>
      <c r="AA144" s="316" t="str">
        <f t="shared" ca="1" si="82"/>
        <v/>
      </c>
      <c r="AC144" s="310">
        <f t="shared" ca="1" si="83"/>
        <v>4.9999999999999991</v>
      </c>
      <c r="AD144" s="323">
        <f t="shared" ca="1" si="84"/>
        <v>292.38056383807208</v>
      </c>
      <c r="AE144" s="324">
        <f t="shared" ca="1" si="63"/>
        <v>1079.7336719377458</v>
      </c>
      <c r="AG144" s="306">
        <f t="shared" ca="1" si="85"/>
        <v>-12.185113955878824</v>
      </c>
      <c r="AH144" s="304">
        <f t="shared" ca="1" si="86"/>
        <v>-3.1682079427677716</v>
      </c>
    </row>
    <row r="145" spans="1:34" x14ac:dyDescent="0.2">
      <c r="A145" s="347">
        <f t="shared" ca="1" si="64"/>
        <v>0.1</v>
      </c>
      <c r="B145" s="304">
        <f t="shared" ca="1" si="65"/>
        <v>5.0999999999999988</v>
      </c>
      <c r="D145" s="306">
        <f t="shared" ca="1" si="66"/>
        <v>-1.2195497374652722</v>
      </c>
      <c r="E145" s="307">
        <f t="shared" ca="1" si="67"/>
        <v>-12.611612718770516</v>
      </c>
      <c r="F145" s="304">
        <f t="shared" ca="1" si="68"/>
        <v>12.670441070870654</v>
      </c>
      <c r="G145" s="306">
        <f t="shared" ca="1" si="69"/>
        <v>26.949689275268781</v>
      </c>
      <c r="H145" s="307">
        <f t="shared" ca="1" si="70"/>
        <v>60.929219748340806</v>
      </c>
      <c r="I145" s="304">
        <f t="shared" ca="1" si="71"/>
        <v>66.623235970456591</v>
      </c>
      <c r="J145" s="306">
        <f t="shared" ca="1" si="72"/>
        <v>295.0816305142863</v>
      </c>
      <c r="K145" s="307">
        <f t="shared" ca="1" si="73"/>
        <v>1085.8896519761738</v>
      </c>
      <c r="L145" s="304">
        <f t="shared" ca="1" si="58"/>
        <v>1125.2686367867477</v>
      </c>
      <c r="M145" s="306">
        <f t="shared" ca="1" si="74"/>
        <v>1.1543545977772356</v>
      </c>
      <c r="N145" s="304">
        <f t="shared" ca="1" si="75"/>
        <v>66.13964651415732</v>
      </c>
      <c r="P145" s="310">
        <f t="shared" ca="1" si="76"/>
        <v>23</v>
      </c>
      <c r="Q145" s="304">
        <f t="shared" ca="1" si="77"/>
        <v>0</v>
      </c>
      <c r="R145" s="306">
        <f t="shared" ca="1" si="78"/>
        <v>0</v>
      </c>
      <c r="S145" s="307">
        <f t="shared" ca="1" si="79"/>
        <v>5.083000000000002</v>
      </c>
      <c r="T145" s="304">
        <f t="shared" ca="1" si="59"/>
        <v>49.86423000000002</v>
      </c>
      <c r="U145" s="311">
        <f t="shared" ca="1" si="60"/>
        <v>0</v>
      </c>
      <c r="V145" s="306">
        <f t="shared" ca="1" si="61"/>
        <v>1.0988289115967045</v>
      </c>
      <c r="W145" s="304">
        <f t="shared" ca="1" si="62"/>
        <v>14.975625202003933</v>
      </c>
      <c r="Y145" s="314" t="str">
        <f t="shared" ca="1" si="80"/>
        <v/>
      </c>
      <c r="Z145" s="315" t="str">
        <f t="shared" ca="1" si="81"/>
        <v/>
      </c>
      <c r="AA145" s="316" t="str">
        <f t="shared" ca="1" si="82"/>
        <v/>
      </c>
      <c r="AC145" s="310" t="e">
        <f t="shared" ca="1" si="83"/>
        <v>#N/A</v>
      </c>
      <c r="AD145" s="323" t="e">
        <f t="shared" ca="1" si="84"/>
        <v>#N/A</v>
      </c>
      <c r="AE145" s="324">
        <f t="shared" ca="1" si="63"/>
        <v>1085.8896519761738</v>
      </c>
      <c r="AG145" s="306">
        <f t="shared" ca="1" si="85"/>
        <v>-12.050287368862364</v>
      </c>
      <c r="AH145" s="304">
        <f t="shared" ca="1" si="86"/>
        <v>-3.0555417503494091</v>
      </c>
    </row>
    <row r="146" spans="1:34" x14ac:dyDescent="0.2">
      <c r="A146" s="347">
        <f t="shared" ca="1" si="64"/>
        <v>0.1</v>
      </c>
      <c r="B146" s="304">
        <f t="shared" ca="1" si="65"/>
        <v>5.1999999999999984</v>
      </c>
      <c r="D146" s="306">
        <f t="shared" ca="1" si="66"/>
        <v>-1.1917712154227356</v>
      </c>
      <c r="E146" s="307">
        <f t="shared" ca="1" si="67"/>
        <v>-12.504416604679568</v>
      </c>
      <c r="F146" s="304">
        <f t="shared" ca="1" si="68"/>
        <v>12.561080895101993</v>
      </c>
      <c r="G146" s="306">
        <f t="shared" ca="1" si="69"/>
        <v>26.830512153726509</v>
      </c>
      <c r="H146" s="307">
        <f t="shared" ca="1" si="70"/>
        <v>59.67877808787285</v>
      </c>
      <c r="I146" s="304">
        <f t="shared" ca="1" si="71"/>
        <v>65.432659555399681</v>
      </c>
      <c r="J146" s="306">
        <f t="shared" ca="1" si="72"/>
        <v>297.77064058573609</v>
      </c>
      <c r="K146" s="307">
        <f t="shared" ca="1" si="73"/>
        <v>1091.9200518679845</v>
      </c>
      <c r="L146" s="304">
        <f t="shared" ca="1" si="58"/>
        <v>1131.7936004706078</v>
      </c>
      <c r="M146" s="306">
        <f t="shared" ca="1" si="74"/>
        <v>1.1482899562431286</v>
      </c>
      <c r="N146" s="304">
        <f t="shared" ca="1" si="75"/>
        <v>65.792168149993245</v>
      </c>
      <c r="P146" s="310">
        <f t="shared" ca="1" si="76"/>
        <v>23</v>
      </c>
      <c r="Q146" s="304">
        <f t="shared" ca="1" si="77"/>
        <v>0</v>
      </c>
      <c r="R146" s="306">
        <f t="shared" ca="1" si="78"/>
        <v>0</v>
      </c>
      <c r="S146" s="307">
        <f t="shared" ca="1" si="79"/>
        <v>5.083000000000002</v>
      </c>
      <c r="T146" s="304">
        <f t="shared" ca="1" si="59"/>
        <v>49.86423000000002</v>
      </c>
      <c r="U146" s="311">
        <f t="shared" ca="1" si="60"/>
        <v>0</v>
      </c>
      <c r="V146" s="306">
        <f t="shared" ca="1" si="61"/>
        <v>1.098164504677722</v>
      </c>
      <c r="W146" s="304">
        <f t="shared" ca="1" si="62"/>
        <v>14.436435882492345</v>
      </c>
      <c r="Y146" s="314" t="str">
        <f t="shared" ca="1" si="80"/>
        <v/>
      </c>
      <c r="Z146" s="315" t="str">
        <f t="shared" ca="1" si="81"/>
        <v/>
      </c>
      <c r="AA146" s="316" t="str">
        <f t="shared" ca="1" si="82"/>
        <v/>
      </c>
      <c r="AC146" s="310" t="e">
        <f t="shared" ca="1" si="83"/>
        <v>#N/A</v>
      </c>
      <c r="AD146" s="323" t="e">
        <f t="shared" ca="1" si="84"/>
        <v>#N/A</v>
      </c>
      <c r="AE146" s="324">
        <f t="shared" ca="1" si="63"/>
        <v>1091.9200518679845</v>
      </c>
      <c r="AG146" s="306">
        <f t="shared" ca="1" si="85"/>
        <v>-11.917797139518525</v>
      </c>
      <c r="AH146" s="304">
        <f t="shared" ca="1" si="86"/>
        <v>-2.9462178245138553</v>
      </c>
    </row>
    <row r="147" spans="1:34" x14ac:dyDescent="0.2">
      <c r="A147" s="347">
        <f t="shared" ca="1" si="64"/>
        <v>0.1</v>
      </c>
      <c r="B147" s="304">
        <f t="shared" ca="1" si="65"/>
        <v>5.299999999999998</v>
      </c>
      <c r="D147" s="306">
        <f t="shared" ca="1" si="66"/>
        <v>-1.1645932444981217</v>
      </c>
      <c r="E147" s="307">
        <f t="shared" ca="1" si="67"/>
        <v>-12.400390425752128</v>
      </c>
      <c r="F147" s="304">
        <f t="shared" ca="1" si="68"/>
        <v>12.454957251480863</v>
      </c>
      <c r="G147" s="306">
        <f t="shared" ca="1" si="69"/>
        <v>26.714052829276696</v>
      </c>
      <c r="H147" s="307">
        <f t="shared" ca="1" si="70"/>
        <v>58.438739045297638</v>
      </c>
      <c r="I147" s="304">
        <f t="shared" ca="1" si="71"/>
        <v>64.255169751310916</v>
      </c>
      <c r="J147" s="306">
        <f t="shared" ca="1" si="72"/>
        <v>300.44786883488626</v>
      </c>
      <c r="K147" s="307">
        <f t="shared" ca="1" si="73"/>
        <v>1097.825927724643</v>
      </c>
      <c r="L147" s="304">
        <f t="shared" ca="1" si="58"/>
        <v>1138.1962438313956</v>
      </c>
      <c r="M147" s="306">
        <f t="shared" ca="1" si="74"/>
        <v>1.1420296128066174</v>
      </c>
      <c r="N147" s="304">
        <f t="shared" ca="1" si="75"/>
        <v>65.433476892778728</v>
      </c>
      <c r="P147" s="310">
        <f t="shared" ca="1" si="76"/>
        <v>23</v>
      </c>
      <c r="Q147" s="304">
        <f t="shared" ca="1" si="77"/>
        <v>0</v>
      </c>
      <c r="R147" s="306">
        <f t="shared" ca="1" si="78"/>
        <v>0</v>
      </c>
      <c r="S147" s="307">
        <f t="shared" ca="1" si="79"/>
        <v>5.083000000000002</v>
      </c>
      <c r="T147" s="304">
        <f t="shared" ca="1" si="59"/>
        <v>49.86423000000002</v>
      </c>
      <c r="U147" s="311">
        <f t="shared" ca="1" si="60"/>
        <v>0</v>
      </c>
      <c r="V147" s="306">
        <f t="shared" ca="1" si="61"/>
        <v>1.0975141854834021</v>
      </c>
      <c r="W147" s="304">
        <f t="shared" ca="1" si="62"/>
        <v>13.913286599240131</v>
      </c>
      <c r="Y147" s="314" t="str">
        <f t="shared" ca="1" si="80"/>
        <v/>
      </c>
      <c r="Z147" s="315" t="str">
        <f t="shared" ca="1" si="81"/>
        <v/>
      </c>
      <c r="AA147" s="316" t="str">
        <f t="shared" ca="1" si="82"/>
        <v/>
      </c>
      <c r="AC147" s="310" t="e">
        <f t="shared" ca="1" si="83"/>
        <v>#N/A</v>
      </c>
      <c r="AD147" s="323" t="e">
        <f t="shared" ca="1" si="84"/>
        <v>#N/A</v>
      </c>
      <c r="AE147" s="324">
        <f t="shared" ca="1" si="63"/>
        <v>1097.825927724643</v>
      </c>
      <c r="AG147" s="306">
        <f t="shared" ca="1" si="85"/>
        <v>-11.787489410682991</v>
      </c>
      <c r="AH147" s="304">
        <f t="shared" ca="1" si="86"/>
        <v>-2.8401408385780718</v>
      </c>
    </row>
    <row r="148" spans="1:34" x14ac:dyDescent="0.2">
      <c r="A148" s="347">
        <f t="shared" ca="1" si="64"/>
        <v>0.1</v>
      </c>
      <c r="B148" s="304">
        <f t="shared" ca="1" si="65"/>
        <v>5.3999999999999977</v>
      </c>
      <c r="D148" s="306">
        <f t="shared" ca="1" si="66"/>
        <v>-1.137997549217526</v>
      </c>
      <c r="E148" s="307">
        <f t="shared" ca="1" si="67"/>
        <v>-12.299444122833679</v>
      </c>
      <c r="F148" s="304">
        <f t="shared" ca="1" si="68"/>
        <v>12.351978147354902</v>
      </c>
      <c r="G148" s="306">
        <f t="shared" ca="1" si="69"/>
        <v>26.600253074354942</v>
      </c>
      <c r="H148" s="307">
        <f t="shared" ca="1" si="70"/>
        <v>57.208794633014271</v>
      </c>
      <c r="I148" s="304">
        <f t="shared" ca="1" si="71"/>
        <v>63.090567020610393</v>
      </c>
      <c r="J148" s="306">
        <f t="shared" ca="1" si="72"/>
        <v>303.11358413006786</v>
      </c>
      <c r="K148" s="307">
        <f t="shared" ca="1" si="73"/>
        <v>1103.6083044085585</v>
      </c>
      <c r="L148" s="304">
        <f t="shared" ca="1" si="58"/>
        <v>1144.477668827011</v>
      </c>
      <c r="M148" s="306">
        <f t="shared" ca="1" si="74"/>
        <v>1.1355650478013515</v>
      </c>
      <c r="N148" s="304">
        <f t="shared" ca="1" si="75"/>
        <v>65.063084601589026</v>
      </c>
      <c r="P148" s="310">
        <f t="shared" ca="1" si="76"/>
        <v>23</v>
      </c>
      <c r="Q148" s="304">
        <f t="shared" ca="1" si="77"/>
        <v>0</v>
      </c>
      <c r="R148" s="306">
        <f t="shared" ca="1" si="78"/>
        <v>0</v>
      </c>
      <c r="S148" s="307">
        <f t="shared" ca="1" si="79"/>
        <v>5.083000000000002</v>
      </c>
      <c r="T148" s="304">
        <f t="shared" ca="1" si="59"/>
        <v>49.86423000000002</v>
      </c>
      <c r="U148" s="311">
        <f t="shared" ca="1" si="60"/>
        <v>0</v>
      </c>
      <c r="V148" s="306">
        <f t="shared" ca="1" si="61"/>
        <v>1.0968778179162788</v>
      </c>
      <c r="W148" s="304">
        <f t="shared" ca="1" si="62"/>
        <v>13.405732635083856</v>
      </c>
      <c r="Y148" s="314" t="str">
        <f t="shared" ca="1" si="80"/>
        <v/>
      </c>
      <c r="Z148" s="315" t="str">
        <f t="shared" ca="1" si="81"/>
        <v/>
      </c>
      <c r="AA148" s="316" t="str">
        <f t="shared" ca="1" si="82"/>
        <v/>
      </c>
      <c r="AC148" s="310" t="e">
        <f t="shared" ca="1" si="83"/>
        <v>#N/A</v>
      </c>
      <c r="AD148" s="323" t="e">
        <f t="shared" ca="1" si="84"/>
        <v>#N/A</v>
      </c>
      <c r="AE148" s="324">
        <f t="shared" ca="1" si="63"/>
        <v>1103.6083044085585</v>
      </c>
      <c r="AG148" s="306">
        <f t="shared" ca="1" si="85"/>
        <v>-11.659210224568698</v>
      </c>
      <c r="AH148" s="304">
        <f t="shared" ca="1" si="86"/>
        <v>-2.7372194765375024</v>
      </c>
    </row>
    <row r="149" spans="1:34" x14ac:dyDescent="0.2">
      <c r="A149" s="347">
        <f t="shared" ca="1" si="64"/>
        <v>0.1</v>
      </c>
      <c r="B149" s="304">
        <f t="shared" ca="1" si="65"/>
        <v>5.4999999999999973</v>
      </c>
      <c r="D149" s="306">
        <f t="shared" ca="1" si="66"/>
        <v>-1.1119667002727518</v>
      </c>
      <c r="E149" s="307">
        <f t="shared" ca="1" si="67"/>
        <v>-12.201491329681534</v>
      </c>
      <c r="F149" s="304">
        <f t="shared" ca="1" si="68"/>
        <v>12.252055362705848</v>
      </c>
      <c r="G149" s="306">
        <f t="shared" ca="1" si="69"/>
        <v>26.489056404327666</v>
      </c>
      <c r="H149" s="307">
        <f t="shared" ca="1" si="70"/>
        <v>55.988645500046118</v>
      </c>
      <c r="I149" s="304">
        <f t="shared" ca="1" si="71"/>
        <v>61.938667519744783</v>
      </c>
      <c r="J149" s="306">
        <f t="shared" ca="1" si="72"/>
        <v>305.76804960400199</v>
      </c>
      <c r="K149" s="307">
        <f t="shared" ca="1" si="73"/>
        <v>1109.2681764152117</v>
      </c>
      <c r="L149" s="304">
        <f t="shared" ca="1" si="58"/>
        <v>1150.6389474401449</v>
      </c>
      <c r="M149" s="306">
        <f t="shared" ca="1" si="74"/>
        <v>1.1288872738326448</v>
      </c>
      <c r="N149" s="304">
        <f t="shared" ca="1" si="75"/>
        <v>64.680476336639799</v>
      </c>
      <c r="P149" s="310">
        <f t="shared" ca="1" si="76"/>
        <v>23</v>
      </c>
      <c r="Q149" s="304">
        <f t="shared" ca="1" si="77"/>
        <v>0</v>
      </c>
      <c r="R149" s="306">
        <f t="shared" ca="1" si="78"/>
        <v>0</v>
      </c>
      <c r="S149" s="307">
        <f t="shared" ca="1" si="79"/>
        <v>5.083000000000002</v>
      </c>
      <c r="T149" s="304">
        <f t="shared" ca="1" si="59"/>
        <v>49.86423000000002</v>
      </c>
      <c r="U149" s="311">
        <f t="shared" ca="1" si="60"/>
        <v>0</v>
      </c>
      <c r="V149" s="306">
        <f t="shared" ca="1" si="61"/>
        <v>1.096255269983557</v>
      </c>
      <c r="W149" s="304">
        <f t="shared" ca="1" si="62"/>
        <v>12.91334782355278</v>
      </c>
      <c r="Y149" s="314" t="str">
        <f t="shared" ca="1" si="80"/>
        <v/>
      </c>
      <c r="Z149" s="315" t="str">
        <f t="shared" ca="1" si="81"/>
        <v/>
      </c>
      <c r="AA149" s="316" t="str">
        <f t="shared" ca="1" si="82"/>
        <v/>
      </c>
      <c r="AC149" s="310" t="e">
        <f t="shared" ca="1" si="83"/>
        <v>#N/A</v>
      </c>
      <c r="AD149" s="323" t="e">
        <f t="shared" ca="1" si="84"/>
        <v>#N/A</v>
      </c>
      <c r="AE149" s="324">
        <f t="shared" ca="1" si="63"/>
        <v>1109.2681764152117</v>
      </c>
      <c r="AG149" s="306">
        <f t="shared" ca="1" si="85"/>
        <v>-11.532805008648442</v>
      </c>
      <c r="AH149" s="304">
        <f t="shared" ca="1" si="86"/>
        <v>-2.6373662473114008</v>
      </c>
    </row>
    <row r="150" spans="1:34" x14ac:dyDescent="0.2">
      <c r="A150" s="347">
        <f t="shared" ca="1" si="64"/>
        <v>0.1</v>
      </c>
      <c r="B150" s="304">
        <f t="shared" ca="1" si="65"/>
        <v>5.599999999999997</v>
      </c>
      <c r="D150" s="306">
        <f t="shared" ca="1" si="66"/>
        <v>-1.0864840852706887</v>
      </c>
      <c r="E150" s="307">
        <f t="shared" ca="1" si="67"/>
        <v>-12.106449196345258</v>
      </c>
      <c r="F150" s="304">
        <f t="shared" ca="1" si="68"/>
        <v>12.155104269862731</v>
      </c>
      <c r="G150" s="306">
        <f t="shared" ca="1" si="69"/>
        <v>26.380407995800596</v>
      </c>
      <c r="H150" s="307">
        <f t="shared" ca="1" si="70"/>
        <v>54.778000580411593</v>
      </c>
      <c r="I150" s="304">
        <f t="shared" ca="1" si="71"/>
        <v>60.799303232952205</v>
      </c>
      <c r="J150" s="306">
        <f t="shared" ca="1" si="72"/>
        <v>308.41152282400839</v>
      </c>
      <c r="K150" s="307">
        <f t="shared" ca="1" si="73"/>
        <v>1114.8065087192344</v>
      </c>
      <c r="L150" s="304">
        <f t="shared" ca="1" si="58"/>
        <v>1156.6811225629094</v>
      </c>
      <c r="M150" s="306">
        <f t="shared" ca="1" si="74"/>
        <v>1.1219868068588441</v>
      </c>
      <c r="N150" s="304">
        <f t="shared" ca="1" si="75"/>
        <v>64.285108702371616</v>
      </c>
      <c r="P150" s="310">
        <f t="shared" ca="1" si="76"/>
        <v>23</v>
      </c>
      <c r="Q150" s="304">
        <f t="shared" ca="1" si="77"/>
        <v>0</v>
      </c>
      <c r="R150" s="306">
        <f t="shared" ca="1" si="78"/>
        <v>0</v>
      </c>
      <c r="S150" s="307">
        <f t="shared" ca="1" si="79"/>
        <v>5.083000000000002</v>
      </c>
      <c r="T150" s="304">
        <f t="shared" ca="1" si="59"/>
        <v>49.86423000000002</v>
      </c>
      <c r="U150" s="311">
        <f t="shared" ca="1" si="60"/>
        <v>0</v>
      </c>
      <c r="V150" s="306">
        <f t="shared" ca="1" si="61"/>
        <v>1.0956464136796964</v>
      </c>
      <c r="W150" s="304">
        <f t="shared" ca="1" si="62"/>
        <v>12.435723706958225</v>
      </c>
      <c r="Y150" s="314" t="str">
        <f t="shared" ca="1" si="80"/>
        <v/>
      </c>
      <c r="Z150" s="315" t="str">
        <f t="shared" ca="1" si="81"/>
        <v/>
      </c>
      <c r="AA150" s="316" t="str">
        <f t="shared" ca="1" si="82"/>
        <v/>
      </c>
      <c r="AC150" s="310" t="e">
        <f t="shared" ca="1" si="83"/>
        <v>#N/A</v>
      </c>
      <c r="AD150" s="323" t="e">
        <f t="shared" ca="1" si="84"/>
        <v>#N/A</v>
      </c>
      <c r="AE150" s="324">
        <f t="shared" ca="1" si="63"/>
        <v>1114.8065087192344</v>
      </c>
      <c r="AG150" s="306">
        <f t="shared" ca="1" si="85"/>
        <v>-11.408118043714481</v>
      </c>
      <c r="AH150" s="304">
        <f t="shared" ca="1" si="86"/>
        <v>-2.5404973093749312</v>
      </c>
    </row>
    <row r="151" spans="1:34" x14ac:dyDescent="0.2">
      <c r="A151" s="347">
        <f t="shared" ca="1" si="64"/>
        <v>0.1</v>
      </c>
      <c r="B151" s="304">
        <f t="shared" ca="1" si="65"/>
        <v>5.6999999999999966</v>
      </c>
      <c r="D151" s="306">
        <f t="shared" ca="1" si="66"/>
        <v>-1.0615338820061484</v>
      </c>
      <c r="E151" s="307">
        <f t="shared" ca="1" si="67"/>
        <v>-12.014238221558813</v>
      </c>
      <c r="F151" s="304">
        <f t="shared" ca="1" si="68"/>
        <v>12.061043662428707</v>
      </c>
      <c r="G151" s="306">
        <f t="shared" ca="1" si="69"/>
        <v>26.274254607599982</v>
      </c>
      <c r="H151" s="307">
        <f t="shared" ca="1" si="70"/>
        <v>53.576576758255712</v>
      </c>
      <c r="I151" s="304">
        <f t="shared" ca="1" si="71"/>
        <v>59.672322162944646</v>
      </c>
      <c r="J151" s="306">
        <f t="shared" ca="1" si="72"/>
        <v>311.04425595417842</v>
      </c>
      <c r="K151" s="307">
        <f t="shared" ca="1" si="73"/>
        <v>1120.2242375861679</v>
      </c>
      <c r="L151" s="304">
        <f t="shared" ca="1" si="58"/>
        <v>1162.6052088467518</v>
      </c>
      <c r="M151" s="306">
        <f t="shared" ca="1" si="74"/>
        <v>1.1148536354974785</v>
      </c>
      <c r="N151" s="304">
        <f t="shared" ca="1" si="75"/>
        <v>63.876408088821776</v>
      </c>
      <c r="P151" s="310">
        <f t="shared" ca="1" si="76"/>
        <v>23</v>
      </c>
      <c r="Q151" s="304">
        <f t="shared" ca="1" si="77"/>
        <v>0</v>
      </c>
      <c r="R151" s="306">
        <f t="shared" ca="1" si="78"/>
        <v>0</v>
      </c>
      <c r="S151" s="307">
        <f t="shared" ca="1" si="79"/>
        <v>5.083000000000002</v>
      </c>
      <c r="T151" s="304">
        <f t="shared" ca="1" si="59"/>
        <v>49.86423000000002</v>
      </c>
      <c r="U151" s="311">
        <f t="shared" ca="1" si="60"/>
        <v>0</v>
      </c>
      <c r="V151" s="306">
        <f t="shared" ca="1" si="61"/>
        <v>1.0950511248738624</v>
      </c>
      <c r="W151" s="304">
        <f t="shared" ca="1" si="62"/>
        <v>11.972468740888349</v>
      </c>
      <c r="Y151" s="314" t="str">
        <f t="shared" ca="1" si="80"/>
        <v/>
      </c>
      <c r="Z151" s="315" t="str">
        <f t="shared" ca="1" si="81"/>
        <v/>
      </c>
      <c r="AA151" s="316" t="str">
        <f t="shared" ca="1" si="82"/>
        <v/>
      </c>
      <c r="AC151" s="310" t="e">
        <f t="shared" ca="1" si="83"/>
        <v>#N/A</v>
      </c>
      <c r="AD151" s="323" t="e">
        <f t="shared" ca="1" si="84"/>
        <v>#N/A</v>
      </c>
      <c r="AE151" s="324">
        <f t="shared" ca="1" si="63"/>
        <v>1120.2242375861679</v>
      </c>
      <c r="AG151" s="306">
        <f t="shared" ca="1" si="85"/>
        <v>-11.284991911068063</v>
      </c>
      <c r="AH151" s="304">
        <f t="shared" ca="1" si="86"/>
        <v>-2.4465323051265435</v>
      </c>
    </row>
    <row r="152" spans="1:34" x14ac:dyDescent="0.2">
      <c r="A152" s="347">
        <f t="shared" ca="1" si="64"/>
        <v>0.1</v>
      </c>
      <c r="B152" s="304">
        <f t="shared" ca="1" si="65"/>
        <v>5.7999999999999963</v>
      </c>
      <c r="D152" s="306">
        <f t="shared" ca="1" si="66"/>
        <v>-1.0371010341827096</v>
      </c>
      <c r="E152" s="307">
        <f t="shared" ca="1" si="67"/>
        <v>-11.924782093490258</v>
      </c>
      <c r="F152" s="304">
        <f t="shared" ca="1" si="68"/>
        <v>11.969795592754654</v>
      </c>
      <c r="G152" s="306">
        <f t="shared" ca="1" si="69"/>
        <v>26.170544504181709</v>
      </c>
      <c r="H152" s="307">
        <f t="shared" ca="1" si="70"/>
        <v>52.384098548906685</v>
      </c>
      <c r="I152" s="304">
        <f t="shared" ca="1" si="71"/>
        <v>58.557588581044925</v>
      </c>
      <c r="J152" s="306">
        <f t="shared" ca="1" si="72"/>
        <v>313.66649590976749</v>
      </c>
      <c r="K152" s="307">
        <f t="shared" ca="1" si="73"/>
        <v>1125.5222713515259</v>
      </c>
      <c r="L152" s="304">
        <f t="shared" ca="1" si="58"/>
        <v>1168.412193519312</v>
      </c>
      <c r="M152" s="306">
        <f t="shared" ca="1" si="74"/>
        <v>1.1074771884855776</v>
      </c>
      <c r="N152" s="304">
        <f t="shared" ca="1" si="75"/>
        <v>63.453768807237971</v>
      </c>
      <c r="P152" s="310">
        <f t="shared" ca="1" si="76"/>
        <v>23</v>
      </c>
      <c r="Q152" s="304">
        <f t="shared" ca="1" si="77"/>
        <v>0</v>
      </c>
      <c r="R152" s="306">
        <f t="shared" ca="1" si="78"/>
        <v>0</v>
      </c>
      <c r="S152" s="307">
        <f t="shared" ca="1" si="79"/>
        <v>5.083000000000002</v>
      </c>
      <c r="T152" s="304">
        <f t="shared" ca="1" si="59"/>
        <v>49.86423000000002</v>
      </c>
      <c r="U152" s="311">
        <f t="shared" ca="1" si="60"/>
        <v>0</v>
      </c>
      <c r="V152" s="306">
        <f t="shared" ca="1" si="61"/>
        <v>1.0944692832020186</v>
      </c>
      <c r="W152" s="304">
        <f t="shared" ca="1" si="62"/>
        <v>11.52320754224181</v>
      </c>
      <c r="Y152" s="314" t="str">
        <f t="shared" ca="1" si="80"/>
        <v/>
      </c>
      <c r="Z152" s="315" t="str">
        <f t="shared" ca="1" si="81"/>
        <v/>
      </c>
      <c r="AA152" s="316" t="str">
        <f t="shared" ca="1" si="82"/>
        <v/>
      </c>
      <c r="AC152" s="310" t="e">
        <f t="shared" ca="1" si="83"/>
        <v>#N/A</v>
      </c>
      <c r="AD152" s="323" t="e">
        <f t="shared" ca="1" si="84"/>
        <v>#N/A</v>
      </c>
      <c r="AE152" s="324">
        <f t="shared" ca="1" si="63"/>
        <v>1125.5222713515259</v>
      </c>
      <c r="AG152" s="306">
        <f t="shared" ca="1" si="85"/>
        <v>-11.163266915677944</v>
      </c>
      <c r="AH152" s="304">
        <f t="shared" ca="1" si="86"/>
        <v>-2.3553942043848797</v>
      </c>
    </row>
    <row r="153" spans="1:34" x14ac:dyDescent="0.2">
      <c r="A153" s="347">
        <f t="shared" ca="1" si="64"/>
        <v>0.1</v>
      </c>
      <c r="B153" s="304">
        <f t="shared" ca="1" si="65"/>
        <v>5.8999999999999959</v>
      </c>
      <c r="D153" s="306">
        <f t="shared" ca="1" si="66"/>
        <v>-1.0131712295184936</v>
      </c>
      <c r="E153" s="307">
        <f t="shared" ca="1" si="67"/>
        <v>-11.838007538228071</v>
      </c>
      <c r="F153" s="304">
        <f t="shared" ca="1" si="68"/>
        <v>11.881285217326813</v>
      </c>
      <c r="G153" s="306">
        <f t="shared" ca="1" si="69"/>
        <v>26.069227381229862</v>
      </c>
      <c r="H153" s="307">
        <f t="shared" ca="1" si="70"/>
        <v>51.200297795083877</v>
      </c>
      <c r="I153" s="304">
        <f t="shared" ca="1" si="71"/>
        <v>57.454983339650667</v>
      </c>
      <c r="J153" s="306">
        <f t="shared" ca="1" si="72"/>
        <v>316.27848450403809</v>
      </c>
      <c r="K153" s="307">
        <f t="shared" ca="1" si="73"/>
        <v>1130.7014911687254</v>
      </c>
      <c r="L153" s="304">
        <f t="shared" ca="1" si="58"/>
        <v>1174.1030371698007</v>
      </c>
      <c r="M153" s="306">
        <f t="shared" ca="1" si="74"/>
        <v>1.0998463002318679</v>
      </c>
      <c r="N153" s="304">
        <f t="shared" ca="1" si="75"/>
        <v>63.016551116364447</v>
      </c>
      <c r="P153" s="310">
        <f t="shared" ca="1" si="76"/>
        <v>23</v>
      </c>
      <c r="Q153" s="304">
        <f t="shared" ca="1" si="77"/>
        <v>0</v>
      </c>
      <c r="R153" s="306">
        <f t="shared" ca="1" si="78"/>
        <v>0</v>
      </c>
      <c r="S153" s="307">
        <f t="shared" ca="1" si="79"/>
        <v>5.083000000000002</v>
      </c>
      <c r="T153" s="304">
        <f t="shared" ca="1" si="59"/>
        <v>49.86423000000002</v>
      </c>
      <c r="U153" s="311">
        <f t="shared" ca="1" si="60"/>
        <v>0</v>
      </c>
      <c r="V153" s="306">
        <f t="shared" ca="1" si="61"/>
        <v>1.0939007719634322</v>
      </c>
      <c r="W153" s="304">
        <f t="shared" ca="1" si="62"/>
        <v>11.087580178130917</v>
      </c>
      <c r="Y153" s="314" t="str">
        <f t="shared" ca="1" si="80"/>
        <v/>
      </c>
      <c r="Z153" s="315" t="str">
        <f t="shared" ca="1" si="81"/>
        <v/>
      </c>
      <c r="AA153" s="316" t="str">
        <f t="shared" ca="1" si="82"/>
        <v/>
      </c>
      <c r="AC153" s="310" t="e">
        <f t="shared" ca="1" si="83"/>
        <v>#N/A</v>
      </c>
      <c r="AD153" s="323" t="e">
        <f t="shared" ca="1" si="84"/>
        <v>#N/A</v>
      </c>
      <c r="AE153" s="324">
        <f t="shared" ca="1" si="63"/>
        <v>1130.7014911687254</v>
      </c>
      <c r="AG153" s="306">
        <f t="shared" ca="1" si="85"/>
        <v>-11.042780482033484</v>
      </c>
      <c r="AH153" s="304">
        <f t="shared" ca="1" si="86"/>
        <v>-2.26700915645127</v>
      </c>
    </row>
    <row r="154" spans="1:34" x14ac:dyDescent="0.2">
      <c r="A154" s="347">
        <f t="shared" ca="1" si="64"/>
        <v>0.1</v>
      </c>
      <c r="B154" s="304">
        <f t="shared" ca="1" si="65"/>
        <v>5.9999999999999956</v>
      </c>
      <c r="D154" s="306">
        <f t="shared" ca="1" si="66"/>
        <v>-0.98973088018582323</v>
      </c>
      <c r="E154" s="307">
        <f t="shared" ca="1" si="67"/>
        <v>-11.753844175412381</v>
      </c>
      <c r="F154" s="304">
        <f t="shared" ca="1" si="68"/>
        <v>11.795440649465748</v>
      </c>
      <c r="G154" s="306">
        <f t="shared" ca="1" si="69"/>
        <v>25.97025429321128</v>
      </c>
      <c r="H154" s="307">
        <f t="shared" ca="1" si="70"/>
        <v>50.024913377542639</v>
      </c>
      <c r="I154" s="304">
        <f t="shared" ca="1" si="71"/>
        <v>56.364404250242046</v>
      </c>
      <c r="J154" s="306">
        <f t="shared" ca="1" si="72"/>
        <v>318.88045858776013</v>
      </c>
      <c r="K154" s="307">
        <f t="shared" ca="1" si="73"/>
        <v>1135.7627517273568</v>
      </c>
      <c r="L154" s="304">
        <f t="shared" ca="1" si="58"/>
        <v>1179.6786745043914</v>
      </c>
      <c r="M154" s="306">
        <f t="shared" ca="1" si="74"/>
        <v>1.0919491744104863</v>
      </c>
      <c r="N154" s="304">
        <f t="shared" ca="1" si="75"/>
        <v>62.564079136515502</v>
      </c>
      <c r="P154" s="310">
        <f t="shared" ca="1" si="76"/>
        <v>23</v>
      </c>
      <c r="Q154" s="304">
        <f t="shared" ca="1" si="77"/>
        <v>0</v>
      </c>
      <c r="R154" s="306">
        <f t="shared" ca="1" si="78"/>
        <v>0</v>
      </c>
      <c r="S154" s="307">
        <f t="shared" ca="1" si="79"/>
        <v>5.083000000000002</v>
      </c>
      <c r="T154" s="304">
        <f t="shared" ca="1" si="59"/>
        <v>49.86423000000002</v>
      </c>
      <c r="U154" s="311">
        <f t="shared" ca="1" si="60"/>
        <v>0</v>
      </c>
      <c r="V154" s="306">
        <f t="shared" ca="1" si="61"/>
        <v>1.0933454780213876</v>
      </c>
      <c r="W154" s="304">
        <f t="shared" ca="1" si="62"/>
        <v>10.66524149316597</v>
      </c>
      <c r="Y154" s="314" t="str">
        <f t="shared" ca="1" si="80"/>
        <v/>
      </c>
      <c r="Z154" s="315" t="str">
        <f t="shared" ca="1" si="81"/>
        <v/>
      </c>
      <c r="AA154" s="316" t="str">
        <f t="shared" ca="1" si="82"/>
        <v/>
      </c>
      <c r="AC154" s="310">
        <f t="shared" ca="1" si="83"/>
        <v>5.9999999999999956</v>
      </c>
      <c r="AD154" s="323">
        <f t="shared" ca="1" si="84"/>
        <v>318.88045858776013</v>
      </c>
      <c r="AE154" s="324">
        <f t="shared" ca="1" si="63"/>
        <v>1135.7627517273568</v>
      </c>
      <c r="AG154" s="306">
        <f t="shared" ca="1" si="85"/>
        <v>-10.923366519311063</v>
      </c>
      <c r="AH154" s="304">
        <f t="shared" ca="1" si="86"/>
        <v>-2.1813063502126524</v>
      </c>
    </row>
    <row r="155" spans="1:34" x14ac:dyDescent="0.2">
      <c r="A155" s="347">
        <f t="shared" ca="1" si="64"/>
        <v>0.1</v>
      </c>
      <c r="B155" s="304">
        <f t="shared" ca="1" si="65"/>
        <v>6.0999999999999952</v>
      </c>
      <c r="D155" s="306">
        <f t="shared" ca="1" si="66"/>
        <v>-0.9667671055452588</v>
      </c>
      <c r="E155" s="307">
        <f t="shared" ca="1" si="67"/>
        <v>-11.672224380444412</v>
      </c>
      <c r="F155" s="304">
        <f t="shared" ca="1" si="68"/>
        <v>11.712192818759657</v>
      </c>
      <c r="G155" s="306">
        <f t="shared" ca="1" si="69"/>
        <v>25.873577582656754</v>
      </c>
      <c r="H155" s="307">
        <f t="shared" ca="1" si="70"/>
        <v>48.857690939498198</v>
      </c>
      <c r="I155" s="304">
        <f t="shared" ca="1" si="71"/>
        <v>55.285766530502968</v>
      </c>
      <c r="J155" s="306">
        <f t="shared" ca="1" si="72"/>
        <v>321.47265018155355</v>
      </c>
      <c r="K155" s="307">
        <f t="shared" ca="1" si="73"/>
        <v>1140.7068819432088</v>
      </c>
      <c r="L155" s="304">
        <f t="shared" ca="1" si="58"/>
        <v>1185.1400150730501</v>
      </c>
      <c r="M155" s="306">
        <f t="shared" ca="1" si="74"/>
        <v>1.0837733455622551</v>
      </c>
      <c r="N155" s="304">
        <f t="shared" ca="1" si="75"/>
        <v>62.095638649490546</v>
      </c>
      <c r="P155" s="310">
        <f t="shared" ca="1" si="76"/>
        <v>23</v>
      </c>
      <c r="Q155" s="304">
        <f t="shared" ca="1" si="77"/>
        <v>0</v>
      </c>
      <c r="R155" s="306">
        <f t="shared" ca="1" si="78"/>
        <v>0</v>
      </c>
      <c r="S155" s="307">
        <f t="shared" ca="1" si="79"/>
        <v>5.083000000000002</v>
      </c>
      <c r="T155" s="304">
        <f t="shared" ca="1" si="59"/>
        <v>49.86423000000002</v>
      </c>
      <c r="U155" s="311">
        <f t="shared" ca="1" si="60"/>
        <v>0</v>
      </c>
      <c r="V155" s="306">
        <f t="shared" ca="1" si="61"/>
        <v>1.0928032917079082</v>
      </c>
      <c r="W155" s="304">
        <f t="shared" ca="1" si="62"/>
        <v>10.255860472799744</v>
      </c>
      <c r="Y155" s="314" t="str">
        <f t="shared" ca="1" si="80"/>
        <v/>
      </c>
      <c r="Z155" s="315" t="str">
        <f t="shared" ca="1" si="81"/>
        <v/>
      </c>
      <c r="AA155" s="316" t="str">
        <f t="shared" ca="1" si="82"/>
        <v/>
      </c>
      <c r="AC155" s="310" t="e">
        <f t="shared" ca="1" si="83"/>
        <v>#N/A</v>
      </c>
      <c r="AD155" s="323" t="e">
        <f t="shared" ca="1" si="84"/>
        <v>#N/A</v>
      </c>
      <c r="AE155" s="324">
        <f t="shared" ca="1" si="63"/>
        <v>1140.7068819432088</v>
      </c>
      <c r="AG155" s="306">
        <f t="shared" ca="1" si="85"/>
        <v>-10.804854752379999</v>
      </c>
      <c r="AH155" s="304">
        <f t="shared" ca="1" si="86"/>
        <v>-2.0982178817953896</v>
      </c>
    </row>
    <row r="156" spans="1:34" x14ac:dyDescent="0.2">
      <c r="A156" s="347">
        <f t="shared" ca="1" si="64"/>
        <v>0.1</v>
      </c>
      <c r="B156" s="304">
        <f t="shared" ca="1" si="65"/>
        <v>6.1999999999999948</v>
      </c>
      <c r="D156" s="306">
        <f t="shared" ca="1" si="66"/>
        <v>-0.94426771714568591</v>
      </c>
      <c r="E156" s="307">
        <f t="shared" ca="1" si="67"/>
        <v>-11.593083152728514</v>
      </c>
      <c r="F156" s="304">
        <f t="shared" ca="1" si="68"/>
        <v>11.631475336676823</v>
      </c>
      <c r="G156" s="306">
        <f t="shared" ca="1" si="69"/>
        <v>25.779150810942184</v>
      </c>
      <c r="H156" s="307">
        <f t="shared" ca="1" si="70"/>
        <v>47.698382624225346</v>
      </c>
      <c r="I156" s="304">
        <f t="shared" ca="1" si="71"/>
        <v>54.21900332448304</v>
      </c>
      <c r="J156" s="306">
        <f t="shared" ca="1" si="72"/>
        <v>324.05528660123349</v>
      </c>
      <c r="K156" s="307">
        <f t="shared" ca="1" si="73"/>
        <v>1145.5346856213951</v>
      </c>
      <c r="L156" s="304">
        <f t="shared" ca="1" si="58"/>
        <v>1190.4879439691592</v>
      </c>
      <c r="M156" s="306">
        <f t="shared" ca="1" si="74"/>
        <v>1.0753056386915625</v>
      </c>
      <c r="N156" s="304">
        <f t="shared" ca="1" si="75"/>
        <v>61.610474783645927</v>
      </c>
      <c r="P156" s="310">
        <f t="shared" ca="1" si="76"/>
        <v>23</v>
      </c>
      <c r="Q156" s="304">
        <f t="shared" ca="1" si="77"/>
        <v>0</v>
      </c>
      <c r="R156" s="306">
        <f t="shared" ca="1" si="78"/>
        <v>0</v>
      </c>
      <c r="S156" s="307">
        <f t="shared" ca="1" si="79"/>
        <v>5.083000000000002</v>
      </c>
      <c r="T156" s="304">
        <f t="shared" ca="1" si="59"/>
        <v>49.86423000000002</v>
      </c>
      <c r="U156" s="311">
        <f t="shared" ca="1" si="60"/>
        <v>0</v>
      </c>
      <c r="V156" s="306">
        <f t="shared" ca="1" si="61"/>
        <v>1.0922741067322914</v>
      </c>
      <c r="W156" s="304">
        <f t="shared" ca="1" si="62"/>
        <v>9.8591196405653641</v>
      </c>
      <c r="Y156" s="314" t="str">
        <f t="shared" ca="1" si="80"/>
        <v/>
      </c>
      <c r="Z156" s="315" t="str">
        <f t="shared" ca="1" si="81"/>
        <v/>
      </c>
      <c r="AA156" s="316" t="str">
        <f t="shared" ca="1" si="82"/>
        <v/>
      </c>
      <c r="AC156" s="310" t="e">
        <f t="shared" ca="1" si="83"/>
        <v>#N/A</v>
      </c>
      <c r="AD156" s="323" t="e">
        <f t="shared" ca="1" si="84"/>
        <v>#N/A</v>
      </c>
      <c r="AE156" s="324">
        <f t="shared" ca="1" si="63"/>
        <v>1145.5346856213951</v>
      </c>
      <c r="AG156" s="306">
        <f t="shared" ca="1" si="85"/>
        <v>-10.687070015105839</v>
      </c>
      <c r="AH156" s="304">
        <f t="shared" ca="1" si="86"/>
        <v>-2.0176786293133464</v>
      </c>
    </row>
    <row r="157" spans="1:34" x14ac:dyDescent="0.2">
      <c r="A157" s="347">
        <f t="shared" ca="1" si="64"/>
        <v>0.1</v>
      </c>
      <c r="B157" s="304">
        <f t="shared" ca="1" si="65"/>
        <v>6.2999999999999945</v>
      </c>
      <c r="D157" s="306">
        <f t="shared" ca="1" si="66"/>
        <v>-0.9222212059728544</v>
      </c>
      <c r="E157" s="307">
        <f t="shared" ca="1" si="67"/>
        <v>-11.516357989418196</v>
      </c>
      <c r="F157" s="304">
        <f t="shared" ca="1" si="68"/>
        <v>11.553224367819677</v>
      </c>
      <c r="G157" s="306">
        <f t="shared" ca="1" si="69"/>
        <v>25.686928690344899</v>
      </c>
      <c r="H157" s="307">
        <f t="shared" ca="1" si="70"/>
        <v>46.546746825283527</v>
      </c>
      <c r="I157" s="304">
        <f t="shared" ca="1" si="71"/>
        <v>53.164066300085679</v>
      </c>
      <c r="J157" s="306">
        <f t="shared" ca="1" si="72"/>
        <v>326.62859057629782</v>
      </c>
      <c r="K157" s="307">
        <f t="shared" ca="1" si="73"/>
        <v>1150.2469420938705</v>
      </c>
      <c r="L157" s="304">
        <f t="shared" ca="1" si="58"/>
        <v>1195.723322503228</v>
      </c>
      <c r="M157" s="306">
        <f t="shared" ca="1" si="74"/>
        <v>1.0665321268757426</v>
      </c>
      <c r="N157" s="304">
        <f t="shared" ca="1" si="75"/>
        <v>61.10778958509129</v>
      </c>
      <c r="P157" s="310">
        <f t="shared" ca="1" si="76"/>
        <v>23</v>
      </c>
      <c r="Q157" s="304">
        <f t="shared" ca="1" si="77"/>
        <v>0</v>
      </c>
      <c r="R157" s="306">
        <f t="shared" ca="1" si="78"/>
        <v>0</v>
      </c>
      <c r="S157" s="307">
        <f t="shared" ca="1" si="79"/>
        <v>5.083000000000002</v>
      </c>
      <c r="T157" s="304">
        <f t="shared" ca="1" si="59"/>
        <v>49.86423000000002</v>
      </c>
      <c r="U157" s="311">
        <f t="shared" ca="1" si="60"/>
        <v>0</v>
      </c>
      <c r="V157" s="306">
        <f t="shared" ca="1" si="61"/>
        <v>1.091757820093282</v>
      </c>
      <c r="W157" s="304">
        <f t="shared" ca="1" si="62"/>
        <v>9.4747144871832401</v>
      </c>
      <c r="Y157" s="314" t="str">
        <f t="shared" ca="1" si="80"/>
        <v/>
      </c>
      <c r="Z157" s="315" t="str">
        <f t="shared" ca="1" si="81"/>
        <v/>
      </c>
      <c r="AA157" s="316" t="str">
        <f t="shared" ca="1" si="82"/>
        <v/>
      </c>
      <c r="AC157" s="310" t="e">
        <f t="shared" ca="1" si="83"/>
        <v>#N/A</v>
      </c>
      <c r="AD157" s="323" t="e">
        <f t="shared" ca="1" si="84"/>
        <v>#N/A</v>
      </c>
      <c r="AE157" s="324">
        <f t="shared" ca="1" si="63"/>
        <v>1150.2469420938705</v>
      </c>
      <c r="AG157" s="306">
        <f t="shared" ca="1" si="85"/>
        <v>-10.569831502377786</v>
      </c>
      <c r="AH157" s="304">
        <f t="shared" ca="1" si="86"/>
        <v>-1.9396261342839582</v>
      </c>
    </row>
    <row r="158" spans="1:34" x14ac:dyDescent="0.2">
      <c r="A158" s="347">
        <f t="shared" ca="1" si="64"/>
        <v>0.1</v>
      </c>
      <c r="B158" s="304">
        <f t="shared" ca="1" si="65"/>
        <v>6.3999999999999941</v>
      </c>
      <c r="D158" s="306">
        <f t="shared" ca="1" si="66"/>
        <v>-0.90061673193911485</v>
      </c>
      <c r="E158" s="307">
        <f t="shared" ca="1" si="67"/>
        <v>-11.441988764150743</v>
      </c>
      <c r="F158" s="304">
        <f t="shared" ca="1" si="68"/>
        <v>11.47737850629666</v>
      </c>
      <c r="G158" s="306">
        <f t="shared" ca="1" si="69"/>
        <v>25.596867017150988</v>
      </c>
      <c r="H158" s="307">
        <f t="shared" ca="1" si="70"/>
        <v>45.402547948868452</v>
      </c>
      <c r="I158" s="304">
        <f t="shared" ca="1" si="71"/>
        <v>52.120926328520021</v>
      </c>
      <c r="J158" s="306">
        <f t="shared" ca="1" si="72"/>
        <v>329.19278036167265</v>
      </c>
      <c r="K158" s="307">
        <f t="shared" ca="1" si="73"/>
        <v>1154.8444068325782</v>
      </c>
      <c r="L158" s="304">
        <f t="shared" ca="1" si="58"/>
        <v>1200.846988851926</v>
      </c>
      <c r="M158" s="306">
        <f t="shared" ca="1" si="74"/>
        <v>1.0574380869411752</v>
      </c>
      <c r="N158" s="304">
        <f t="shared" ca="1" si="75"/>
        <v>60.586739478117153</v>
      </c>
      <c r="P158" s="310">
        <f t="shared" ca="1" si="76"/>
        <v>23</v>
      </c>
      <c r="Q158" s="304">
        <f t="shared" ca="1" si="77"/>
        <v>0</v>
      </c>
      <c r="R158" s="306">
        <f t="shared" ca="1" si="78"/>
        <v>0</v>
      </c>
      <c r="S158" s="307">
        <f t="shared" ca="1" si="79"/>
        <v>5.083000000000002</v>
      </c>
      <c r="T158" s="304">
        <f t="shared" ca="1" si="59"/>
        <v>49.86423000000002</v>
      </c>
      <c r="U158" s="311">
        <f t="shared" ca="1" si="60"/>
        <v>0</v>
      </c>
      <c r="V158" s="306">
        <f t="shared" ca="1" si="61"/>
        <v>1.0912543319947092</v>
      </c>
      <c r="W158" s="304">
        <f t="shared" ca="1" si="62"/>
        <v>9.1023529296439758</v>
      </c>
      <c r="Y158" s="314" t="str">
        <f t="shared" ca="1" si="80"/>
        <v/>
      </c>
      <c r="Z158" s="315" t="str">
        <f t="shared" ca="1" si="81"/>
        <v/>
      </c>
      <c r="AA158" s="316" t="str">
        <f t="shared" ca="1" si="82"/>
        <v/>
      </c>
      <c r="AC158" s="310" t="e">
        <f t="shared" ca="1" si="83"/>
        <v>#N/A</v>
      </c>
      <c r="AD158" s="323" t="e">
        <f t="shared" ca="1" si="84"/>
        <v>#N/A</v>
      </c>
      <c r="AE158" s="324">
        <f t="shared" ca="1" si="63"/>
        <v>1154.8444068325782</v>
      </c>
      <c r="AG158" s="306">
        <f t="shared" ca="1" si="85"/>
        <v>-10.452951977309892</v>
      </c>
      <c r="AH158" s="304">
        <f t="shared" ca="1" si="86"/>
        <v>-1.8640004893140343</v>
      </c>
    </row>
    <row r="159" spans="1:34" x14ac:dyDescent="0.2">
      <c r="A159" s="347">
        <f t="shared" ca="1" si="64"/>
        <v>0.1</v>
      </c>
      <c r="B159" s="304">
        <f t="shared" ca="1" si="65"/>
        <v>6.4999999999999938</v>
      </c>
      <c r="D159" s="306">
        <f t="shared" ca="1" si="66"/>
        <v>-0.87944411561685165</v>
      </c>
      <c r="E159" s="307">
        <f t="shared" ca="1" si="67"/>
        <v>-11.369917610264185</v>
      </c>
      <c r="F159" s="304">
        <f t="shared" ca="1" si="68"/>
        <v>11.403878656697849</v>
      </c>
      <c r="G159" s="306">
        <f t="shared" ca="1" si="69"/>
        <v>25.508922605589301</v>
      </c>
      <c r="H159" s="307">
        <f t="shared" ca="1" si="70"/>
        <v>44.265556187842037</v>
      </c>
      <c r="I159" s="304">
        <f t="shared" ca="1" si="71"/>
        <v>51.089574250691747</v>
      </c>
      <c r="J159" s="306">
        <f t="shared" ca="1" si="72"/>
        <v>331.74806984280968</v>
      </c>
      <c r="K159" s="307">
        <f t="shared" ca="1" si="73"/>
        <v>1159.3278120394136</v>
      </c>
      <c r="L159" s="304">
        <f t="shared" ca="1" si="58"/>
        <v>1205.8597586836222</v>
      </c>
      <c r="M159" s="306">
        <f t="shared" ca="1" si="74"/>
        <v>1.0480079533079623</v>
      </c>
      <c r="N159" s="304">
        <f t="shared" ca="1" si="75"/>
        <v>60.046432620689679</v>
      </c>
      <c r="P159" s="310">
        <f t="shared" ca="1" si="76"/>
        <v>23</v>
      </c>
      <c r="Q159" s="304">
        <f t="shared" ca="1" si="77"/>
        <v>0</v>
      </c>
      <c r="R159" s="306">
        <f t="shared" ca="1" si="78"/>
        <v>0</v>
      </c>
      <c r="S159" s="307">
        <f t="shared" ca="1" si="79"/>
        <v>5.083000000000002</v>
      </c>
      <c r="T159" s="304">
        <f t="shared" ca="1" si="59"/>
        <v>49.86423000000002</v>
      </c>
      <c r="U159" s="311">
        <f t="shared" ca="1" si="60"/>
        <v>0</v>
      </c>
      <c r="V159" s="306">
        <f t="shared" ca="1" si="61"/>
        <v>1.0907635457644154</v>
      </c>
      <c r="W159" s="304">
        <f t="shared" ca="1" si="62"/>
        <v>8.7417547984953412</v>
      </c>
      <c r="Y159" s="314" t="str">
        <f t="shared" ca="1" si="80"/>
        <v/>
      </c>
      <c r="Z159" s="315" t="str">
        <f t="shared" ca="1" si="81"/>
        <v/>
      </c>
      <c r="AA159" s="316" t="str">
        <f t="shared" ca="1" si="82"/>
        <v/>
      </c>
      <c r="AC159" s="310" t="e">
        <f t="shared" ca="1" si="83"/>
        <v>#N/A</v>
      </c>
      <c r="AD159" s="323" t="e">
        <f t="shared" ca="1" si="84"/>
        <v>#N/A</v>
      </c>
      <c r="AE159" s="324">
        <f t="shared" ca="1" si="63"/>
        <v>1159.3278120394136</v>
      </c>
      <c r="AG159" s="306">
        <f t="shared" ca="1" si="85"/>
        <v>-10.336236930163199</v>
      </c>
      <c r="AH159" s="304">
        <f t="shared" ca="1" si="86"/>
        <v>-1.790744231682859</v>
      </c>
    </row>
    <row r="160" spans="1:34" x14ac:dyDescent="0.2">
      <c r="A160" s="347">
        <f t="shared" ca="1" si="64"/>
        <v>0.1</v>
      </c>
      <c r="B160" s="304">
        <f t="shared" ca="1" si="65"/>
        <v>6.5999999999999934</v>
      </c>
      <c r="D160" s="306">
        <f t="shared" ca="1" si="66"/>
        <v>-0.85869383222730944</v>
      </c>
      <c r="E160" s="307">
        <f t="shared" ca="1" si="67"/>
        <v>-11.300088807995476</v>
      </c>
      <c r="F160" s="304">
        <f t="shared" ca="1" si="68"/>
        <v>11.332667919165806</v>
      </c>
      <c r="G160" s="306">
        <f t="shared" ca="1" si="69"/>
        <v>25.423053222366569</v>
      </c>
      <c r="H160" s="307">
        <f t="shared" ca="1" si="70"/>
        <v>43.135547307042486</v>
      </c>
      <c r="I160" s="304">
        <f t="shared" ca="1" si="71"/>
        <v>50.070021735818962</v>
      </c>
      <c r="J160" s="306">
        <f t="shared" ca="1" si="72"/>
        <v>334.29466863420748</v>
      </c>
      <c r="K160" s="307">
        <f t="shared" ca="1" si="73"/>
        <v>1163.6978672141579</v>
      </c>
      <c r="L160" s="304">
        <f t="shared" ca="1" si="58"/>
        <v>1210.7624257615671</v>
      </c>
      <c r="M160" s="306">
        <f t="shared" ca="1" si="74"/>
        <v>1.0382252701652623</v>
      </c>
      <c r="N160" s="304">
        <f t="shared" ca="1" si="75"/>
        <v>59.485926164299201</v>
      </c>
      <c r="P160" s="310">
        <f t="shared" ca="1" si="76"/>
        <v>23</v>
      </c>
      <c r="Q160" s="304">
        <f t="shared" ca="1" si="77"/>
        <v>0</v>
      </c>
      <c r="R160" s="306">
        <f t="shared" ca="1" si="78"/>
        <v>0</v>
      </c>
      <c r="S160" s="307">
        <f t="shared" ca="1" si="79"/>
        <v>5.083000000000002</v>
      </c>
      <c r="T160" s="304">
        <f t="shared" ca="1" si="59"/>
        <v>49.86423000000002</v>
      </c>
      <c r="U160" s="311">
        <f t="shared" ca="1" si="60"/>
        <v>0</v>
      </c>
      <c r="V160" s="306">
        <f t="shared" ca="1" si="61"/>
        <v>1.0902853677763269</v>
      </c>
      <c r="W160" s="304">
        <f t="shared" ca="1" si="62"/>
        <v>8.3926513516731323</v>
      </c>
      <c r="Y160" s="314" t="str">
        <f t="shared" ca="1" si="80"/>
        <v/>
      </c>
      <c r="Z160" s="315" t="str">
        <f t="shared" ca="1" si="81"/>
        <v/>
      </c>
      <c r="AA160" s="316" t="str">
        <f t="shared" ca="1" si="82"/>
        <v/>
      </c>
      <c r="AC160" s="310" t="e">
        <f t="shared" ca="1" si="83"/>
        <v>#N/A</v>
      </c>
      <c r="AD160" s="323" t="e">
        <f t="shared" ca="1" si="84"/>
        <v>#N/A</v>
      </c>
      <c r="AE160" s="324">
        <f t="shared" ca="1" si="63"/>
        <v>1163.6978672141579</v>
      </c>
      <c r="AG160" s="306">
        <f t="shared" ca="1" si="85"/>
        <v>-10.219483685735405</v>
      </c>
      <c r="AH160" s="304">
        <f t="shared" ca="1" si="86"/>
        <v>-1.7198022424739992</v>
      </c>
    </row>
    <row r="161" spans="1:34" x14ac:dyDescent="0.2">
      <c r="A161" s="347">
        <f t="shared" ca="1" si="64"/>
        <v>0.1</v>
      </c>
      <c r="B161" s="304">
        <f t="shared" ca="1" si="65"/>
        <v>6.6999999999999931</v>
      </c>
      <c r="D161" s="306">
        <f t="shared" ca="1" si="66"/>
        <v>-0.83835700790490675</v>
      </c>
      <c r="E161" s="307">
        <f t="shared" ca="1" si="67"/>
        <v>-11.232448675159812</v>
      </c>
      <c r="F161" s="304">
        <f t="shared" ca="1" si="68"/>
        <v>11.263691478054728</v>
      </c>
      <c r="G161" s="306">
        <f t="shared" ca="1" si="69"/>
        <v>25.339217521576078</v>
      </c>
      <c r="H161" s="307">
        <f t="shared" ca="1" si="70"/>
        <v>42.012302439526508</v>
      </c>
      <c r="I161" s="304">
        <f t="shared" ca="1" si="71"/>
        <v>49.062302237828106</v>
      </c>
      <c r="J161" s="306">
        <f t="shared" ca="1" si="72"/>
        <v>336.83278217140463</v>
      </c>
      <c r="K161" s="307">
        <f t="shared" ca="1" si="73"/>
        <v>1167.9552597014863</v>
      </c>
      <c r="L161" s="304">
        <f t="shared" ca="1" si="58"/>
        <v>1215.5557625258066</v>
      </c>
      <c r="M161" s="306">
        <f t="shared" ca="1" si="74"/>
        <v>1.0280726422148387</v>
      </c>
      <c r="N161" s="304">
        <f t="shared" ca="1" si="75"/>
        <v>58.904223431773367</v>
      </c>
      <c r="P161" s="310">
        <f t="shared" ca="1" si="76"/>
        <v>23</v>
      </c>
      <c r="Q161" s="304">
        <f t="shared" ca="1" si="77"/>
        <v>0</v>
      </c>
      <c r="R161" s="306">
        <f t="shared" ca="1" si="78"/>
        <v>0</v>
      </c>
      <c r="S161" s="307">
        <f t="shared" ca="1" si="79"/>
        <v>5.083000000000002</v>
      </c>
      <c r="T161" s="304">
        <f t="shared" ca="1" si="59"/>
        <v>49.86423000000002</v>
      </c>
      <c r="U161" s="311">
        <f t="shared" ca="1" si="60"/>
        <v>0</v>
      </c>
      <c r="V161" s="306">
        <f t="shared" ca="1" si="61"/>
        <v>1.0898197073755065</v>
      </c>
      <c r="W161" s="304">
        <f t="shared" ca="1" si="62"/>
        <v>8.0547848133185624</v>
      </c>
      <c r="Y161" s="314" t="str">
        <f t="shared" ca="1" si="80"/>
        <v/>
      </c>
      <c r="Z161" s="315" t="str">
        <f t="shared" ca="1" si="81"/>
        <v/>
      </c>
      <c r="AA161" s="316" t="str">
        <f t="shared" ca="1" si="82"/>
        <v/>
      </c>
      <c r="AC161" s="310" t="e">
        <f t="shared" ca="1" si="83"/>
        <v>#N/A</v>
      </c>
      <c r="AD161" s="323" t="e">
        <f t="shared" ca="1" si="84"/>
        <v>#N/A</v>
      </c>
      <c r="AE161" s="324">
        <f t="shared" ca="1" si="63"/>
        <v>1167.9552597014863</v>
      </c>
      <c r="AG161" s="306">
        <f t="shared" ca="1" si="85"/>
        <v>-10.102480456299318</v>
      </c>
      <c r="AH161" s="304">
        <f t="shared" ca="1" si="86"/>
        <v>-1.651121650929201</v>
      </c>
    </row>
    <row r="162" spans="1:34" x14ac:dyDescent="0.2">
      <c r="A162" s="347">
        <f t="shared" ca="1" si="64"/>
        <v>0.1</v>
      </c>
      <c r="B162" s="304">
        <f t="shared" ca="1" si="65"/>
        <v>6.7999999999999927</v>
      </c>
      <c r="D162" s="306">
        <f t="shared" ca="1" si="66"/>
        <v>-0.81842541826452597</v>
      </c>
      <c r="E162" s="307">
        <f t="shared" ca="1" si="67"/>
        <v>-11.166945460807845</v>
      </c>
      <c r="F162" s="304">
        <f t="shared" ca="1" si="68"/>
        <v>11.196896493668163</v>
      </c>
      <c r="G162" s="306">
        <f t="shared" ca="1" si="69"/>
        <v>25.257374979749624</v>
      </c>
      <c r="H162" s="307">
        <f t="shared" ca="1" si="70"/>
        <v>40.895607893445721</v>
      </c>
      <c r="I162" s="304">
        <f t="shared" ca="1" si="71"/>
        <v>48.066472055291747</v>
      </c>
      <c r="J162" s="306">
        <f t="shared" ca="1" si="72"/>
        <v>339.3626117964709</v>
      </c>
      <c r="K162" s="307">
        <f t="shared" ca="1" si="73"/>
        <v>1172.100655218135</v>
      </c>
      <c r="L162" s="304">
        <f t="shared" ca="1" si="58"/>
        <v>1220.2405206548844</v>
      </c>
      <c r="M162" s="306">
        <f t="shared" ca="1" si="74"/>
        <v>1.0175316843142239</v>
      </c>
      <c r="N162" s="304">
        <f t="shared" ca="1" si="75"/>
        <v>58.300271032043064</v>
      </c>
      <c r="P162" s="310">
        <f t="shared" ca="1" si="76"/>
        <v>23</v>
      </c>
      <c r="Q162" s="304">
        <f t="shared" ca="1" si="77"/>
        <v>0</v>
      </c>
      <c r="R162" s="306">
        <f t="shared" ca="1" si="78"/>
        <v>0</v>
      </c>
      <c r="S162" s="307">
        <f t="shared" ca="1" si="79"/>
        <v>5.083000000000002</v>
      </c>
      <c r="T162" s="304">
        <f t="shared" ca="1" si="59"/>
        <v>49.86423000000002</v>
      </c>
      <c r="U162" s="311">
        <f t="shared" ca="1" si="60"/>
        <v>0</v>
      </c>
      <c r="V162" s="306">
        <f t="shared" ca="1" si="61"/>
        <v>1.0893664768060378</v>
      </c>
      <c r="W162" s="304">
        <f t="shared" ca="1" si="62"/>
        <v>7.727907936119653</v>
      </c>
      <c r="Y162" s="314" t="str">
        <f t="shared" ca="1" si="80"/>
        <v/>
      </c>
      <c r="Z162" s="315" t="str">
        <f t="shared" ca="1" si="81"/>
        <v/>
      </c>
      <c r="AA162" s="316" t="str">
        <f t="shared" ca="1" si="82"/>
        <v/>
      </c>
      <c r="AC162" s="310" t="e">
        <f t="shared" ca="1" si="83"/>
        <v>#N/A</v>
      </c>
      <c r="AD162" s="323" t="e">
        <f t="shared" ca="1" si="84"/>
        <v>#N/A</v>
      </c>
      <c r="AE162" s="324">
        <f t="shared" ca="1" si="63"/>
        <v>1172.100655218135</v>
      </c>
      <c r="AG162" s="306">
        <f t="shared" ca="1" si="85"/>
        <v>-9.9850053376833721</v>
      </c>
      <c r="AH162" s="304">
        <f t="shared" ca="1" si="86"/>
        <v>-1.5846517437179932</v>
      </c>
    </row>
    <row r="163" spans="1:34" x14ac:dyDescent="0.2">
      <c r="A163" s="347">
        <f t="shared" ca="1" si="64"/>
        <v>0.1</v>
      </c>
      <c r="B163" s="304">
        <f t="shared" ca="1" si="65"/>
        <v>6.8999999999999924</v>
      </c>
      <c r="D163" s="306">
        <f t="shared" ca="1" si="66"/>
        <v>-0.79889148930541853</v>
      </c>
      <c r="E163" s="307">
        <f t="shared" ca="1" si="67"/>
        <v>-11.103529241349893</v>
      </c>
      <c r="F163" s="304">
        <f t="shared" ca="1" si="68"/>
        <v>11.132231996558316</v>
      </c>
      <c r="G163" s="306">
        <f t="shared" ca="1" si="69"/>
        <v>25.177485830819084</v>
      </c>
      <c r="H163" s="307">
        <f t="shared" ca="1" si="70"/>
        <v>39.785254969310735</v>
      </c>
      <c r="I163" s="304">
        <f t="shared" ca="1" si="71"/>
        <v>47.082611500788275</v>
      </c>
      <c r="J163" s="306">
        <f t="shared" ca="1" si="72"/>
        <v>341.88435483699936</v>
      </c>
      <c r="K163" s="307">
        <f t="shared" ca="1" si="73"/>
        <v>1176.1346983612727</v>
      </c>
      <c r="L163" s="304">
        <f t="shared" ca="1" si="58"/>
        <v>1224.8174316083491</v>
      </c>
      <c r="M163" s="306">
        <f t="shared" ca="1" si="74"/>
        <v>1.0065829704668476</v>
      </c>
      <c r="N163" s="304">
        <f t="shared" ca="1" si="75"/>
        <v>57.672955937491956</v>
      </c>
      <c r="P163" s="310">
        <f t="shared" ca="1" si="76"/>
        <v>23</v>
      </c>
      <c r="Q163" s="304">
        <f t="shared" ca="1" si="77"/>
        <v>0</v>
      </c>
      <c r="R163" s="306">
        <f t="shared" ca="1" si="78"/>
        <v>0</v>
      </c>
      <c r="S163" s="307">
        <f t="shared" ca="1" si="79"/>
        <v>5.083000000000002</v>
      </c>
      <c r="T163" s="304">
        <f t="shared" ca="1" si="59"/>
        <v>49.86423000000002</v>
      </c>
      <c r="U163" s="311">
        <f t="shared" ca="1" si="60"/>
        <v>0</v>
      </c>
      <c r="V163" s="306">
        <f t="shared" ca="1" si="61"/>
        <v>1.0889255911416118</v>
      </c>
      <c r="W163" s="304">
        <f t="shared" ca="1" si="62"/>
        <v>7.4117835858012366</v>
      </c>
      <c r="Y163" s="314" t="str">
        <f t="shared" ca="1" si="80"/>
        <v/>
      </c>
      <c r="Z163" s="315" t="str">
        <f t="shared" ca="1" si="81"/>
        <v/>
      </c>
      <c r="AA163" s="316" t="str">
        <f t="shared" ca="1" si="82"/>
        <v/>
      </c>
      <c r="AC163" s="310" t="e">
        <f t="shared" ca="1" si="83"/>
        <v>#N/A</v>
      </c>
      <c r="AD163" s="323" t="e">
        <f t="shared" ca="1" si="84"/>
        <v>#N/A</v>
      </c>
      <c r="AE163" s="324">
        <f t="shared" ca="1" si="63"/>
        <v>1176.1346983612727</v>
      </c>
      <c r="AG163" s="306">
        <f t="shared" ca="1" si="85"/>
        <v>-9.866825246829384</v>
      </c>
      <c r="AH163" s="304">
        <f t="shared" ca="1" si="86"/>
        <v>-1.5203438788352646</v>
      </c>
    </row>
    <row r="164" spans="1:34" x14ac:dyDescent="0.2">
      <c r="A164" s="347">
        <f t="shared" ca="1" si="64"/>
        <v>0.1</v>
      </c>
      <c r="B164" s="304">
        <f t="shared" ca="1" si="65"/>
        <v>6.999999999999992</v>
      </c>
      <c r="D164" s="306">
        <f t="shared" ca="1" si="66"/>
        <v>-0.77974830068983347</v>
      </c>
      <c r="E164" s="307">
        <f t="shared" ca="1" si="67"/>
        <v>-11.042151818624321</v>
      </c>
      <c r="F164" s="304">
        <f t="shared" ca="1" si="68"/>
        <v>11.069648783858369</v>
      </c>
      <c r="G164" s="306">
        <f t="shared" ca="1" si="69"/>
        <v>25.099511000750102</v>
      </c>
      <c r="H164" s="307">
        <f t="shared" ca="1" si="70"/>
        <v>38.681039787448306</v>
      </c>
      <c r="I164" s="304">
        <f t="shared" ca="1" si="71"/>
        <v>46.110826185560086</v>
      </c>
      <c r="J164" s="306">
        <f t="shared" ca="1" si="72"/>
        <v>344.39820467857783</v>
      </c>
      <c r="K164" s="307">
        <f t="shared" ca="1" si="73"/>
        <v>1180.0580130991107</v>
      </c>
      <c r="L164" s="304">
        <f t="shared" ca="1" si="58"/>
        <v>1229.2872071510581</v>
      </c>
      <c r="M164" s="306">
        <f t="shared" ca="1" si="74"/>
        <v>0.99520598274877181</v>
      </c>
      <c r="N164" s="304">
        <f t="shared" ca="1" si="75"/>
        <v>57.021102557674041</v>
      </c>
      <c r="P164" s="310">
        <f t="shared" ca="1" si="76"/>
        <v>23</v>
      </c>
      <c r="Q164" s="304">
        <f t="shared" ca="1" si="77"/>
        <v>0</v>
      </c>
      <c r="R164" s="306">
        <f t="shared" ca="1" si="78"/>
        <v>0</v>
      </c>
      <c r="S164" s="307">
        <f t="shared" ca="1" si="79"/>
        <v>5.083000000000002</v>
      </c>
      <c r="T164" s="304">
        <f t="shared" ca="1" si="59"/>
        <v>49.86423000000002</v>
      </c>
      <c r="U164" s="311">
        <f t="shared" ca="1" si="60"/>
        <v>0</v>
      </c>
      <c r="V164" s="306">
        <f t="shared" ca="1" si="61"/>
        <v>1.088496968218654</v>
      </c>
      <c r="W164" s="304">
        <f t="shared" ca="1" si="62"/>
        <v>7.1061843464679271</v>
      </c>
      <c r="Y164" s="314" t="str">
        <f t="shared" ca="1" si="80"/>
        <v/>
      </c>
      <c r="Z164" s="315" t="str">
        <f t="shared" ca="1" si="81"/>
        <v/>
      </c>
      <c r="AA164" s="316" t="str">
        <f t="shared" ca="1" si="82"/>
        <v/>
      </c>
      <c r="AC164" s="310">
        <f t="shared" ca="1" si="83"/>
        <v>6.999999999999992</v>
      </c>
      <c r="AD164" s="323">
        <f t="shared" ca="1" si="84"/>
        <v>344.39820467857783</v>
      </c>
      <c r="AE164" s="324">
        <f t="shared" ca="1" si="63"/>
        <v>1180.0580130991107</v>
      </c>
      <c r="AG164" s="306">
        <f t="shared" ca="1" si="85"/>
        <v>-9.7476948001991452</v>
      </c>
      <c r="AH164" s="304">
        <f t="shared" ca="1" si="86"/>
        <v>-1.4581514038562333</v>
      </c>
    </row>
    <row r="165" spans="1:34" x14ac:dyDescent="0.2">
      <c r="A165" s="347">
        <f t="shared" ca="1" si="64"/>
        <v>0.1</v>
      </c>
      <c r="B165" s="304">
        <f t="shared" ca="1" si="65"/>
        <v>7.0999999999999917</v>
      </c>
      <c r="D165" s="306">
        <f t="shared" ca="1" si="66"/>
        <v>-0.76098959143678357</v>
      </c>
      <c r="E165" s="307">
        <f t="shared" ca="1" si="67"/>
        <v>-10.982766619370416</v>
      </c>
      <c r="F165" s="304">
        <f t="shared" ca="1" si="68"/>
        <v>11.009099317102748</v>
      </c>
      <c r="G165" s="306">
        <f t="shared" ca="1" si="69"/>
        <v>25.023412041606424</v>
      </c>
      <c r="H165" s="307">
        <f t="shared" ca="1" si="70"/>
        <v>37.582763125511264</v>
      </c>
      <c r="I165" s="304">
        <f t="shared" ca="1" si="71"/>
        <v>45.151248425179816</v>
      </c>
      <c r="J165" s="306">
        <f t="shared" ca="1" si="72"/>
        <v>346.90435083069565</v>
      </c>
      <c r="K165" s="307">
        <f t="shared" ca="1" si="73"/>
        <v>1183.8712032447586</v>
      </c>
      <c r="L165" s="304">
        <f t="shared" ca="1" si="58"/>
        <v>1233.650539860239</v>
      </c>
      <c r="M165" s="306">
        <f t="shared" ca="1" si="74"/>
        <v>0.98337906093526928</v>
      </c>
      <c r="N165" s="304">
        <f t="shared" ca="1" si="75"/>
        <v>56.343469853129136</v>
      </c>
      <c r="P165" s="310">
        <f t="shared" ca="1" si="76"/>
        <v>23</v>
      </c>
      <c r="Q165" s="304">
        <f t="shared" ca="1" si="77"/>
        <v>0</v>
      </c>
      <c r="R165" s="306">
        <f t="shared" ca="1" si="78"/>
        <v>0</v>
      </c>
      <c r="S165" s="307">
        <f t="shared" ca="1" si="79"/>
        <v>5.083000000000002</v>
      </c>
      <c r="T165" s="304">
        <f t="shared" ca="1" si="59"/>
        <v>49.86423000000002</v>
      </c>
      <c r="U165" s="311">
        <f t="shared" ca="1" si="60"/>
        <v>0</v>
      </c>
      <c r="V165" s="306">
        <f t="shared" ca="1" si="61"/>
        <v>1.0880805285718795</v>
      </c>
      <c r="W165" s="304">
        <f t="shared" ca="1" si="62"/>
        <v>6.8108921455779221</v>
      </c>
      <c r="Y165" s="314" t="str">
        <f t="shared" ca="1" si="80"/>
        <v/>
      </c>
      <c r="Z165" s="315" t="str">
        <f t="shared" ca="1" si="81"/>
        <v/>
      </c>
      <c r="AA165" s="316" t="str">
        <f t="shared" ca="1" si="82"/>
        <v/>
      </c>
      <c r="AC165" s="310" t="e">
        <f t="shared" ca="1" si="83"/>
        <v>#N/A</v>
      </c>
      <c r="AD165" s="323" t="e">
        <f t="shared" ca="1" si="84"/>
        <v>#N/A</v>
      </c>
      <c r="AE165" s="324">
        <f t="shared" ca="1" si="63"/>
        <v>1183.8712032447586</v>
      </c>
      <c r="AG165" s="306">
        <f t="shared" ca="1" si="85"/>
        <v>-9.6273551338116814</v>
      </c>
      <c r="AH165" s="304">
        <f t="shared" ca="1" si="86"/>
        <v>-1.3980295782939061</v>
      </c>
    </row>
    <row r="166" spans="1:34" x14ac:dyDescent="0.2">
      <c r="A166" s="347">
        <f t="shared" ca="1" si="64"/>
        <v>0.1</v>
      </c>
      <c r="B166" s="304">
        <f t="shared" ca="1" si="65"/>
        <v>7.1999999999999913</v>
      </c>
      <c r="D166" s="306">
        <f t="shared" ca="1" si="66"/>
        <v>-0.74260976807094836</v>
      </c>
      <c r="E166" s="307">
        <f t="shared" ca="1" si="67"/>
        <v>-10.925328595544704</v>
      </c>
      <c r="F166" s="304">
        <f t="shared" ca="1" si="68"/>
        <v>10.950537620969174</v>
      </c>
      <c r="G166" s="306">
        <f t="shared" ca="1" si="69"/>
        <v>24.949151064799327</v>
      </c>
      <c r="H166" s="307">
        <f t="shared" ca="1" si="70"/>
        <v>36.490230265956797</v>
      </c>
      <c r="I166" s="304">
        <f t="shared" ca="1" si="71"/>
        <v>44.204038771550351</v>
      </c>
      <c r="J166" s="306">
        <f t="shared" ca="1" si="72"/>
        <v>349.40297898601591</v>
      </c>
      <c r="K166" s="307">
        <f t="shared" ca="1" si="73"/>
        <v>1187.574852914332</v>
      </c>
      <c r="L166" s="304">
        <f t="shared" ca="1" si="58"/>
        <v>1237.9081036162577</v>
      </c>
      <c r="M166" s="306">
        <f t="shared" ca="1" si="74"/>
        <v>0.97107935380098775</v>
      </c>
      <c r="N166" s="304">
        <f t="shared" ca="1" si="75"/>
        <v>55.638748545087857</v>
      </c>
      <c r="P166" s="310">
        <f t="shared" ca="1" si="76"/>
        <v>23</v>
      </c>
      <c r="Q166" s="304">
        <f t="shared" ca="1" si="77"/>
        <v>0</v>
      </c>
      <c r="R166" s="306">
        <f t="shared" ca="1" si="78"/>
        <v>0</v>
      </c>
      <c r="S166" s="307">
        <f t="shared" ca="1" si="79"/>
        <v>5.083000000000002</v>
      </c>
      <c r="T166" s="304">
        <f t="shared" ca="1" si="59"/>
        <v>49.86423000000002</v>
      </c>
      <c r="U166" s="311">
        <f t="shared" ca="1" si="60"/>
        <v>0</v>
      </c>
      <c r="V166" s="306">
        <f t="shared" ca="1" si="61"/>
        <v>1.0876761953721239</v>
      </c>
      <c r="W166" s="304">
        <f t="shared" ca="1" si="62"/>
        <v>6.525697897391991</v>
      </c>
      <c r="Y166" s="314" t="str">
        <f t="shared" ca="1" si="80"/>
        <v/>
      </c>
      <c r="Z166" s="315" t="str">
        <f t="shared" ca="1" si="81"/>
        <v/>
      </c>
      <c r="AA166" s="316" t="str">
        <f t="shared" ca="1" si="82"/>
        <v/>
      </c>
      <c r="AC166" s="310" t="e">
        <f t="shared" ca="1" si="83"/>
        <v>#N/A</v>
      </c>
      <c r="AD166" s="323" t="e">
        <f t="shared" ca="1" si="84"/>
        <v>#N/A</v>
      </c>
      <c r="AE166" s="324">
        <f t="shared" ca="1" si="63"/>
        <v>1187.574852914332</v>
      </c>
      <c r="AG166" s="306">
        <f t="shared" ca="1" si="85"/>
        <v>-9.5055326675739256</v>
      </c>
      <c r="AH166" s="304">
        <f t="shared" ca="1" si="86"/>
        <v>-1.3399354998185953</v>
      </c>
    </row>
    <row r="167" spans="1:34" x14ac:dyDescent="0.2">
      <c r="A167" s="347">
        <f t="shared" ca="1" si="64"/>
        <v>0.1</v>
      </c>
      <c r="B167" s="304">
        <f t="shared" ca="1" si="65"/>
        <v>7.2999999999999909</v>
      </c>
      <c r="D167" s="306">
        <f t="shared" ca="1" si="66"/>
        <v>-0.72460391526266499</v>
      </c>
      <c r="E167" s="307">
        <f t="shared" ca="1" si="67"/>
        <v>-10.86979412489325</v>
      </c>
      <c r="F167" s="304">
        <f t="shared" ca="1" si="68"/>
        <v>10.893919182350206</v>
      </c>
      <c r="G167" s="306">
        <f t="shared" ca="1" si="69"/>
        <v>24.87669067327306</v>
      </c>
      <c r="H167" s="307">
        <f t="shared" ca="1" si="70"/>
        <v>35.403250853467469</v>
      </c>
      <c r="I167" s="304">
        <f t="shared" ca="1" si="71"/>
        <v>43.269387675899182</v>
      </c>
      <c r="J167" s="306">
        <f t="shared" ca="1" si="72"/>
        <v>351.89427107291954</v>
      </c>
      <c r="K167" s="307">
        <f t="shared" ca="1" si="73"/>
        <v>1191.1695269703032</v>
      </c>
      <c r="L167" s="304">
        <f t="shared" ca="1" si="58"/>
        <v>1242.0605540780198</v>
      </c>
      <c r="M167" s="306">
        <f t="shared" ca="1" si="74"/>
        <v>0.95828277332112888</v>
      </c>
      <c r="N167" s="304">
        <f t="shared" ca="1" si="75"/>
        <v>54.905558491392448</v>
      </c>
      <c r="P167" s="310">
        <f t="shared" ca="1" si="76"/>
        <v>23</v>
      </c>
      <c r="Q167" s="304">
        <f t="shared" ca="1" si="77"/>
        <v>0</v>
      </c>
      <c r="R167" s="306">
        <f t="shared" ca="1" si="78"/>
        <v>0</v>
      </c>
      <c r="S167" s="307">
        <f t="shared" ca="1" si="79"/>
        <v>5.083000000000002</v>
      </c>
      <c r="T167" s="304">
        <f t="shared" ca="1" si="59"/>
        <v>49.86423000000002</v>
      </c>
      <c r="U167" s="311">
        <f t="shared" ca="1" si="60"/>
        <v>0</v>
      </c>
      <c r="V167" s="306">
        <f t="shared" ca="1" si="61"/>
        <v>1.0872838943663303</v>
      </c>
      <c r="W167" s="304">
        <f t="shared" ca="1" si="62"/>
        <v>6.2504011638031578</v>
      </c>
      <c r="Y167" s="314" t="str">
        <f t="shared" ca="1" si="80"/>
        <v/>
      </c>
      <c r="Z167" s="315" t="str">
        <f t="shared" ca="1" si="81"/>
        <v/>
      </c>
      <c r="AA167" s="316" t="str">
        <f t="shared" ca="1" si="82"/>
        <v/>
      </c>
      <c r="AC167" s="310" t="e">
        <f t="shared" ca="1" si="83"/>
        <v>#N/A</v>
      </c>
      <c r="AD167" s="323" t="e">
        <f t="shared" ca="1" si="84"/>
        <v>#N/A</v>
      </c>
      <c r="AE167" s="324">
        <f t="shared" ca="1" si="63"/>
        <v>1191.1695269703032</v>
      </c>
      <c r="AG167" s="306">
        <f t="shared" ca="1" si="85"/>
        <v>-9.3819378190357838</v>
      </c>
      <c r="AH167" s="304">
        <f t="shared" ca="1" si="86"/>
        <v>-1.2838280341121362</v>
      </c>
    </row>
    <row r="168" spans="1:34" x14ac:dyDescent="0.2">
      <c r="A168" s="347">
        <f t="shared" ca="1" si="64"/>
        <v>0.1</v>
      </c>
      <c r="B168" s="304">
        <f t="shared" ca="1" si="65"/>
        <v>7.3999999999999906</v>
      </c>
      <c r="D168" s="306">
        <f t="shared" ca="1" si="66"/>
        <v>-0.70696780898645362</v>
      </c>
      <c r="E168" s="307">
        <f t="shared" ca="1" si="67"/>
        <v>-10.816120911161397</v>
      </c>
      <c r="F168" s="304">
        <f t="shared" ca="1" si="68"/>
        <v>10.839200849131174</v>
      </c>
      <c r="G168" s="306">
        <f t="shared" ca="1" si="69"/>
        <v>24.805993892374413</v>
      </c>
      <c r="H168" s="307">
        <f t="shared" ca="1" si="70"/>
        <v>34.321638762351327</v>
      </c>
      <c r="I168" s="304">
        <f t="shared" ca="1" si="71"/>
        <v>42.347517286398904</v>
      </c>
      <c r="J168" s="306">
        <f t="shared" ca="1" si="72"/>
        <v>354.37840530120189</v>
      </c>
      <c r="K168" s="307">
        <f t="shared" ca="1" si="73"/>
        <v>1194.6557714510941</v>
      </c>
      <c r="L168" s="304">
        <f t="shared" ca="1" si="58"/>
        <v>1246.1085291439233</v>
      </c>
      <c r="M168" s="306">
        <f t="shared" ca="1" si="74"/>
        <v>0.94496395330485528</v>
      </c>
      <c r="N168" s="304">
        <f t="shared" ca="1" si="75"/>
        <v>54.142446316365607</v>
      </c>
      <c r="P168" s="310">
        <f t="shared" ca="1" si="76"/>
        <v>23</v>
      </c>
      <c r="Q168" s="304">
        <f t="shared" ca="1" si="77"/>
        <v>0</v>
      </c>
      <c r="R168" s="306">
        <f t="shared" ca="1" si="78"/>
        <v>0</v>
      </c>
      <c r="S168" s="307">
        <f t="shared" ca="1" si="79"/>
        <v>5.083000000000002</v>
      </c>
      <c r="T168" s="304">
        <f t="shared" ca="1" si="59"/>
        <v>49.86423000000002</v>
      </c>
      <c r="U168" s="311">
        <f t="shared" ca="1" si="60"/>
        <v>0</v>
      </c>
      <c r="V168" s="306">
        <f t="shared" ca="1" si="61"/>
        <v>1.0869035538195586</v>
      </c>
      <c r="W168" s="304">
        <f t="shared" ca="1" si="62"/>
        <v>5.9848098315072651</v>
      </c>
      <c r="Y168" s="314" t="str">
        <f t="shared" ca="1" si="80"/>
        <v/>
      </c>
      <c r="Z168" s="315" t="str">
        <f t="shared" ca="1" si="81"/>
        <v/>
      </c>
      <c r="AA168" s="316" t="str">
        <f t="shared" ca="1" si="82"/>
        <v/>
      </c>
      <c r="AC168" s="310" t="e">
        <f t="shared" ca="1" si="83"/>
        <v>#N/A</v>
      </c>
      <c r="AD168" s="323" t="e">
        <f t="shared" ca="1" si="84"/>
        <v>#N/A</v>
      </c>
      <c r="AE168" s="324">
        <f t="shared" ca="1" si="63"/>
        <v>1194.6557714510941</v>
      </c>
      <c r="AG168" s="306">
        <f t="shared" ca="1" si="85"/>
        <v>-9.2562636748955693</v>
      </c>
      <c r="AH168" s="304">
        <f t="shared" ca="1" si="86"/>
        <v>-1.2296677481414824</v>
      </c>
    </row>
    <row r="169" spans="1:34" x14ac:dyDescent="0.2">
      <c r="A169" s="347">
        <f t="shared" ca="1" si="64"/>
        <v>0.1</v>
      </c>
      <c r="B169" s="304">
        <f t="shared" ca="1" si="65"/>
        <v>7.4999999999999902</v>
      </c>
      <c r="D169" s="306">
        <f t="shared" ca="1" si="66"/>
        <v>-0.68969793221119036</v>
      </c>
      <c r="E169" s="307">
        <f t="shared" ca="1" si="67"/>
        <v>-10.764267883286466</v>
      </c>
      <c r="F169" s="304">
        <f t="shared" ca="1" si="68"/>
        <v>10.786340728015636</v>
      </c>
      <c r="G169" s="306">
        <f t="shared" ca="1" si="69"/>
        <v>24.737024099153295</v>
      </c>
      <c r="H169" s="307">
        <f t="shared" ca="1" si="70"/>
        <v>33.245211974022681</v>
      </c>
      <c r="I169" s="304">
        <f t="shared" ca="1" si="71"/>
        <v>41.438683382556832</v>
      </c>
      <c r="J169" s="306">
        <f t="shared" ca="1" si="72"/>
        <v>356.85555620077827</v>
      </c>
      <c r="K169" s="307">
        <f t="shared" ca="1" si="73"/>
        <v>1198.0341139879129</v>
      </c>
      <c r="L169" s="304">
        <f t="shared" ca="1" si="58"/>
        <v>1250.0526493992845</v>
      </c>
      <c r="M169" s="306">
        <f t="shared" ca="1" si="74"/>
        <v>0.93109621435338685</v>
      </c>
      <c r="N169" s="304">
        <f t="shared" ca="1" si="75"/>
        <v>53.347883403057288</v>
      </c>
      <c r="P169" s="310">
        <f t="shared" ca="1" si="76"/>
        <v>23</v>
      </c>
      <c r="Q169" s="304">
        <f t="shared" ca="1" si="77"/>
        <v>0</v>
      </c>
      <c r="R169" s="306">
        <f t="shared" ca="1" si="78"/>
        <v>0</v>
      </c>
      <c r="S169" s="307">
        <f t="shared" ca="1" si="79"/>
        <v>5.083000000000002</v>
      </c>
      <c r="T169" s="304">
        <f t="shared" ca="1" si="59"/>
        <v>49.86423000000002</v>
      </c>
      <c r="U169" s="311">
        <f t="shared" ca="1" si="60"/>
        <v>0</v>
      </c>
      <c r="V169" s="306">
        <f t="shared" ca="1" si="61"/>
        <v>1.0865351044588822</v>
      </c>
      <c r="W169" s="304">
        <f t="shared" ca="1" si="62"/>
        <v>5.7287398045243458</v>
      </c>
      <c r="Y169" s="314" t="str">
        <f t="shared" ca="1" si="80"/>
        <v/>
      </c>
      <c r="Z169" s="315" t="str">
        <f t="shared" ca="1" si="81"/>
        <v/>
      </c>
      <c r="AA169" s="316" t="str">
        <f t="shared" ca="1" si="82"/>
        <v/>
      </c>
      <c r="AC169" s="310" t="e">
        <f t="shared" ca="1" si="83"/>
        <v>#N/A</v>
      </c>
      <c r="AD169" s="323" t="e">
        <f t="shared" ca="1" si="84"/>
        <v>#N/A</v>
      </c>
      <c r="AE169" s="324">
        <f t="shared" ca="1" si="63"/>
        <v>1198.0341139879129</v>
      </c>
      <c r="AG169" s="306">
        <f t="shared" ca="1" si="85"/>
        <v>-9.1281846326680807</v>
      </c>
      <c r="AH169" s="304">
        <f t="shared" ca="1" si="86"/>
        <v>-1.1774168466471104</v>
      </c>
    </row>
    <row r="170" spans="1:34" x14ac:dyDescent="0.2">
      <c r="A170" s="347">
        <f t="shared" ca="1" si="64"/>
        <v>0.1</v>
      </c>
      <c r="B170" s="304">
        <f t="shared" ca="1" si="65"/>
        <v>7.5999999999999899</v>
      </c>
      <c r="D170" s="306">
        <f t="shared" ca="1" si="66"/>
        <v>-0.67279149311355702</v>
      </c>
      <c r="E170" s="307">
        <f t="shared" ca="1" si="67"/>
        <v>-10.714195092878816</v>
      </c>
      <c r="F170" s="304">
        <f t="shared" ca="1" si="68"/>
        <v>10.735298080699691</v>
      </c>
      <c r="G170" s="306">
        <f t="shared" ca="1" si="69"/>
        <v>24.669744949841938</v>
      </c>
      <c r="H170" s="307">
        <f t="shared" ca="1" si="70"/>
        <v>32.173792464734802</v>
      </c>
      <c r="I170" s="304">
        <f t="shared" ca="1" si="71"/>
        <v>40.543177446446862</v>
      </c>
      <c r="J170" s="306">
        <f t="shared" ca="1" si="72"/>
        <v>359.32589465322803</v>
      </c>
      <c r="K170" s="307">
        <f t="shared" ca="1" si="73"/>
        <v>1201.3050642098508</v>
      </c>
      <c r="L170" s="304">
        <f t="shared" ca="1" si="58"/>
        <v>1253.8935185511473</v>
      </c>
      <c r="M170" s="306">
        <f t="shared" ca="1" si="74"/>
        <v>0.91665153746158157</v>
      </c>
      <c r="N170" s="304">
        <f t="shared" ca="1" si="75"/>
        <v>52.520264380726701</v>
      </c>
      <c r="P170" s="310">
        <f t="shared" ca="1" si="76"/>
        <v>23</v>
      </c>
      <c r="Q170" s="304">
        <f t="shared" ca="1" si="77"/>
        <v>0</v>
      </c>
      <c r="R170" s="306">
        <f t="shared" ca="1" si="78"/>
        <v>0</v>
      </c>
      <c r="S170" s="307">
        <f t="shared" ca="1" si="79"/>
        <v>5.083000000000002</v>
      </c>
      <c r="T170" s="304">
        <f t="shared" ca="1" si="59"/>
        <v>49.86423000000002</v>
      </c>
      <c r="U170" s="311">
        <f t="shared" ca="1" si="60"/>
        <v>0</v>
      </c>
      <c r="V170" s="306">
        <f t="shared" ca="1" si="61"/>
        <v>1.0861784794190537</v>
      </c>
      <c r="W170" s="304">
        <f t="shared" ca="1" si="62"/>
        <v>5.4820147111247639</v>
      </c>
      <c r="Y170" s="314" t="str">
        <f t="shared" ca="1" si="80"/>
        <v/>
      </c>
      <c r="Z170" s="315" t="str">
        <f t="shared" ca="1" si="81"/>
        <v/>
      </c>
      <c r="AA170" s="316" t="str">
        <f t="shared" ca="1" si="82"/>
        <v/>
      </c>
      <c r="AC170" s="310" t="e">
        <f t="shared" ca="1" si="83"/>
        <v>#N/A</v>
      </c>
      <c r="AD170" s="323" t="e">
        <f t="shared" ca="1" si="84"/>
        <v>#N/A</v>
      </c>
      <c r="AE170" s="324">
        <f t="shared" ca="1" si="63"/>
        <v>1201.3050642098508</v>
      </c>
      <c r="AG170" s="306">
        <f t="shared" ca="1" si="85"/>
        <v>-8.9973550300970118</v>
      </c>
      <c r="AH170" s="304">
        <f t="shared" ca="1" si="86"/>
        <v>-1.1270391116514547</v>
      </c>
    </row>
    <row r="171" spans="1:34" x14ac:dyDescent="0.2">
      <c r="A171" s="347">
        <f t="shared" ca="1" si="64"/>
        <v>0.1</v>
      </c>
      <c r="B171" s="304">
        <f t="shared" ca="1" si="65"/>
        <v>7.6999999999999895</v>
      </c>
      <c r="D171" s="306">
        <f t="shared" ca="1" si="66"/>
        <v>-0.65624644577586555</v>
      </c>
      <c r="E171" s="307">
        <f t="shared" ca="1" si="67"/>
        <v>-10.66586360925259</v>
      </c>
      <c r="F171" s="304">
        <f t="shared" ca="1" si="68"/>
        <v>10.686033217652476</v>
      </c>
      <c r="G171" s="306">
        <f t="shared" ca="1" si="69"/>
        <v>24.604120305264352</v>
      </c>
      <c r="H171" s="307">
        <f t="shared" ca="1" si="70"/>
        <v>31.107206103809542</v>
      </c>
      <c r="I171" s="304">
        <f t="shared" ca="1" si="71"/>
        <v>39.661328868065013</v>
      </c>
      <c r="J171" s="306">
        <f t="shared" ca="1" si="72"/>
        <v>361.78958791598336</v>
      </c>
      <c r="K171" s="307">
        <f t="shared" ca="1" si="73"/>
        <v>1204.469114138278</v>
      </c>
      <c r="L171" s="304">
        <f t="shared" ca="1" si="58"/>
        <v>1257.6317238514084</v>
      </c>
      <c r="M171" s="306">
        <f t="shared" ca="1" si="74"/>
        <v>0.90160054908061826</v>
      </c>
      <c r="N171" s="304">
        <f t="shared" ca="1" si="75"/>
        <v>51.65790626899706</v>
      </c>
      <c r="P171" s="310">
        <f t="shared" ca="1" si="76"/>
        <v>23</v>
      </c>
      <c r="Q171" s="304">
        <f t="shared" ca="1" si="77"/>
        <v>0</v>
      </c>
      <c r="R171" s="306">
        <f t="shared" ca="1" si="78"/>
        <v>0</v>
      </c>
      <c r="S171" s="307">
        <f t="shared" ca="1" si="79"/>
        <v>5.083000000000002</v>
      </c>
      <c r="T171" s="304">
        <f t="shared" ca="1" si="59"/>
        <v>49.86423000000002</v>
      </c>
      <c r="U171" s="311">
        <f t="shared" ca="1" si="60"/>
        <v>0</v>
      </c>
      <c r="V171" s="306">
        <f t="shared" ca="1" si="61"/>
        <v>1.0858336141897931</v>
      </c>
      <c r="W171" s="304">
        <f t="shared" ca="1" si="62"/>
        <v>5.2444656242530279</v>
      </c>
      <c r="Y171" s="314" t="str">
        <f t="shared" ca="1" si="80"/>
        <v/>
      </c>
      <c r="Z171" s="315" t="str">
        <f t="shared" ca="1" si="81"/>
        <v/>
      </c>
      <c r="AA171" s="316" t="str">
        <f t="shared" ca="1" si="82"/>
        <v/>
      </c>
      <c r="AC171" s="310" t="e">
        <f t="shared" ca="1" si="83"/>
        <v>#N/A</v>
      </c>
      <c r="AD171" s="323" t="e">
        <f t="shared" ca="1" si="84"/>
        <v>#N/A</v>
      </c>
      <c r="AE171" s="324">
        <f t="shared" ca="1" si="63"/>
        <v>1204.469114138278</v>
      </c>
      <c r="AG171" s="306">
        <f t="shared" ca="1" si="85"/>
        <v>-8.863407786364407</v>
      </c>
      <c r="AH171" s="304">
        <f t="shared" ca="1" si="86"/>
        <v>-1.0784998448012515</v>
      </c>
    </row>
    <row r="172" spans="1:34" x14ac:dyDescent="0.2">
      <c r="A172" s="347">
        <f t="shared" ca="1" si="64"/>
        <v>0.1</v>
      </c>
      <c r="B172" s="304">
        <f t="shared" ca="1" si="65"/>
        <v>7.7999999999999892</v>
      </c>
      <c r="D172" s="306">
        <f t="shared" ca="1" si="66"/>
        <v>-0.64006151328772043</v>
      </c>
      <c r="E172" s="307">
        <f t="shared" ca="1" si="67"/>
        <v>-10.61923541122083</v>
      </c>
      <c r="F172" s="304">
        <f t="shared" ca="1" si="68"/>
        <v>10.638507388713823</v>
      </c>
      <c r="G172" s="306">
        <f t="shared" ca="1" si="69"/>
        <v>24.54011415393558</v>
      </c>
      <c r="H172" s="307">
        <f t="shared" ca="1" si="70"/>
        <v>30.045282562687458</v>
      </c>
      <c r="I172" s="304">
        <f t="shared" ca="1" si="71"/>
        <v>38.793507278408335</v>
      </c>
      <c r="J172" s="306">
        <f t="shared" ca="1" si="72"/>
        <v>364.24679963894334</v>
      </c>
      <c r="K172" s="307">
        <f t="shared" ca="1" si="73"/>
        <v>1207.5267385716029</v>
      </c>
      <c r="L172" s="304">
        <f t="shared" ca="1" si="58"/>
        <v>1261.2678365091947</v>
      </c>
      <c r="M172" s="306">
        <f t="shared" ca="1" si="74"/>
        <v>0.88591252103729512</v>
      </c>
      <c r="N172" s="304">
        <f t="shared" ca="1" si="75"/>
        <v>50.759048473231765</v>
      </c>
      <c r="P172" s="310">
        <f t="shared" ca="1" si="76"/>
        <v>23</v>
      </c>
      <c r="Q172" s="304">
        <f t="shared" ca="1" si="77"/>
        <v>0</v>
      </c>
      <c r="R172" s="306">
        <f t="shared" ca="1" si="78"/>
        <v>0</v>
      </c>
      <c r="S172" s="307">
        <f t="shared" ca="1" si="79"/>
        <v>5.083000000000002</v>
      </c>
      <c r="T172" s="304">
        <f t="shared" ca="1" si="59"/>
        <v>49.86423000000002</v>
      </c>
      <c r="U172" s="311">
        <f t="shared" ca="1" si="60"/>
        <v>0</v>
      </c>
      <c r="V172" s="306">
        <f t="shared" ca="1" si="61"/>
        <v>1.0855004465645819</v>
      </c>
      <c r="W172" s="304">
        <f t="shared" ca="1" si="62"/>
        <v>5.0159307945762093</v>
      </c>
      <c r="Y172" s="314" t="str">
        <f t="shared" ca="1" si="80"/>
        <v/>
      </c>
      <c r="Z172" s="315" t="str">
        <f t="shared" ca="1" si="81"/>
        <v/>
      </c>
      <c r="AA172" s="316" t="str">
        <f t="shared" ca="1" si="82"/>
        <v/>
      </c>
      <c r="AC172" s="310" t="e">
        <f t="shared" ca="1" si="83"/>
        <v>#N/A</v>
      </c>
      <c r="AD172" s="323" t="e">
        <f t="shared" ca="1" si="84"/>
        <v>#N/A</v>
      </c>
      <c r="AE172" s="324">
        <f t="shared" ca="1" si="63"/>
        <v>1207.5267385716029</v>
      </c>
      <c r="AG172" s="306">
        <f t="shared" ca="1" si="85"/>
        <v>-8.7259530871665483</v>
      </c>
      <c r="AH172" s="304">
        <f t="shared" ca="1" si="86"/>
        <v>-1.0317658123653406</v>
      </c>
    </row>
    <row r="173" spans="1:34" x14ac:dyDescent="0.2">
      <c r="A173" s="347">
        <f t="shared" ca="1" si="64"/>
        <v>0.1</v>
      </c>
      <c r="B173" s="304">
        <f t="shared" ca="1" si="65"/>
        <v>7.8999999999999888</v>
      </c>
      <c r="D173" s="306">
        <f t="shared" ca="1" si="66"/>
        <v>-0.62423621311572164</v>
      </c>
      <c r="E173" s="307">
        <f t="shared" ca="1" si="67"/>
        <v>-10.574273274821584</v>
      </c>
      <c r="F173" s="304">
        <f t="shared" ca="1" si="68"/>
        <v>10.592682669672071</v>
      </c>
      <c r="G173" s="306">
        <f t="shared" ca="1" si="69"/>
        <v>24.477690532624006</v>
      </c>
      <c r="H173" s="307">
        <f t="shared" ca="1" si="70"/>
        <v>28.987855235205298</v>
      </c>
      <c r="I173" s="304">
        <f t="shared" ca="1" si="71"/>
        <v>37.940124999110509</v>
      </c>
      <c r="J173" s="306">
        <f t="shared" ca="1" si="72"/>
        <v>366.69768987327132</v>
      </c>
      <c r="K173" s="307">
        <f t="shared" ca="1" si="73"/>
        <v>1210.4783954614975</v>
      </c>
      <c r="L173" s="304">
        <f t="shared" ca="1" si="58"/>
        <v>1264.8024120934604</v>
      </c>
      <c r="M173" s="306">
        <f t="shared" ca="1" si="74"/>
        <v>0.86955538936718035</v>
      </c>
      <c r="N173" s="304">
        <f t="shared" ca="1" si="75"/>
        <v>49.821853863594413</v>
      </c>
      <c r="P173" s="310">
        <f t="shared" ca="1" si="76"/>
        <v>23</v>
      </c>
      <c r="Q173" s="304">
        <f t="shared" ca="1" si="77"/>
        <v>0</v>
      </c>
      <c r="R173" s="306">
        <f t="shared" ca="1" si="78"/>
        <v>0</v>
      </c>
      <c r="S173" s="307">
        <f t="shared" ca="1" si="79"/>
        <v>5.083000000000002</v>
      </c>
      <c r="T173" s="304">
        <f t="shared" ca="1" si="59"/>
        <v>49.86423000000002</v>
      </c>
      <c r="U173" s="311">
        <f t="shared" ca="1" si="60"/>
        <v>0</v>
      </c>
      <c r="V173" s="306">
        <f t="shared" ca="1" si="61"/>
        <v>1.0851789165908088</v>
      </c>
      <c r="W173" s="304">
        <f t="shared" ca="1" si="62"/>
        <v>4.7962553953127145</v>
      </c>
      <c r="Y173" s="314" t="str">
        <f t="shared" ca="1" si="80"/>
        <v/>
      </c>
      <c r="Z173" s="315" t="str">
        <f t="shared" ca="1" si="81"/>
        <v/>
      </c>
      <c r="AA173" s="316" t="str">
        <f t="shared" ca="1" si="82"/>
        <v/>
      </c>
      <c r="AC173" s="310" t="e">
        <f t="shared" ca="1" si="83"/>
        <v>#N/A</v>
      </c>
      <c r="AD173" s="323" t="e">
        <f t="shared" ca="1" si="84"/>
        <v>#N/A</v>
      </c>
      <c r="AE173" s="324">
        <f t="shared" ca="1" si="63"/>
        <v>1210.4783954614975</v>
      </c>
      <c r="AG173" s="306">
        <f t="shared" ca="1" si="85"/>
        <v>-8.5845771555521235</v>
      </c>
      <c r="AH173" s="304">
        <f t="shared" ca="1" si="86"/>
        <v>-0.9868051927161533</v>
      </c>
    </row>
    <row r="174" spans="1:34" x14ac:dyDescent="0.2">
      <c r="A174" s="347">
        <f t="shared" ca="1" si="64"/>
        <v>0.1</v>
      </c>
      <c r="B174" s="304">
        <f t="shared" ca="1" si="65"/>
        <v>7.9999999999999885</v>
      </c>
      <c r="D174" s="306">
        <f t="shared" ca="1" si="66"/>
        <v>-0.60877088453363404</v>
      </c>
      <c r="E174" s="307">
        <f t="shared" ca="1" si="67"/>
        <v>-10.530940656094533</v>
      </c>
      <c r="F174" s="304">
        <f t="shared" ca="1" si="68"/>
        <v>10.548521843938165</v>
      </c>
      <c r="G174" s="306">
        <f t="shared" ca="1" si="69"/>
        <v>24.416813444170643</v>
      </c>
      <c r="H174" s="307">
        <f t="shared" ca="1" si="70"/>
        <v>27.934761169595845</v>
      </c>
      <c r="I174" s="304">
        <f t="shared" ca="1" si="71"/>
        <v>37.101639591395312</v>
      </c>
      <c r="J174" s="306">
        <f t="shared" ca="1" si="72"/>
        <v>369.14241507211102</v>
      </c>
      <c r="K174" s="307">
        <f t="shared" ca="1" si="73"/>
        <v>1213.3245262817375</v>
      </c>
      <c r="L174" s="304">
        <f t="shared" ca="1" si="58"/>
        <v>1268.2359909267964</v>
      </c>
      <c r="M174" s="306">
        <f t="shared" ca="1" si="74"/>
        <v>0.85249579686601884</v>
      </c>
      <c r="N174" s="304">
        <f t="shared" ca="1" si="75"/>
        <v>48.844411213064831</v>
      </c>
      <c r="P174" s="310">
        <f t="shared" ca="1" si="76"/>
        <v>23</v>
      </c>
      <c r="Q174" s="304">
        <f t="shared" ca="1" si="77"/>
        <v>0</v>
      </c>
      <c r="R174" s="306">
        <f t="shared" ca="1" si="78"/>
        <v>0</v>
      </c>
      <c r="S174" s="307">
        <f t="shared" ca="1" si="79"/>
        <v>5.083000000000002</v>
      </c>
      <c r="T174" s="304">
        <f t="shared" ca="1" si="59"/>
        <v>49.86423000000002</v>
      </c>
      <c r="U174" s="311">
        <f t="shared" ca="1" si="60"/>
        <v>0</v>
      </c>
      <c r="V174" s="306">
        <f t="shared" ca="1" si="61"/>
        <v>1.0848689665211426</v>
      </c>
      <c r="W174" s="304">
        <f t="shared" ca="1" si="62"/>
        <v>4.585291278021419</v>
      </c>
      <c r="Y174" s="314" t="str">
        <f t="shared" ca="1" si="80"/>
        <v/>
      </c>
      <c r="Z174" s="315" t="str">
        <f t="shared" ca="1" si="81"/>
        <v/>
      </c>
      <c r="AA174" s="316" t="str">
        <f t="shared" ca="1" si="82"/>
        <v/>
      </c>
      <c r="AC174" s="310">
        <f t="shared" ca="1" si="83"/>
        <v>7.9999999999999885</v>
      </c>
      <c r="AD174" s="323">
        <f t="shared" ca="1" si="84"/>
        <v>369.14241507211102</v>
      </c>
      <c r="AE174" s="324">
        <f t="shared" ca="1" si="63"/>
        <v>1213.3245262817375</v>
      </c>
      <c r="AG174" s="306">
        <f t="shared" ca="1" si="85"/>
        <v>-8.4388411623261259</v>
      </c>
      <c r="AH174" s="304">
        <f t="shared" ca="1" si="86"/>
        <v>-0.94358752612880437</v>
      </c>
    </row>
    <row r="175" spans="1:34" x14ac:dyDescent="0.2">
      <c r="A175" s="347">
        <f t="shared" ca="1" si="64"/>
        <v>0.1</v>
      </c>
      <c r="B175" s="304">
        <f t="shared" ca="1" si="65"/>
        <v>8.099999999999989</v>
      </c>
      <c r="D175" s="306">
        <f t="shared" ca="1" si="66"/>
        <v>-0.59366671781388924</v>
      </c>
      <c r="E175" s="307">
        <f t="shared" ca="1" si="67"/>
        <v>-10.48920156798463</v>
      </c>
      <c r="F175" s="304">
        <f t="shared" ca="1" si="68"/>
        <v>10.505988278389193</v>
      </c>
      <c r="G175" s="306">
        <f t="shared" ca="1" si="69"/>
        <v>24.357446772389252</v>
      </c>
      <c r="H175" s="307">
        <f t="shared" ca="1" si="70"/>
        <v>26.885841012797382</v>
      </c>
      <c r="I175" s="304">
        <f t="shared" ca="1" si="71"/>
        <v>36.278556479485147</v>
      </c>
      <c r="J175" s="306">
        <f t="shared" ca="1" si="72"/>
        <v>371.58112808293902</v>
      </c>
      <c r="K175" s="307">
        <f t="shared" ca="1" si="73"/>
        <v>1216.0655563908572</v>
      </c>
      <c r="L175" s="304">
        <f t="shared" ca="1" si="58"/>
        <v>1271.5690984714888</v>
      </c>
      <c r="M175" s="306">
        <f t="shared" ca="1" si="74"/>
        <v>0.83469916499293517</v>
      </c>
      <c r="N175" s="304">
        <f t="shared" ca="1" si="75"/>
        <v>47.824739317189135</v>
      </c>
      <c r="P175" s="310">
        <f t="shared" ca="1" si="76"/>
        <v>23</v>
      </c>
      <c r="Q175" s="304">
        <f t="shared" ca="1" si="77"/>
        <v>0</v>
      </c>
      <c r="R175" s="306">
        <f t="shared" ca="1" si="78"/>
        <v>0</v>
      </c>
      <c r="S175" s="307">
        <f t="shared" ca="1" si="79"/>
        <v>5.083000000000002</v>
      </c>
      <c r="T175" s="304">
        <f t="shared" ca="1" si="59"/>
        <v>49.86423000000002</v>
      </c>
      <c r="U175" s="311">
        <f t="shared" ca="1" si="60"/>
        <v>0</v>
      </c>
      <c r="V175" s="306">
        <f t="shared" ca="1" si="61"/>
        <v>1.0845705407659745</v>
      </c>
      <c r="W175" s="304">
        <f t="shared" ca="1" si="62"/>
        <v>4.3828967385503539</v>
      </c>
      <c r="Y175" s="314" t="str">
        <f t="shared" ca="1" si="80"/>
        <v/>
      </c>
      <c r="Z175" s="315" t="str">
        <f t="shared" ca="1" si="81"/>
        <v/>
      </c>
      <c r="AA175" s="316" t="str">
        <f t="shared" ca="1" si="82"/>
        <v/>
      </c>
      <c r="AC175" s="310" t="e">
        <f t="shared" ca="1" si="83"/>
        <v>#N/A</v>
      </c>
      <c r="AD175" s="323" t="e">
        <f t="shared" ca="1" si="84"/>
        <v>#N/A</v>
      </c>
      <c r="AE175" s="324">
        <f t="shared" ca="1" si="63"/>
        <v>1216.0655563908572</v>
      </c>
      <c r="AG175" s="306">
        <f t="shared" ca="1" si="85"/>
        <v>-8.2882803440738968</v>
      </c>
      <c r="AH175" s="304">
        <f t="shared" ca="1" si="86"/>
        <v>-0.90208366673645823</v>
      </c>
    </row>
    <row r="176" spans="1:34" x14ac:dyDescent="0.2">
      <c r="A176" s="347">
        <f t="shared" ca="1" si="64"/>
        <v>0.1</v>
      </c>
      <c r="B176" s="304">
        <f t="shared" ca="1" si="65"/>
        <v>8.1999999999999886</v>
      </c>
      <c r="D176" s="306">
        <f t="shared" ca="1" si="66"/>
        <v>-0.57892578476630063</v>
      </c>
      <c r="E176" s="307">
        <f t="shared" ca="1" si="67"/>
        <v>-10.44902045041435</v>
      </c>
      <c r="F176" s="304">
        <f t="shared" ca="1" si="68"/>
        <v>10.465045792419859</v>
      </c>
      <c r="G176" s="306">
        <f t="shared" ca="1" si="69"/>
        <v>24.299554193912623</v>
      </c>
      <c r="H176" s="307">
        <f t="shared" ca="1" si="70"/>
        <v>25.840938967755946</v>
      </c>
      <c r="I176" s="304">
        <f t="shared" ca="1" si="71"/>
        <v>35.471431614162185</v>
      </c>
      <c r="J176" s="306">
        <f t="shared" ca="1" si="72"/>
        <v>374.01397813125413</v>
      </c>
      <c r="K176" s="307">
        <f t="shared" ca="1" si="73"/>
        <v>1218.7018953898848</v>
      </c>
      <c r="L176" s="304">
        <f t="shared" ca="1" si="58"/>
        <v>1274.8022457089037</v>
      </c>
      <c r="M176" s="306">
        <f t="shared" ca="1" si="74"/>
        <v>0.81612980165905868</v>
      </c>
      <c r="N176" s="304">
        <f t="shared" ca="1" si="75"/>
        <v>46.760793169913036</v>
      </c>
      <c r="P176" s="310">
        <f t="shared" ca="1" si="76"/>
        <v>23</v>
      </c>
      <c r="Q176" s="304">
        <f t="shared" ca="1" si="77"/>
        <v>0</v>
      </c>
      <c r="R176" s="306">
        <f t="shared" ca="1" si="78"/>
        <v>0</v>
      </c>
      <c r="S176" s="307">
        <f t="shared" ca="1" si="79"/>
        <v>5.083000000000002</v>
      </c>
      <c r="T176" s="304">
        <f t="shared" ca="1" si="59"/>
        <v>49.86423000000002</v>
      </c>
      <c r="U176" s="311">
        <f t="shared" ca="1" si="60"/>
        <v>0</v>
      </c>
      <c r="V176" s="306">
        <f t="shared" ca="1" si="61"/>
        <v>1.0842835858467887</v>
      </c>
      <c r="W176" s="304">
        <f t="shared" ca="1" si="62"/>
        <v>4.1889362923588491</v>
      </c>
      <c r="Y176" s="314" t="str">
        <f t="shared" ca="1" si="80"/>
        <v/>
      </c>
      <c r="Z176" s="315" t="str">
        <f t="shared" ca="1" si="81"/>
        <v/>
      </c>
      <c r="AA176" s="316" t="str">
        <f t="shared" ca="1" si="82"/>
        <v/>
      </c>
      <c r="AC176" s="310" t="e">
        <f t="shared" ca="1" si="83"/>
        <v>#N/A</v>
      </c>
      <c r="AD176" s="323" t="e">
        <f t="shared" ca="1" si="84"/>
        <v>#N/A</v>
      </c>
      <c r="AE176" s="324">
        <f t="shared" ca="1" si="63"/>
        <v>1218.7018953898848</v>
      </c>
      <c r="AG176" s="306">
        <f t="shared" ca="1" si="85"/>
        <v>-8.1324034136736572</v>
      </c>
      <c r="AH176" s="304">
        <f t="shared" ca="1" si="86"/>
        <v>-0.86226573648442895</v>
      </c>
    </row>
    <row r="177" spans="1:34" x14ac:dyDescent="0.2">
      <c r="A177" s="347">
        <f t="shared" ca="1" si="64"/>
        <v>0.1</v>
      </c>
      <c r="B177" s="304">
        <f t="shared" ca="1" si="65"/>
        <v>8.2999999999999883</v>
      </c>
      <c r="D177" s="306">
        <f t="shared" ca="1" si="66"/>
        <v>-0.56455107006762351</v>
      </c>
      <c r="E177" s="307">
        <f t="shared" ca="1" si="67"/>
        <v>-10.410362032545166</v>
      </c>
      <c r="F177" s="304">
        <f t="shared" ca="1" si="68"/>
        <v>10.425658519219418</v>
      </c>
      <c r="G177" s="306">
        <f t="shared" ca="1" si="69"/>
        <v>24.243099086905861</v>
      </c>
      <c r="H177" s="307">
        <f t="shared" ca="1" si="70"/>
        <v>24.799902764501429</v>
      </c>
      <c r="I177" s="304">
        <f t="shared" ca="1" si="71"/>
        <v>34.680874130653933</v>
      </c>
      <c r="J177" s="306">
        <f t="shared" ca="1" si="72"/>
        <v>376.44111079529506</v>
      </c>
      <c r="K177" s="307">
        <f t="shared" ca="1" si="73"/>
        <v>1221.2339374764977</v>
      </c>
      <c r="L177" s="304">
        <f t="shared" ca="1" si="58"/>
        <v>1277.9359295133484</v>
      </c>
      <c r="M177" s="306">
        <f t="shared" ca="1" si="74"/>
        <v>0.7967510523843373</v>
      </c>
      <c r="N177" s="304">
        <f t="shared" ca="1" si="75"/>
        <v>45.650472624229295</v>
      </c>
      <c r="P177" s="310">
        <f t="shared" ca="1" si="76"/>
        <v>23</v>
      </c>
      <c r="Q177" s="304">
        <f t="shared" ca="1" si="77"/>
        <v>0</v>
      </c>
      <c r="R177" s="306">
        <f t="shared" ca="1" si="78"/>
        <v>0</v>
      </c>
      <c r="S177" s="307">
        <f t="shared" ca="1" si="79"/>
        <v>5.083000000000002</v>
      </c>
      <c r="T177" s="304">
        <f t="shared" ca="1" si="59"/>
        <v>49.86423000000002</v>
      </c>
      <c r="U177" s="311">
        <f t="shared" ca="1" si="60"/>
        <v>0</v>
      </c>
      <c r="V177" s="306">
        <f t="shared" ca="1" si="61"/>
        <v>1.0840080503502896</v>
      </c>
      <c r="W177" s="304">
        <f t="shared" ca="1" si="62"/>
        <v>4.0032804584369028</v>
      </c>
      <c r="Y177" s="314" t="str">
        <f t="shared" ca="1" si="80"/>
        <v/>
      </c>
      <c r="Z177" s="315" t="str">
        <f t="shared" ca="1" si="81"/>
        <v/>
      </c>
      <c r="AA177" s="316" t="str">
        <f t="shared" ca="1" si="82"/>
        <v/>
      </c>
      <c r="AC177" s="310" t="e">
        <f t="shared" ca="1" si="83"/>
        <v>#N/A</v>
      </c>
      <c r="AD177" s="323" t="e">
        <f t="shared" ca="1" si="84"/>
        <v>#N/A</v>
      </c>
      <c r="AE177" s="324">
        <f t="shared" ca="1" si="63"/>
        <v>1221.2339374764977</v>
      </c>
      <c r="AG177" s="306">
        <f t="shared" ca="1" si="85"/>
        <v>-7.9706923676771071</v>
      </c>
      <c r="AH177" s="304">
        <f t="shared" ca="1" si="86"/>
        <v>-0.82410708092835872</v>
      </c>
    </row>
    <row r="178" spans="1:34" x14ac:dyDescent="0.2">
      <c r="A178" s="347">
        <f t="shared" ca="1" si="64"/>
        <v>0.1</v>
      </c>
      <c r="B178" s="304">
        <f t="shared" ca="1" si="65"/>
        <v>8.3999999999999879</v>
      </c>
      <c r="D178" s="306">
        <f t="shared" ca="1" si="66"/>
        <v>-0.55054650265212879</v>
      </c>
      <c r="E178" s="307">
        <f t="shared" ca="1" si="67"/>
        <v>-10.373191186249105</v>
      </c>
      <c r="F178" s="304">
        <f t="shared" ca="1" si="68"/>
        <v>10.387790758292093</v>
      </c>
      <c r="G178" s="306">
        <f t="shared" ca="1" si="69"/>
        <v>24.188044436640649</v>
      </c>
      <c r="H178" s="307">
        <f t="shared" ca="1" si="70"/>
        <v>23.762583645876518</v>
      </c>
      <c r="I178" s="304">
        <f t="shared" ca="1" si="71"/>
        <v>33.907548941145549</v>
      </c>
      <c r="J178" s="306">
        <f t="shared" ca="1" si="72"/>
        <v>378.86266797147238</v>
      </c>
      <c r="K178" s="307">
        <f t="shared" ca="1" si="73"/>
        <v>1223.6620617970166</v>
      </c>
      <c r="L178" s="304">
        <f t="shared" ca="1" si="58"/>
        <v>1280.9706330216113</v>
      </c>
      <c r="M178" s="306">
        <f t="shared" ca="1" si="74"/>
        <v>0.77652550326667613</v>
      </c>
      <c r="N178" s="304">
        <f t="shared" ca="1" si="75"/>
        <v>44.491634021452761</v>
      </c>
      <c r="P178" s="310">
        <f t="shared" ca="1" si="76"/>
        <v>23</v>
      </c>
      <c r="Q178" s="304">
        <f t="shared" ca="1" si="77"/>
        <v>0</v>
      </c>
      <c r="R178" s="306">
        <f t="shared" ca="1" si="78"/>
        <v>0</v>
      </c>
      <c r="S178" s="307">
        <f t="shared" ca="1" si="79"/>
        <v>5.083000000000002</v>
      </c>
      <c r="T178" s="304">
        <f t="shared" ca="1" si="59"/>
        <v>49.86423000000002</v>
      </c>
      <c r="U178" s="311">
        <f t="shared" ca="1" si="60"/>
        <v>0</v>
      </c>
      <c r="V178" s="306">
        <f t="shared" ca="1" si="61"/>
        <v>1.0837438848831324</v>
      </c>
      <c r="W178" s="304">
        <f t="shared" ca="1" si="62"/>
        <v>3.8258055510511424</v>
      </c>
      <c r="Y178" s="314" t="str">
        <f t="shared" ca="1" si="80"/>
        <v/>
      </c>
      <c r="Z178" s="315" t="str">
        <f t="shared" ca="1" si="81"/>
        <v/>
      </c>
      <c r="AA178" s="316" t="str">
        <f t="shared" ca="1" si="82"/>
        <v/>
      </c>
      <c r="AC178" s="310" t="e">
        <f t="shared" ca="1" si="83"/>
        <v>#N/A</v>
      </c>
      <c r="AD178" s="323" t="e">
        <f t="shared" ca="1" si="84"/>
        <v>#N/A</v>
      </c>
      <c r="AE178" s="324">
        <f t="shared" ca="1" si="63"/>
        <v>1223.6620617970166</v>
      </c>
      <c r="AG178" s="306">
        <f t="shared" ca="1" si="85"/>
        <v>-7.8026028171281174</v>
      </c>
      <c r="AH178" s="304">
        <f t="shared" ca="1" si="86"/>
        <v>-0.78758222672376577</v>
      </c>
    </row>
    <row r="179" spans="1:34" x14ac:dyDescent="0.2">
      <c r="A179" s="347">
        <f t="shared" ca="1" si="64"/>
        <v>0.1</v>
      </c>
      <c r="B179" s="304">
        <f t="shared" ca="1" si="65"/>
        <v>8.4999999999999876</v>
      </c>
      <c r="D179" s="306">
        <f t="shared" ca="1" si="66"/>
        <v>-0.53691698622502826</v>
      </c>
      <c r="E179" s="307">
        <f t="shared" ca="1" si="67"/>
        <v>-10.337472769842329</v>
      </c>
      <c r="F179" s="304">
        <f t="shared" ca="1" si="68"/>
        <v>10.351406818270094</v>
      </c>
      <c r="G179" s="306">
        <f t="shared" ca="1" si="69"/>
        <v>24.134352738018144</v>
      </c>
      <c r="H179" s="307">
        <f t="shared" ca="1" si="70"/>
        <v>22.728836368892285</v>
      </c>
      <c r="I179" s="304">
        <f t="shared" ca="1" si="71"/>
        <v>33.152179185793571</v>
      </c>
      <c r="J179" s="306">
        <f t="shared" ca="1" si="72"/>
        <v>381.27878783020532</v>
      </c>
      <c r="K179" s="307">
        <f t="shared" ca="1" si="73"/>
        <v>1225.986632797755</v>
      </c>
      <c r="L179" s="304">
        <f t="shared" ca="1" si="58"/>
        <v>1283.9068259994756</v>
      </c>
      <c r="M179" s="306">
        <f t="shared" ca="1" si="74"/>
        <v>0.75541524512438796</v>
      </c>
      <c r="N179" s="304">
        <f t="shared" ca="1" si="75"/>
        <v>43.282105325467967</v>
      </c>
      <c r="P179" s="310">
        <f t="shared" ca="1" si="76"/>
        <v>23</v>
      </c>
      <c r="Q179" s="304">
        <f t="shared" ca="1" si="77"/>
        <v>0</v>
      </c>
      <c r="R179" s="306">
        <f t="shared" ca="1" si="78"/>
        <v>0</v>
      </c>
      <c r="S179" s="307">
        <f t="shared" ca="1" si="79"/>
        <v>5.083000000000002</v>
      </c>
      <c r="T179" s="304">
        <f t="shared" ca="1" si="59"/>
        <v>49.86423000000002</v>
      </c>
      <c r="U179" s="311">
        <f t="shared" ca="1" si="60"/>
        <v>0</v>
      </c>
      <c r="V179" s="306">
        <f t="shared" ca="1" si="61"/>
        <v>1.0834910420270725</v>
      </c>
      <c r="W179" s="304">
        <f t="shared" ca="1" si="62"/>
        <v>3.6563934785477596</v>
      </c>
      <c r="Y179" s="314" t="str">
        <f t="shared" ca="1" si="80"/>
        <v/>
      </c>
      <c r="Z179" s="315" t="str">
        <f t="shared" ca="1" si="81"/>
        <v/>
      </c>
      <c r="AA179" s="316" t="str">
        <f t="shared" ca="1" si="82"/>
        <v/>
      </c>
      <c r="AC179" s="310" t="e">
        <f t="shared" ca="1" si="83"/>
        <v>#N/A</v>
      </c>
      <c r="AD179" s="323" t="e">
        <f t="shared" ca="1" si="84"/>
        <v>#N/A</v>
      </c>
      <c r="AE179" s="324">
        <f t="shared" ca="1" si="63"/>
        <v>1225.986632797755</v>
      </c>
      <c r="AG179" s="306">
        <f t="shared" ca="1" si="85"/>
        <v>-7.6275649930009228</v>
      </c>
      <c r="AH179" s="304">
        <f t="shared" ca="1" si="86"/>
        <v>-0.75266684065534939</v>
      </c>
    </row>
    <row r="180" spans="1:34" x14ac:dyDescent="0.2">
      <c r="A180" s="347">
        <f t="shared" ca="1" si="64"/>
        <v>0.1</v>
      </c>
      <c r="B180" s="304">
        <f t="shared" ca="1" si="65"/>
        <v>8.5999999999999872</v>
      </c>
      <c r="D180" s="306">
        <f t="shared" ca="1" si="66"/>
        <v>-0.52366842771438127</v>
      </c>
      <c r="E180" s="307">
        <f t="shared" ca="1" si="67"/>
        <v>-10.303171461206242</v>
      </c>
      <c r="F180" s="304">
        <f t="shared" ca="1" si="68"/>
        <v>10.316470849142144</v>
      </c>
      <c r="G180" s="306">
        <f t="shared" ca="1" si="69"/>
        <v>24.081985895246707</v>
      </c>
      <c r="H180" s="307">
        <f t="shared" ca="1" si="70"/>
        <v>21.698519222771662</v>
      </c>
      <c r="I180" s="304">
        <f t="shared" ca="1" si="71"/>
        <v>32.415548447000745</v>
      </c>
      <c r="J180" s="306">
        <f t="shared" ca="1" si="72"/>
        <v>383.68960476186857</v>
      </c>
      <c r="K180" s="307">
        <f t="shared" ca="1" si="73"/>
        <v>1228.2080005773382</v>
      </c>
      <c r="L180" s="304">
        <f t="shared" ca="1" si="58"/>
        <v>1286.7449652065873</v>
      </c>
      <c r="M180" s="306">
        <f t="shared" ca="1" si="74"/>
        <v>0.73338220896298634</v>
      </c>
      <c r="N180" s="304">
        <f t="shared" ca="1" si="75"/>
        <v>42.019705343560531</v>
      </c>
      <c r="P180" s="310">
        <f t="shared" ca="1" si="76"/>
        <v>23</v>
      </c>
      <c r="Q180" s="304">
        <f t="shared" ca="1" si="77"/>
        <v>0</v>
      </c>
      <c r="R180" s="306">
        <f t="shared" ca="1" si="78"/>
        <v>0</v>
      </c>
      <c r="S180" s="307">
        <f t="shared" ca="1" si="79"/>
        <v>5.083000000000002</v>
      </c>
      <c r="T180" s="304">
        <f t="shared" ca="1" si="59"/>
        <v>49.86423000000002</v>
      </c>
      <c r="U180" s="311">
        <f t="shared" ca="1" si="60"/>
        <v>0</v>
      </c>
      <c r="V180" s="306">
        <f t="shared" ca="1" si="61"/>
        <v>1.0832494762943419</v>
      </c>
      <c r="W180" s="304">
        <f t="shared" ca="1" si="62"/>
        <v>3.4949315484399945</v>
      </c>
      <c r="Y180" s="314" t="str">
        <f t="shared" ca="1" si="80"/>
        <v/>
      </c>
      <c r="Z180" s="315" t="str">
        <f t="shared" ca="1" si="81"/>
        <v/>
      </c>
      <c r="AA180" s="316" t="str">
        <f t="shared" ca="1" si="82"/>
        <v/>
      </c>
      <c r="AC180" s="310" t="e">
        <f t="shared" ca="1" si="83"/>
        <v>#N/A</v>
      </c>
      <c r="AD180" s="323" t="e">
        <f t="shared" ca="1" si="84"/>
        <v>#N/A</v>
      </c>
      <c r="AE180" s="324">
        <f t="shared" ca="1" si="63"/>
        <v>1228.2080005773382</v>
      </c>
      <c r="AG180" s="306">
        <f t="shared" ca="1" si="85"/>
        <v>-7.4449856038539517</v>
      </c>
      <c r="AH180" s="304">
        <f t="shared" ca="1" si="86"/>
        <v>-0.71933769005464454</v>
      </c>
    </row>
    <row r="181" spans="1:34" x14ac:dyDescent="0.2">
      <c r="A181" s="347">
        <f t="shared" ca="1" si="64"/>
        <v>0.1</v>
      </c>
      <c r="B181" s="304">
        <f t="shared" ca="1" si="65"/>
        <v>8.6999999999999869</v>
      </c>
      <c r="D181" s="306">
        <f t="shared" ca="1" si="66"/>
        <v>-0.51080776219144264</v>
      </c>
      <c r="E181" s="307">
        <f t="shared" ca="1" si="67"/>
        <v>-10.270251579552653</v>
      </c>
      <c r="F181" s="304">
        <f t="shared" ca="1" si="68"/>
        <v>10.282946663151511</v>
      </c>
      <c r="G181" s="306">
        <f t="shared" ca="1" si="69"/>
        <v>24.030905119027562</v>
      </c>
      <c r="H181" s="307">
        <f t="shared" ca="1" si="70"/>
        <v>20.671494064816397</v>
      </c>
      <c r="I181" s="304">
        <f t="shared" ca="1" si="71"/>
        <v>31.698502609925356</v>
      </c>
      <c r="J181" s="306">
        <f t="shared" ca="1" si="72"/>
        <v>386.09524931258227</v>
      </c>
      <c r="K181" s="307">
        <f t="shared" ca="1" si="73"/>
        <v>1230.3265012417176</v>
      </c>
      <c r="L181" s="304">
        <f t="shared" ca="1" si="58"/>
        <v>1289.4854947611591</v>
      </c>
      <c r="M181" s="306">
        <f t="shared" ca="1" si="74"/>
        <v>0.71038858346673006</v>
      </c>
      <c r="N181" s="304">
        <f t="shared" ca="1" si="75"/>
        <v>40.702267646920646</v>
      </c>
      <c r="P181" s="310">
        <f t="shared" ca="1" si="76"/>
        <v>23</v>
      </c>
      <c r="Q181" s="304">
        <f t="shared" ca="1" si="77"/>
        <v>0</v>
      </c>
      <c r="R181" s="306">
        <f t="shared" ca="1" si="78"/>
        <v>0</v>
      </c>
      <c r="S181" s="307">
        <f t="shared" ca="1" si="79"/>
        <v>5.083000000000002</v>
      </c>
      <c r="T181" s="304">
        <f t="shared" ca="1" si="59"/>
        <v>49.86423000000002</v>
      </c>
      <c r="U181" s="311">
        <f t="shared" ca="1" si="60"/>
        <v>0</v>
      </c>
      <c r="V181" s="306">
        <f t="shared" ca="1" si="61"/>
        <v>1.0830191440830688</v>
      </c>
      <c r="W181" s="304">
        <f t="shared" ca="1" si="62"/>
        <v>3.3413122780011464</v>
      </c>
      <c r="Y181" s="314" t="str">
        <f t="shared" ca="1" si="80"/>
        <v/>
      </c>
      <c r="Z181" s="315" t="str">
        <f t="shared" ca="1" si="81"/>
        <v/>
      </c>
      <c r="AA181" s="316" t="str">
        <f t="shared" ca="1" si="82"/>
        <v/>
      </c>
      <c r="AC181" s="310" t="e">
        <f t="shared" ca="1" si="83"/>
        <v>#N/A</v>
      </c>
      <c r="AD181" s="323" t="e">
        <f t="shared" ca="1" si="84"/>
        <v>#N/A</v>
      </c>
      <c r="AE181" s="324">
        <f t="shared" ca="1" si="63"/>
        <v>1230.3265012417176</v>
      </c>
      <c r="AG181" s="306">
        <f t="shared" ca="1" si="85"/>
        <v>-7.254250750388227</v>
      </c>
      <c r="AH181" s="304">
        <f t="shared" ca="1" si="86"/>
        <v>-0.68757260445406121</v>
      </c>
    </row>
    <row r="182" spans="1:34" x14ac:dyDescent="0.2">
      <c r="A182" s="347">
        <f t="shared" ca="1" si="64"/>
        <v>0.1</v>
      </c>
      <c r="B182" s="304">
        <f t="shared" ca="1" si="65"/>
        <v>8.7999999999999865</v>
      </c>
      <c r="D182" s="306">
        <f t="shared" ca="1" si="66"/>
        <v>-0.49834297246489456</v>
      </c>
      <c r="E182" s="307">
        <f t="shared" ca="1" si="67"/>
        <v>-10.238676895294899</v>
      </c>
      <c r="F182" s="304">
        <f t="shared" ca="1" si="68"/>
        <v>10.25079754382315</v>
      </c>
      <c r="G182" s="306">
        <f t="shared" ca="1" si="69"/>
        <v>23.981070821781071</v>
      </c>
      <c r="H182" s="307">
        <f t="shared" ca="1" si="70"/>
        <v>19.647626375286908</v>
      </c>
      <c r="I182" s="304">
        <f t="shared" ca="1" si="71"/>
        <v>31.001951227981589</v>
      </c>
      <c r="J182" s="306">
        <f t="shared" ca="1" si="72"/>
        <v>388.49584810962273</v>
      </c>
      <c r="K182" s="307">
        <f t="shared" ca="1" si="73"/>
        <v>1232.3424572637227</v>
      </c>
      <c r="L182" s="304">
        <f t="shared" ca="1" si="58"/>
        <v>1292.1288465061082</v>
      </c>
      <c r="M182" s="306">
        <f t="shared" ca="1" si="74"/>
        <v>0.68639732537293263</v>
      </c>
      <c r="N182" s="304">
        <f t="shared" ca="1" si="75"/>
        <v>39.327669812936975</v>
      </c>
      <c r="P182" s="310">
        <f t="shared" ca="1" si="76"/>
        <v>23</v>
      </c>
      <c r="Q182" s="304">
        <f t="shared" ca="1" si="77"/>
        <v>0</v>
      </c>
      <c r="R182" s="306">
        <f t="shared" ca="1" si="78"/>
        <v>0</v>
      </c>
      <c r="S182" s="307">
        <f t="shared" ca="1" si="79"/>
        <v>5.083000000000002</v>
      </c>
      <c r="T182" s="304">
        <f t="shared" ca="1" si="59"/>
        <v>49.86423000000002</v>
      </c>
      <c r="U182" s="311">
        <f t="shared" ca="1" si="60"/>
        <v>0</v>
      </c>
      <c r="V182" s="306">
        <f t="shared" ca="1" si="61"/>
        <v>1.0828000036325141</v>
      </c>
      <c r="W182" s="304">
        <f t="shared" ca="1" si="62"/>
        <v>3.1954332095743476</v>
      </c>
      <c r="Y182" s="314" t="str">
        <f t="shared" ca="1" si="80"/>
        <v/>
      </c>
      <c r="Z182" s="315" t="str">
        <f t="shared" ca="1" si="81"/>
        <v/>
      </c>
      <c r="AA182" s="316" t="str">
        <f t="shared" ca="1" si="82"/>
        <v/>
      </c>
      <c r="AC182" s="310" t="e">
        <f t="shared" ca="1" si="83"/>
        <v>#N/A</v>
      </c>
      <c r="AD182" s="323" t="e">
        <f t="shared" ca="1" si="84"/>
        <v>#N/A</v>
      </c>
      <c r="AE182" s="324">
        <f t="shared" ca="1" si="63"/>
        <v>1232.3424572637227</v>
      </c>
      <c r="AG182" s="306">
        <f t="shared" ca="1" si="85"/>
        <v>-7.0547301275574652</v>
      </c>
      <c r="AH182" s="304">
        <f t="shared" ca="1" si="86"/>
        <v>-0.65735043832404982</v>
      </c>
    </row>
    <row r="183" spans="1:34" x14ac:dyDescent="0.2">
      <c r="A183" s="347">
        <f t="shared" ca="1" si="64"/>
        <v>0.1</v>
      </c>
      <c r="B183" s="304">
        <f t="shared" ca="1" si="65"/>
        <v>8.8999999999999861</v>
      </c>
      <c r="D183" s="306">
        <f t="shared" ca="1" si="66"/>
        <v>-0.48628310119513091</v>
      </c>
      <c r="E183" s="307">
        <f t="shared" ca="1" si="67"/>
        <v>-10.208410427787069</v>
      </c>
      <c r="F183" s="304">
        <f t="shared" ca="1" si="68"/>
        <v>10.219986042879887</v>
      </c>
      <c r="G183" s="306">
        <f t="shared" ca="1" si="69"/>
        <v>23.932442511661556</v>
      </c>
      <c r="H183" s="307">
        <f t="shared" ca="1" si="70"/>
        <v>18.626785332508202</v>
      </c>
      <c r="I183" s="304">
        <f t="shared" ca="1" si="71"/>
        <v>30.326868226002631</v>
      </c>
      <c r="J183" s="306">
        <f t="shared" ca="1" si="72"/>
        <v>390.89152377629483</v>
      </c>
      <c r="K183" s="307">
        <f t="shared" ca="1" si="73"/>
        <v>1234.2561778491124</v>
      </c>
      <c r="L183" s="304">
        <f t="shared" ca="1" si="58"/>
        <v>1294.6754403783418</v>
      </c>
      <c r="M183" s="306">
        <f t="shared" ca="1" si="74"/>
        <v>0.66137277316045662</v>
      </c>
      <c r="N183" s="304">
        <f t="shared" ca="1" si="75"/>
        <v>37.893868586957332</v>
      </c>
      <c r="P183" s="310">
        <f t="shared" ca="1" si="76"/>
        <v>23</v>
      </c>
      <c r="Q183" s="304">
        <f t="shared" ca="1" si="77"/>
        <v>0</v>
      </c>
      <c r="R183" s="306">
        <f t="shared" ca="1" si="78"/>
        <v>0</v>
      </c>
      <c r="S183" s="307">
        <f t="shared" ca="1" si="79"/>
        <v>5.083000000000002</v>
      </c>
      <c r="T183" s="304">
        <f t="shared" ca="1" si="59"/>
        <v>49.86423000000002</v>
      </c>
      <c r="U183" s="311">
        <f t="shared" ca="1" si="60"/>
        <v>0</v>
      </c>
      <c r="V183" s="306">
        <f t="shared" ca="1" si="61"/>
        <v>1.0825920149779118</v>
      </c>
      <c r="W183" s="304">
        <f t="shared" ca="1" si="62"/>
        <v>3.0571967297984055</v>
      </c>
      <c r="Y183" s="314" t="str">
        <f t="shared" ca="1" si="80"/>
        <v/>
      </c>
      <c r="Z183" s="315" t="str">
        <f t="shared" ca="1" si="81"/>
        <v/>
      </c>
      <c r="AA183" s="316" t="str">
        <f t="shared" ca="1" si="82"/>
        <v/>
      </c>
      <c r="AC183" s="310" t="e">
        <f t="shared" ca="1" si="83"/>
        <v>#N/A</v>
      </c>
      <c r="AD183" s="323" t="e">
        <f t="shared" ca="1" si="84"/>
        <v>#N/A</v>
      </c>
      <c r="AE183" s="324">
        <f t="shared" ca="1" si="63"/>
        <v>1234.2561778491124</v>
      </c>
      <c r="AG183" s="306">
        <f t="shared" ca="1" si="85"/>
        <v>-6.8457827670015483</v>
      </c>
      <c r="AH183" s="304">
        <f t="shared" ca="1" si="86"/>
        <v>-0.62865103473821493</v>
      </c>
    </row>
    <row r="184" spans="1:34" x14ac:dyDescent="0.2">
      <c r="A184" s="347">
        <f t="shared" ca="1" si="64"/>
        <v>0.1</v>
      </c>
      <c r="B184" s="304">
        <f t="shared" ca="1" si="65"/>
        <v>8.9999999999999858</v>
      </c>
      <c r="D184" s="306">
        <f t="shared" ca="1" si="66"/>
        <v>-0.47463825298977103</v>
      </c>
      <c r="E184" s="307">
        <f t="shared" ca="1" si="67"/>
        <v>-10.179414231110313</v>
      </c>
      <c r="F184" s="304">
        <f t="shared" ca="1" si="68"/>
        <v>10.190473765224674</v>
      </c>
      <c r="G184" s="306">
        <f t="shared" ca="1" si="69"/>
        <v>23.884978686362579</v>
      </c>
      <c r="H184" s="307">
        <f t="shared" ca="1" si="70"/>
        <v>17.608843909397169</v>
      </c>
      <c r="I184" s="304">
        <f t="shared" ca="1" si="71"/>
        <v>29.674291746788306</v>
      </c>
      <c r="J184" s="306">
        <f t="shared" ca="1" si="72"/>
        <v>393.28239483619603</v>
      </c>
      <c r="K184" s="307">
        <f t="shared" ca="1" si="73"/>
        <v>1236.0679593112077</v>
      </c>
      <c r="L184" s="304">
        <f t="shared" ca="1" si="58"/>
        <v>1297.1256847830387</v>
      </c>
      <c r="M184" s="306">
        <f t="shared" ca="1" si="74"/>
        <v>0.63528137323842726</v>
      </c>
      <c r="N184" s="304">
        <f t="shared" ca="1" si="75"/>
        <v>36.398941489837085</v>
      </c>
      <c r="P184" s="310">
        <f t="shared" ca="1" si="76"/>
        <v>23</v>
      </c>
      <c r="Q184" s="304">
        <f t="shared" ca="1" si="77"/>
        <v>0</v>
      </c>
      <c r="R184" s="306">
        <f t="shared" ca="1" si="78"/>
        <v>0</v>
      </c>
      <c r="S184" s="307">
        <f t="shared" ca="1" si="79"/>
        <v>5.083000000000002</v>
      </c>
      <c r="T184" s="304">
        <f t="shared" ca="1" si="59"/>
        <v>49.86423000000002</v>
      </c>
      <c r="U184" s="311">
        <f t="shared" ca="1" si="60"/>
        <v>0</v>
      </c>
      <c r="V184" s="306">
        <f t="shared" ca="1" si="61"/>
        <v>1.0823951399046718</v>
      </c>
      <c r="W184" s="304">
        <f t="shared" ca="1" si="62"/>
        <v>2.9265098919355763</v>
      </c>
      <c r="Y184" s="314" t="str">
        <f t="shared" ca="1" si="80"/>
        <v/>
      </c>
      <c r="Z184" s="315" t="str">
        <f t="shared" ca="1" si="81"/>
        <v/>
      </c>
      <c r="AA184" s="316" t="str">
        <f t="shared" ca="1" si="82"/>
        <v/>
      </c>
      <c r="AC184" s="310">
        <f t="shared" ca="1" si="83"/>
        <v>8.9999999999999858</v>
      </c>
      <c r="AD184" s="323">
        <f t="shared" ca="1" si="84"/>
        <v>393.28239483619603</v>
      </c>
      <c r="AE184" s="324">
        <f t="shared" ca="1" si="63"/>
        <v>1236.0679593112077</v>
      </c>
      <c r="AG184" s="306">
        <f t="shared" ca="1" si="85"/>
        <v>-6.6267645870789469</v>
      </c>
      <c r="AH184" s="304">
        <f t="shared" ca="1" si="86"/>
        <v>-0.60145518980885393</v>
      </c>
    </row>
    <row r="185" spans="1:34" x14ac:dyDescent="0.2">
      <c r="A185" s="347">
        <f t="shared" ca="1" si="64"/>
        <v>0.1</v>
      </c>
      <c r="B185" s="304">
        <f t="shared" ca="1" si="65"/>
        <v>9.0999999999999854</v>
      </c>
      <c r="D185" s="306">
        <f t="shared" ca="1" si="66"/>
        <v>-0.46341958354652557</v>
      </c>
      <c r="E185" s="307">
        <f t="shared" ca="1" si="67"/>
        <v>-10.15164916864204</v>
      </c>
      <c r="F185" s="304">
        <f t="shared" ca="1" si="68"/>
        <v>10.162221142722936</v>
      </c>
      <c r="G185" s="306">
        <f t="shared" ca="1" si="69"/>
        <v>23.838636728007927</v>
      </c>
      <c r="H185" s="307">
        <f t="shared" ca="1" si="70"/>
        <v>16.593678992532965</v>
      </c>
      <c r="I185" s="304">
        <f t="shared" ca="1" si="71"/>
        <v>29.04532292051783</v>
      </c>
      <c r="J185" s="306">
        <f t="shared" ca="1" si="72"/>
        <v>395.66857560691454</v>
      </c>
      <c r="K185" s="307">
        <f t="shared" ca="1" si="73"/>
        <v>1237.7780854563041</v>
      </c>
      <c r="L185" s="304">
        <f t="shared" ca="1" si="58"/>
        <v>1299.4799769748968</v>
      </c>
      <c r="M185" s="306">
        <f t="shared" ca="1" si="74"/>
        <v>0.60809252548553905</v>
      </c>
      <c r="N185" s="304">
        <f t="shared" ca="1" si="75"/>
        <v>34.841135263772841</v>
      </c>
      <c r="P185" s="310">
        <f t="shared" ca="1" si="76"/>
        <v>23</v>
      </c>
      <c r="Q185" s="304">
        <f t="shared" ca="1" si="77"/>
        <v>0</v>
      </c>
      <c r="R185" s="306">
        <f t="shared" ca="1" si="78"/>
        <v>0</v>
      </c>
      <c r="S185" s="307">
        <f t="shared" ca="1" si="79"/>
        <v>5.083000000000002</v>
      </c>
      <c r="T185" s="304">
        <f t="shared" ca="1" si="59"/>
        <v>49.86423000000002</v>
      </c>
      <c r="U185" s="311">
        <f t="shared" ca="1" si="60"/>
        <v>0</v>
      </c>
      <c r="V185" s="306">
        <f t="shared" ca="1" si="61"/>
        <v>1.0822093419017009</v>
      </c>
      <c r="W185" s="304">
        <f t="shared" ca="1" si="62"/>
        <v>2.8032842404739813</v>
      </c>
      <c r="Y185" s="314" t="str">
        <f t="shared" ca="1" si="80"/>
        <v/>
      </c>
      <c r="Z185" s="315" t="str">
        <f t="shared" ca="1" si="81"/>
        <v/>
      </c>
      <c r="AA185" s="316" t="str">
        <f t="shared" ca="1" si="82"/>
        <v/>
      </c>
      <c r="AC185" s="310" t="e">
        <f t="shared" ca="1" si="83"/>
        <v>#N/A</v>
      </c>
      <c r="AD185" s="323" t="e">
        <f t="shared" ca="1" si="84"/>
        <v>#N/A</v>
      </c>
      <c r="AE185" s="324">
        <f t="shared" ca="1" si="63"/>
        <v>1237.7780854563041</v>
      </c>
      <c r="AG185" s="306">
        <f t="shared" ca="1" si="85"/>
        <v>-6.3970380196176491</v>
      </c>
      <c r="AH185" s="304">
        <f t="shared" ca="1" si="86"/>
        <v>-0.57574461773275132</v>
      </c>
    </row>
    <row r="186" spans="1:34" x14ac:dyDescent="0.2">
      <c r="A186" s="347">
        <f t="shared" ca="1" si="64"/>
        <v>0.1</v>
      </c>
      <c r="B186" s="304">
        <f t="shared" ca="1" si="65"/>
        <v>9.1999999999999851</v>
      </c>
      <c r="D186" s="306">
        <f t="shared" ca="1" si="66"/>
        <v>-0.45263927252874964</v>
      </c>
      <c r="E186" s="307">
        <f t="shared" ca="1" si="67"/>
        <v>-10.125074677862393</v>
      </c>
      <c r="F186" s="304">
        <f t="shared" ca="1" si="68"/>
        <v>10.13518719823791</v>
      </c>
      <c r="G186" s="306">
        <f t="shared" ca="1" si="69"/>
        <v>23.793372800755051</v>
      </c>
      <c r="H186" s="307">
        <f t="shared" ca="1" si="70"/>
        <v>15.581171524746726</v>
      </c>
      <c r="I186" s="304">
        <f t="shared" ca="1" si="71"/>
        <v>28.441123313246408</v>
      </c>
      <c r="J186" s="306">
        <f t="shared" ca="1" si="72"/>
        <v>398.05017608335271</v>
      </c>
      <c r="K186" s="307">
        <f t="shared" ca="1" si="73"/>
        <v>1239.3868279821681</v>
      </c>
      <c r="L186" s="304">
        <f t="shared" ca="1" si="58"/>
        <v>1301.7387034484643</v>
      </c>
      <c r="M186" s="306">
        <f t="shared" ca="1" si="74"/>
        <v>0.57977955127033842</v>
      </c>
      <c r="N186" s="304">
        <f t="shared" ca="1" si="75"/>
        <v>33.218921335779122</v>
      </c>
      <c r="P186" s="310">
        <f t="shared" ca="1" si="76"/>
        <v>23</v>
      </c>
      <c r="Q186" s="304">
        <f t="shared" ca="1" si="77"/>
        <v>0</v>
      </c>
      <c r="R186" s="306">
        <f t="shared" ca="1" si="78"/>
        <v>0</v>
      </c>
      <c r="S186" s="307">
        <f t="shared" ca="1" si="79"/>
        <v>5.083000000000002</v>
      </c>
      <c r="T186" s="304">
        <f t="shared" ca="1" si="59"/>
        <v>49.86423000000002</v>
      </c>
      <c r="U186" s="311">
        <f t="shared" ca="1" si="60"/>
        <v>0</v>
      </c>
      <c r="V186" s="306">
        <f t="shared" ca="1" si="61"/>
        <v>1.0820345861135769</v>
      </c>
      <c r="W186" s="304">
        <f t="shared" ca="1" si="62"/>
        <v>2.6874356371658732</v>
      </c>
      <c r="Y186" s="314" t="str">
        <f t="shared" ca="1" si="80"/>
        <v/>
      </c>
      <c r="Z186" s="315" t="str">
        <f t="shared" ca="1" si="81"/>
        <v/>
      </c>
      <c r="AA186" s="316" t="str">
        <f t="shared" ca="1" si="82"/>
        <v/>
      </c>
      <c r="AC186" s="310" t="e">
        <f t="shared" ca="1" si="83"/>
        <v>#N/A</v>
      </c>
      <c r="AD186" s="323" t="e">
        <f t="shared" ca="1" si="84"/>
        <v>#N/A</v>
      </c>
      <c r="AE186" s="324">
        <f t="shared" ca="1" si="63"/>
        <v>1239.3868279821681</v>
      </c>
      <c r="AG186" s="306">
        <f t="shared" ca="1" si="85"/>
        <v>-6.1559839653291615</v>
      </c>
      <c r="AH186" s="304">
        <f t="shared" ca="1" si="86"/>
        <v>-0.55150191628447376</v>
      </c>
    </row>
    <row r="187" spans="1:34" x14ac:dyDescent="0.2">
      <c r="A187" s="347">
        <f t="shared" ca="1" si="64"/>
        <v>0.1</v>
      </c>
      <c r="B187" s="304">
        <f t="shared" ca="1" si="65"/>
        <v>9.2999999999999847</v>
      </c>
      <c r="D187" s="306">
        <f t="shared" ca="1" si="66"/>
        <v>-0.44231047652719224</v>
      </c>
      <c r="E187" s="307">
        <f t="shared" ca="1" si="67"/>
        <v>-10.099648527750716</v>
      </c>
      <c r="F187" s="304">
        <f t="shared" ca="1" si="68"/>
        <v>10.1093293022704</v>
      </c>
      <c r="G187" s="306">
        <f t="shared" ca="1" si="69"/>
        <v>23.749141753102332</v>
      </c>
      <c r="H187" s="307">
        <f t="shared" ca="1" si="70"/>
        <v>14.571206671971654</v>
      </c>
      <c r="I187" s="304">
        <f t="shared" ca="1" si="71"/>
        <v>27.862910793494994</v>
      </c>
      <c r="J187" s="306">
        <f t="shared" ca="1" si="72"/>
        <v>400.4273018110456</v>
      </c>
      <c r="K187" s="307">
        <f t="shared" ca="1" si="73"/>
        <v>1240.894446892004</v>
      </c>
      <c r="L187" s="304">
        <f t="shared" ca="1" si="58"/>
        <v>1303.902240339776</v>
      </c>
      <c r="M187" s="306">
        <f t="shared" ca="1" si="74"/>
        <v>0.55032078168939236</v>
      </c>
      <c r="N187" s="304">
        <f t="shared" ca="1" si="75"/>
        <v>31.531058169142536</v>
      </c>
      <c r="P187" s="310">
        <f t="shared" ca="1" si="76"/>
        <v>23</v>
      </c>
      <c r="Q187" s="304">
        <f t="shared" ca="1" si="77"/>
        <v>0</v>
      </c>
      <c r="R187" s="306">
        <f t="shared" ca="1" si="78"/>
        <v>0</v>
      </c>
      <c r="S187" s="307">
        <f t="shared" ca="1" si="79"/>
        <v>5.083000000000002</v>
      </c>
      <c r="T187" s="304">
        <f t="shared" ca="1" si="59"/>
        <v>49.86423000000002</v>
      </c>
      <c r="U187" s="311">
        <f t="shared" ca="1" si="60"/>
        <v>0</v>
      </c>
      <c r="V187" s="306">
        <f t="shared" ca="1" si="61"/>
        <v>1.0818708392913154</v>
      </c>
      <c r="W187" s="304">
        <f t="shared" ca="1" si="62"/>
        <v>2.5788840876556627</v>
      </c>
      <c r="Y187" s="314" t="str">
        <f t="shared" ca="1" si="80"/>
        <v/>
      </c>
      <c r="Z187" s="315" t="str">
        <f t="shared" ca="1" si="81"/>
        <v/>
      </c>
      <c r="AA187" s="316" t="str">
        <f t="shared" ca="1" si="82"/>
        <v/>
      </c>
      <c r="AC187" s="310" t="e">
        <f t="shared" ca="1" si="83"/>
        <v>#N/A</v>
      </c>
      <c r="AD187" s="323" t="e">
        <f t="shared" ca="1" si="84"/>
        <v>#N/A</v>
      </c>
      <c r="AE187" s="324">
        <f t="shared" ca="1" si="63"/>
        <v>1240.894446892004</v>
      </c>
      <c r="AG187" s="306">
        <f t="shared" ca="1" si="85"/>
        <v>-5.9030162860704234</v>
      </c>
      <c r="AH187" s="304">
        <f t="shared" ca="1" si="86"/>
        <v>-0.52871053259214484</v>
      </c>
    </row>
    <row r="188" spans="1:34" x14ac:dyDescent="0.2">
      <c r="A188" s="347">
        <f t="shared" ca="1" si="64"/>
        <v>0.1</v>
      </c>
      <c r="B188" s="304">
        <f t="shared" ca="1" si="65"/>
        <v>9.3999999999999844</v>
      </c>
      <c r="D188" s="306">
        <f t="shared" ca="1" si="66"/>
        <v>-0.43244725822527769</v>
      </c>
      <c r="E188" s="307">
        <f t="shared" ca="1" si="67"/>
        <v>-10.07532657221202</v>
      </c>
      <c r="F188" s="304">
        <f t="shared" ca="1" si="68"/>
        <v>10.08460292564205</v>
      </c>
      <c r="G188" s="306">
        <f t="shared" ca="1" si="69"/>
        <v>23.705897027279804</v>
      </c>
      <c r="H188" s="307">
        <f t="shared" ca="1" si="70"/>
        <v>13.563674014750452</v>
      </c>
      <c r="I188" s="304">
        <f t="shared" ca="1" si="71"/>
        <v>27.311953548701162</v>
      </c>
      <c r="J188" s="306">
        <f t="shared" ca="1" si="72"/>
        <v>402.80005375006471</v>
      </c>
      <c r="K188" s="307">
        <f t="shared" ca="1" si="73"/>
        <v>1242.30119092634</v>
      </c>
      <c r="L188" s="304">
        <f t="shared" ca="1" si="58"/>
        <v>1305.9709538416457</v>
      </c>
      <c r="M188" s="306">
        <f t="shared" ca="1" si="74"/>
        <v>0.51970075645318359</v>
      </c>
      <c r="N188" s="304">
        <f t="shared" ca="1" si="75"/>
        <v>29.776659954523701</v>
      </c>
      <c r="P188" s="310">
        <f t="shared" ca="1" si="76"/>
        <v>23</v>
      </c>
      <c r="Q188" s="304">
        <f t="shared" ca="1" si="77"/>
        <v>0</v>
      </c>
      <c r="R188" s="306">
        <f t="shared" ca="1" si="78"/>
        <v>0</v>
      </c>
      <c r="S188" s="307">
        <f t="shared" ca="1" si="79"/>
        <v>5.083000000000002</v>
      </c>
      <c r="T188" s="304">
        <f t="shared" ca="1" si="59"/>
        <v>49.86423000000002</v>
      </c>
      <c r="U188" s="311">
        <f t="shared" ca="1" si="60"/>
        <v>0</v>
      </c>
      <c r="V188" s="306">
        <f t="shared" ca="1" si="61"/>
        <v>1.0817180697414448</v>
      </c>
      <c r="W188" s="304">
        <f t="shared" ca="1" si="62"/>
        <v>2.4775535678509044</v>
      </c>
      <c r="Y188" s="314" t="str">
        <f t="shared" ca="1" si="80"/>
        <v/>
      </c>
      <c r="Z188" s="315" t="str">
        <f t="shared" ca="1" si="81"/>
        <v/>
      </c>
      <c r="AA188" s="316" t="str">
        <f t="shared" ca="1" si="82"/>
        <v/>
      </c>
      <c r="AC188" s="310" t="e">
        <f t="shared" ca="1" si="83"/>
        <v>#N/A</v>
      </c>
      <c r="AD188" s="323" t="e">
        <f t="shared" ca="1" si="84"/>
        <v>#N/A</v>
      </c>
      <c r="AE188" s="324">
        <f t="shared" ca="1" si="63"/>
        <v>1242.30119092634</v>
      </c>
      <c r="AG188" s="306">
        <f t="shared" ca="1" si="85"/>
        <v>-5.6375989634332919</v>
      </c>
      <c r="AH188" s="304">
        <f t="shared" ca="1" si="86"/>
        <v>-0.50735472902924683</v>
      </c>
    </row>
    <row r="189" spans="1:34" x14ac:dyDescent="0.2">
      <c r="A189" s="347">
        <f t="shared" ca="1" si="64"/>
        <v>0.1</v>
      </c>
      <c r="B189" s="304">
        <f t="shared" ca="1" si="65"/>
        <v>9.499999999999984</v>
      </c>
      <c r="D189" s="306">
        <f t="shared" ca="1" si="66"/>
        <v>-0.4230644878037555</v>
      </c>
      <c r="E189" s="307">
        <f t="shared" ca="1" si="67"/>
        <v>-10.052062504244581</v>
      </c>
      <c r="F189" s="304">
        <f t="shared" ca="1" si="68"/>
        <v>10.06096139293261</v>
      </c>
      <c r="G189" s="306">
        <f t="shared" ca="1" si="69"/>
        <v>23.663590578499427</v>
      </c>
      <c r="H189" s="307">
        <f t="shared" ca="1" si="70"/>
        <v>12.558467764325995</v>
      </c>
      <c r="I189" s="304">
        <f t="shared" ca="1" si="71"/>
        <v>26.789561990716869</v>
      </c>
      <c r="J189" s="306">
        <f t="shared" ca="1" si="72"/>
        <v>405.16852813035365</v>
      </c>
      <c r="K189" s="307">
        <f t="shared" ca="1" si="73"/>
        <v>1243.607298015294</v>
      </c>
      <c r="L189" s="304">
        <f t="shared" ca="1" si="58"/>
        <v>1307.9452006350332</v>
      </c>
      <c r="M189" s="306">
        <f t="shared" ca="1" si="74"/>
        <v>0.48791151450117992</v>
      </c>
      <c r="N189" s="304">
        <f t="shared" ca="1" si="75"/>
        <v>27.955270556753675</v>
      </c>
      <c r="P189" s="310">
        <f t="shared" ca="1" si="76"/>
        <v>23</v>
      </c>
      <c r="Q189" s="304">
        <f t="shared" ca="1" si="77"/>
        <v>0</v>
      </c>
      <c r="R189" s="306">
        <f t="shared" ca="1" si="78"/>
        <v>0</v>
      </c>
      <c r="S189" s="307">
        <f t="shared" ca="1" si="79"/>
        <v>5.083000000000002</v>
      </c>
      <c r="T189" s="304">
        <f t="shared" ca="1" si="59"/>
        <v>49.86423000000002</v>
      </c>
      <c r="U189" s="311">
        <f t="shared" ca="1" si="60"/>
        <v>0</v>
      </c>
      <c r="V189" s="306">
        <f t="shared" ca="1" si="61"/>
        <v>1.0815762472731212</v>
      </c>
      <c r="W189" s="304">
        <f t="shared" ca="1" si="62"/>
        <v>2.3833718491987828</v>
      </c>
      <c r="Y189" s="314" t="str">
        <f t="shared" ca="1" si="80"/>
        <v/>
      </c>
      <c r="Z189" s="315" t="str">
        <f t="shared" ca="1" si="81"/>
        <v/>
      </c>
      <c r="AA189" s="316" t="str">
        <f t="shared" ca="1" si="82"/>
        <v/>
      </c>
      <c r="AC189" s="310" t="e">
        <f t="shared" ca="1" si="83"/>
        <v>#N/A</v>
      </c>
      <c r="AD189" s="323" t="e">
        <f t="shared" ca="1" si="84"/>
        <v>#N/A</v>
      </c>
      <c r="AE189" s="324">
        <f t="shared" ca="1" si="63"/>
        <v>1243.607298015294</v>
      </c>
      <c r="AG189" s="306">
        <f t="shared" ca="1" si="85"/>
        <v>-5.3592659311697277</v>
      </c>
      <c r="AH189" s="304">
        <f t="shared" ca="1" si="86"/>
        <v>-0.4874195490558535</v>
      </c>
    </row>
    <row r="190" spans="1:34" x14ac:dyDescent="0.2">
      <c r="A190" s="347">
        <f t="shared" ca="1" si="64"/>
        <v>0.1</v>
      </c>
      <c r="B190" s="304">
        <f t="shared" ca="1" si="65"/>
        <v>9.5999999999999837</v>
      </c>
      <c r="D190" s="306">
        <f t="shared" ca="1" si="66"/>
        <v>-0.41417771276402632</v>
      </c>
      <c r="E190" s="307">
        <f t="shared" ca="1" si="67"/>
        <v>-10.029807616988409</v>
      </c>
      <c r="F190" s="304">
        <f t="shared" ca="1" si="68"/>
        <v>10.038355642810686</v>
      </c>
      <c r="G190" s="306">
        <f t="shared" ca="1" si="69"/>
        <v>23.622172807223023</v>
      </c>
      <c r="H190" s="307">
        <f t="shared" ca="1" si="70"/>
        <v>11.555487002627153</v>
      </c>
      <c r="I190" s="304">
        <f t="shared" ca="1" si="71"/>
        <v>26.297078316843336</v>
      </c>
      <c r="J190" s="306">
        <f t="shared" ca="1" si="72"/>
        <v>407.53281629963976</v>
      </c>
      <c r="K190" s="307">
        <f t="shared" ca="1" si="73"/>
        <v>1244.8129957536416</v>
      </c>
      <c r="L190" s="304">
        <f t="shared" ca="1" si="58"/>
        <v>1309.8253283389629</v>
      </c>
      <c r="M190" s="306">
        <f t="shared" ca="1" si="74"/>
        <v>0.45495394610435774</v>
      </c>
      <c r="N190" s="304">
        <f t="shared" ca="1" si="75"/>
        <v>26.06694098460202</v>
      </c>
      <c r="P190" s="310">
        <f t="shared" ca="1" si="76"/>
        <v>23</v>
      </c>
      <c r="Q190" s="304">
        <f t="shared" ca="1" si="77"/>
        <v>0</v>
      </c>
      <c r="R190" s="306">
        <f t="shared" ca="1" si="78"/>
        <v>0</v>
      </c>
      <c r="S190" s="307">
        <f t="shared" ca="1" si="79"/>
        <v>5.083000000000002</v>
      </c>
      <c r="T190" s="304">
        <f t="shared" ca="1" si="59"/>
        <v>49.86423000000002</v>
      </c>
      <c r="U190" s="311">
        <f t="shared" ca="1" si="60"/>
        <v>0</v>
      </c>
      <c r="V190" s="306">
        <f t="shared" ca="1" si="61"/>
        <v>1.0814453431430062</v>
      </c>
      <c r="W190" s="304">
        <f t="shared" ca="1" si="62"/>
        <v>2.2962703220533252</v>
      </c>
      <c r="Y190" s="314" t="str">
        <f t="shared" ca="1" si="80"/>
        <v/>
      </c>
      <c r="Z190" s="315" t="str">
        <f t="shared" ca="1" si="81"/>
        <v/>
      </c>
      <c r="AA190" s="316" t="str">
        <f t="shared" ca="1" si="82"/>
        <v/>
      </c>
      <c r="AC190" s="310" t="e">
        <f t="shared" ca="1" si="83"/>
        <v>#N/A</v>
      </c>
      <c r="AD190" s="323" t="e">
        <f t="shared" ca="1" si="84"/>
        <v>#N/A</v>
      </c>
      <c r="AE190" s="324">
        <f t="shared" ca="1" si="63"/>
        <v>1244.8129957536416</v>
      </c>
      <c r="AG190" s="306">
        <f t="shared" ca="1" si="85"/>
        <v>-5.0676434168267139</v>
      </c>
      <c r="AH190" s="304">
        <f t="shared" ca="1" si="86"/>
        <v>-0.46889078284453706</v>
      </c>
    </row>
    <row r="191" spans="1:34" x14ac:dyDescent="0.2">
      <c r="A191" s="347">
        <f t="shared" ca="1" si="64"/>
        <v>0.1</v>
      </c>
      <c r="B191" s="304">
        <f t="shared" ca="1" si="65"/>
        <v>9.6999999999999833</v>
      </c>
      <c r="D191" s="306">
        <f t="shared" ca="1" si="66"/>
        <v>-0.40580299279557064</v>
      </c>
      <c r="E191" s="307">
        <f t="shared" ca="1" si="67"/>
        <v>-10.008510579324971</v>
      </c>
      <c r="F191" s="304">
        <f t="shared" ca="1" si="68"/>
        <v>10.016734002928386</v>
      </c>
      <c r="G191" s="306">
        <f t="shared" ca="1" si="69"/>
        <v>23.581592507943466</v>
      </c>
      <c r="H191" s="307">
        <f t="shared" ca="1" si="70"/>
        <v>10.554635944694656</v>
      </c>
      <c r="I191" s="304">
        <f t="shared" ca="1" si="71"/>
        <v>25.835863545384658</v>
      </c>
      <c r="J191" s="306">
        <f t="shared" ca="1" si="72"/>
        <v>409.89300456539809</v>
      </c>
      <c r="K191" s="307">
        <f t="shared" ca="1" si="73"/>
        <v>1245.9185019010076</v>
      </c>
      <c r="L191" s="304">
        <f t="shared" ca="1" si="58"/>
        <v>1311.6116759814624</v>
      </c>
      <c r="M191" s="306">
        <f t="shared" ca="1" si="74"/>
        <v>0.4208391632710366</v>
      </c>
      <c r="N191" s="304">
        <f t="shared" ca="1" si="75"/>
        <v>24.112307909247367</v>
      </c>
      <c r="P191" s="310">
        <f t="shared" ca="1" si="76"/>
        <v>23</v>
      </c>
      <c r="Q191" s="304">
        <f t="shared" ca="1" si="77"/>
        <v>0</v>
      </c>
      <c r="R191" s="306">
        <f t="shared" ca="1" si="78"/>
        <v>0</v>
      </c>
      <c r="S191" s="307">
        <f t="shared" ca="1" si="79"/>
        <v>5.083000000000002</v>
      </c>
      <c r="T191" s="304">
        <f t="shared" ca="1" si="59"/>
        <v>49.86423000000002</v>
      </c>
      <c r="U191" s="311">
        <f t="shared" ca="1" si="60"/>
        <v>0</v>
      </c>
      <c r="V191" s="306">
        <f t="shared" ca="1" si="61"/>
        <v>1.0813253299976493</v>
      </c>
      <c r="W191" s="304">
        <f t="shared" ca="1" si="62"/>
        <v>2.2161838163588228</v>
      </c>
      <c r="Y191" s="314" t="str">
        <f t="shared" ca="1" si="80"/>
        <v/>
      </c>
      <c r="Z191" s="315" t="str">
        <f t="shared" ca="1" si="81"/>
        <v/>
      </c>
      <c r="AA191" s="316" t="str">
        <f t="shared" ca="1" si="82"/>
        <v/>
      </c>
      <c r="AC191" s="310" t="e">
        <f t="shared" ca="1" si="83"/>
        <v>#N/A</v>
      </c>
      <c r="AD191" s="323" t="e">
        <f t="shared" ca="1" si="84"/>
        <v>#N/A</v>
      </c>
      <c r="AE191" s="324">
        <f t="shared" ca="1" si="63"/>
        <v>1245.9185019010076</v>
      </c>
      <c r="AG191" s="306">
        <f t="shared" ca="1" si="85"/>
        <v>-4.7624744021975758</v>
      </c>
      <c r="AH191" s="304">
        <f t="shared" ca="1" si="86"/>
        <v>-0.45175493253065596</v>
      </c>
    </row>
    <row r="192" spans="1:34" x14ac:dyDescent="0.2">
      <c r="A192" s="347">
        <f t="shared" ca="1" si="64"/>
        <v>0.1</v>
      </c>
      <c r="B192" s="304">
        <f t="shared" ca="1" si="65"/>
        <v>9.7999999999999829</v>
      </c>
      <c r="D192" s="306">
        <f t="shared" ca="1" si="66"/>
        <v>-0.39795669713963744</v>
      </c>
      <c r="E192" s="307">
        <f t="shared" ca="1" si="67"/>
        <v>-9.9881172352396099</v>
      </c>
      <c r="F192" s="304">
        <f t="shared" ca="1" si="68"/>
        <v>9.9960419885917275</v>
      </c>
      <c r="G192" s="306">
        <f t="shared" ca="1" si="69"/>
        <v>23.541796838229502</v>
      </c>
      <c r="H192" s="307">
        <f t="shared" ca="1" si="70"/>
        <v>9.5558242211706954</v>
      </c>
      <c r="I192" s="304">
        <f t="shared" ca="1" si="71"/>
        <v>25.407281927006384</v>
      </c>
      <c r="J192" s="306">
        <f t="shared" ca="1" si="72"/>
        <v>412.24917403270672</v>
      </c>
      <c r="K192" s="307">
        <f t="shared" ca="1" si="73"/>
        <v>1246.9240249093009</v>
      </c>
      <c r="L192" s="304">
        <f t="shared" ca="1" si="58"/>
        <v>1313.3045744939213</v>
      </c>
      <c r="M192" s="306">
        <f t="shared" ca="1" si="74"/>
        <v>0.38558983144843778</v>
      </c>
      <c r="N192" s="304">
        <f t="shared" ca="1" si="75"/>
        <v>22.092669965156269</v>
      </c>
      <c r="P192" s="310">
        <f t="shared" ca="1" si="76"/>
        <v>23</v>
      </c>
      <c r="Q192" s="304">
        <f t="shared" ca="1" si="77"/>
        <v>0</v>
      </c>
      <c r="R192" s="306">
        <f t="shared" ca="1" si="78"/>
        <v>0</v>
      </c>
      <c r="S192" s="307">
        <f t="shared" ca="1" si="79"/>
        <v>5.083000000000002</v>
      </c>
      <c r="T192" s="304">
        <f t="shared" ca="1" si="59"/>
        <v>49.86423000000002</v>
      </c>
      <c r="U192" s="311">
        <f t="shared" ca="1" si="60"/>
        <v>0</v>
      </c>
      <c r="V192" s="306">
        <f t="shared" ca="1" si="61"/>
        <v>1.0812161818131305</v>
      </c>
      <c r="W192" s="304">
        <f t="shared" ca="1" si="62"/>
        <v>2.1430504189365451</v>
      </c>
      <c r="Y192" s="314" t="str">
        <f t="shared" ca="1" si="80"/>
        <v/>
      </c>
      <c r="Z192" s="315" t="str">
        <f t="shared" ca="1" si="81"/>
        <v/>
      </c>
      <c r="AA192" s="316" t="str">
        <f t="shared" ca="1" si="82"/>
        <v/>
      </c>
      <c r="AC192" s="310" t="e">
        <f t="shared" ca="1" si="83"/>
        <v>#N/A</v>
      </c>
      <c r="AD192" s="323" t="e">
        <f t="shared" ca="1" si="84"/>
        <v>#N/A</v>
      </c>
      <c r="AE192" s="324">
        <f t="shared" ca="1" si="63"/>
        <v>1246.9240249093009</v>
      </c>
      <c r="AG192" s="306">
        <f t="shared" ca="1" si="85"/>
        <v>-4.4436445353167668</v>
      </c>
      <c r="AH192" s="304">
        <f t="shared" ca="1" si="86"/>
        <v>-0.43599917693464924</v>
      </c>
    </row>
    <row r="193" spans="1:34" x14ac:dyDescent="0.2">
      <c r="A193" s="347">
        <f t="shared" ca="1" si="64"/>
        <v>0.1</v>
      </c>
      <c r="B193" s="304">
        <f t="shared" ca="1" si="65"/>
        <v>9.8999999999999826</v>
      </c>
      <c r="D193" s="306">
        <f t="shared" ca="1" si="66"/>
        <v>-0.39065526317548388</v>
      </c>
      <c r="E193" s="307">
        <f t="shared" ca="1" si="67"/>
        <v>-9.9685704375767124</v>
      </c>
      <c r="F193" s="304">
        <f t="shared" ca="1" si="68"/>
        <v>9.9762221358375474</v>
      </c>
      <c r="G193" s="306">
        <f t="shared" ca="1" si="69"/>
        <v>23.502731311911955</v>
      </c>
      <c r="H193" s="307">
        <f t="shared" ca="1" si="70"/>
        <v>8.5589671774130238</v>
      </c>
      <c r="I193" s="304">
        <f t="shared" ca="1" si="71"/>
        <v>25.012682748237143</v>
      </c>
      <c r="J193" s="306">
        <f t="shared" ca="1" si="72"/>
        <v>414.60140044021381</v>
      </c>
      <c r="K193" s="307">
        <f t="shared" ca="1" si="73"/>
        <v>1247.8297644792301</v>
      </c>
      <c r="L193" s="304">
        <f t="shared" ca="1" si="58"/>
        <v>1314.9043472311123</v>
      </c>
      <c r="M193" s="306">
        <f t="shared" ca="1" si="74"/>
        <v>0.34924139199853149</v>
      </c>
      <c r="N193" s="304">
        <f t="shared" ca="1" si="75"/>
        <v>20.010057792789812</v>
      </c>
      <c r="P193" s="310">
        <f t="shared" ca="1" si="76"/>
        <v>23</v>
      </c>
      <c r="Q193" s="304">
        <f t="shared" ca="1" si="77"/>
        <v>0</v>
      </c>
      <c r="R193" s="306">
        <f t="shared" ca="1" si="78"/>
        <v>0</v>
      </c>
      <c r="S193" s="307">
        <f t="shared" ca="1" si="79"/>
        <v>5.083000000000002</v>
      </c>
      <c r="T193" s="304">
        <f t="shared" ca="1" si="59"/>
        <v>49.86423000000002</v>
      </c>
      <c r="U193" s="311">
        <f t="shared" ca="1" si="60"/>
        <v>0</v>
      </c>
      <c r="V193" s="306">
        <f t="shared" ca="1" si="61"/>
        <v>1.0811178738317588</v>
      </c>
      <c r="W193" s="304">
        <f t="shared" ca="1" si="62"/>
        <v>2.0768112867488897</v>
      </c>
      <c r="Y193" s="314" t="str">
        <f t="shared" ca="1" si="80"/>
        <v/>
      </c>
      <c r="Z193" s="315" t="str">
        <f t="shared" ca="1" si="81"/>
        <v/>
      </c>
      <c r="AA193" s="316" t="str">
        <f t="shared" ca="1" si="82"/>
        <v/>
      </c>
      <c r="AC193" s="310" t="e">
        <f t="shared" ca="1" si="83"/>
        <v>#N/A</v>
      </c>
      <c r="AD193" s="323" t="e">
        <f t="shared" ca="1" si="84"/>
        <v>#N/A</v>
      </c>
      <c r="AE193" s="324">
        <f t="shared" ca="1" si="63"/>
        <v>1247.8297644792301</v>
      </c>
      <c r="AG193" s="306">
        <f t="shared" ca="1" si="85"/>
        <v>-4.1112085101191065</v>
      </c>
      <c r="AH193" s="304">
        <f t="shared" ca="1" si="86"/>
        <v>-0.42161133561608188</v>
      </c>
    </row>
    <row r="194" spans="1:34" x14ac:dyDescent="0.2">
      <c r="A194" s="347">
        <f t="shared" ca="1" si="64"/>
        <v>0.1</v>
      </c>
      <c r="B194" s="304">
        <f t="shared" ca="1" si="65"/>
        <v>9.9999999999999822</v>
      </c>
      <c r="D194" s="306">
        <f t="shared" ca="1" si="66"/>
        <v>-0.3839149167173076</v>
      </c>
      <c r="E194" s="307">
        <f t="shared" ca="1" si="67"/>
        <v>-9.9498099279396222</v>
      </c>
      <c r="F194" s="304">
        <f t="shared" ca="1" si="68"/>
        <v>9.9572138806698298</v>
      </c>
      <c r="G194" s="306">
        <f t="shared" ca="1" si="69"/>
        <v>23.464339820240223</v>
      </c>
      <c r="H194" s="307">
        <f t="shared" ca="1" si="70"/>
        <v>7.5639861846190612</v>
      </c>
      <c r="I194" s="304">
        <f t="shared" ca="1" si="71"/>
        <v>24.653379691247586</v>
      </c>
      <c r="J194" s="306">
        <f t="shared" ca="1" si="72"/>
        <v>416.94975399682141</v>
      </c>
      <c r="K194" s="307">
        <f t="shared" ca="1" si="73"/>
        <v>1248.6359121473317</v>
      </c>
      <c r="L194" s="304">
        <f t="shared" ca="1" si="58"/>
        <v>1316.4113105188701</v>
      </c>
      <c r="M194" s="306">
        <f t="shared" ca="1" si="74"/>
        <v>0.31184309337912963</v>
      </c>
      <c r="N194" s="304">
        <f t="shared" ca="1" si="75"/>
        <v>17.867293120928153</v>
      </c>
      <c r="P194" s="310">
        <f t="shared" ca="1" si="76"/>
        <v>23</v>
      </c>
      <c r="Q194" s="304">
        <f t="shared" ca="1" si="77"/>
        <v>0</v>
      </c>
      <c r="R194" s="306">
        <f t="shared" ca="1" si="78"/>
        <v>0</v>
      </c>
      <c r="S194" s="307">
        <f t="shared" ca="1" si="79"/>
        <v>5.083000000000002</v>
      </c>
      <c r="T194" s="304">
        <f t="shared" ca="1" si="59"/>
        <v>49.86423000000002</v>
      </c>
      <c r="U194" s="311">
        <f t="shared" ca="1" si="60"/>
        <v>0</v>
      </c>
      <c r="V194" s="306">
        <f t="shared" ca="1" si="61"/>
        <v>1.081030382495654</v>
      </c>
      <c r="W194" s="304">
        <f t="shared" ca="1" si="62"/>
        <v>2.0174104556306802</v>
      </c>
      <c r="Y194" s="314" t="str">
        <f t="shared" ca="1" si="80"/>
        <v/>
      </c>
      <c r="Z194" s="315" t="str">
        <f t="shared" ca="1" si="81"/>
        <v/>
      </c>
      <c r="AA194" s="316" t="str">
        <f t="shared" ca="1" si="82"/>
        <v/>
      </c>
      <c r="AC194" s="310">
        <f t="shared" ca="1" si="83"/>
        <v>9.9999999999999822</v>
      </c>
      <c r="AD194" s="323">
        <f t="shared" ca="1" si="84"/>
        <v>416.94975399682141</v>
      </c>
      <c r="AE194" s="324">
        <f t="shared" ca="1" si="63"/>
        <v>1248.6359121473317</v>
      </c>
      <c r="AG194" s="306">
        <f t="shared" ca="1" si="85"/>
        <v>-3.7654155964383023</v>
      </c>
      <c r="AH194" s="304">
        <f t="shared" ca="1" si="86"/>
        <v>-0.40857983213631494</v>
      </c>
    </row>
    <row r="195" spans="1:34" x14ac:dyDescent="0.2">
      <c r="A195" s="347">
        <f t="shared" ca="1" si="64"/>
        <v>0.1</v>
      </c>
      <c r="B195" s="304">
        <f t="shared" ca="1" si="65"/>
        <v>10.099999999999982</v>
      </c>
      <c r="D195" s="306">
        <f t="shared" ca="1" si="66"/>
        <v>-0.37775135675468985</v>
      </c>
      <c r="E195" s="307">
        <f t="shared" ca="1" si="67"/>
        <v>-9.9317722751035546</v>
      </c>
      <c r="F195" s="304">
        <f t="shared" ca="1" si="68"/>
        <v>9.9389534968247855</v>
      </c>
      <c r="G195" s="306">
        <f t="shared" ca="1" si="69"/>
        <v>23.426564684564752</v>
      </c>
      <c r="H195" s="307">
        <f t="shared" ca="1" si="70"/>
        <v>6.5708089571087056</v>
      </c>
      <c r="I195" s="304">
        <f t="shared" ca="1" si="71"/>
        <v>24.330628090349755</v>
      </c>
      <c r="J195" s="306">
        <f t="shared" ca="1" si="72"/>
        <v>419.29429922206168</v>
      </c>
      <c r="K195" s="307">
        <f t="shared" ca="1" si="73"/>
        <v>1249.3426519044181</v>
      </c>
      <c r="L195" s="304">
        <f t="shared" ca="1" si="58"/>
        <v>1317.8257742310566</v>
      </c>
      <c r="M195" s="306">
        <f t="shared" ca="1" si="74"/>
        <v>0.27345874142326032</v>
      </c>
      <c r="N195" s="304">
        <f t="shared" ca="1" si="75"/>
        <v>15.668031754512116</v>
      </c>
      <c r="P195" s="310">
        <f t="shared" ca="1" si="76"/>
        <v>23</v>
      </c>
      <c r="Q195" s="304">
        <f t="shared" ca="1" si="77"/>
        <v>0</v>
      </c>
      <c r="R195" s="306">
        <f t="shared" ca="1" si="78"/>
        <v>0</v>
      </c>
      <c r="S195" s="307">
        <f t="shared" ca="1" si="79"/>
        <v>5.083000000000002</v>
      </c>
      <c r="T195" s="304">
        <f t="shared" ca="1" si="59"/>
        <v>49.86423000000002</v>
      </c>
      <c r="U195" s="311">
        <f t="shared" ca="1" si="60"/>
        <v>0</v>
      </c>
      <c r="V195" s="306">
        <f t="shared" ca="1" si="61"/>
        <v>1.0809536853771098</v>
      </c>
      <c r="W195" s="304">
        <f t="shared" ca="1" si="62"/>
        <v>1.9647946441237982</v>
      </c>
      <c r="Y195" s="314" t="str">
        <f t="shared" ca="1" si="80"/>
        <v/>
      </c>
      <c r="Z195" s="315" t="str">
        <f t="shared" ca="1" si="81"/>
        <v/>
      </c>
      <c r="AA195" s="316" t="str">
        <f t="shared" ca="1" si="82"/>
        <v/>
      </c>
      <c r="AC195" s="310" t="e">
        <f t="shared" ca="1" si="83"/>
        <v>#N/A</v>
      </c>
      <c r="AD195" s="323" t="e">
        <f t="shared" ca="1" si="84"/>
        <v>#N/A</v>
      </c>
      <c r="AE195" s="324">
        <f t="shared" ca="1" si="63"/>
        <v>1249.3426519044181</v>
      </c>
      <c r="AG195" s="306">
        <f t="shared" ca="1" si="85"/>
        <v>-3.4067326886597971</v>
      </c>
      <c r="AH195" s="304">
        <f t="shared" ca="1" si="86"/>
        <v>-0.39689365642940772</v>
      </c>
    </row>
    <row r="196" spans="1:34" x14ac:dyDescent="0.2">
      <c r="A196" s="347">
        <f t="shared" ca="1" si="64"/>
        <v>0.1</v>
      </c>
      <c r="B196" s="304">
        <f t="shared" ca="1" si="65"/>
        <v>10.199999999999982</v>
      </c>
      <c r="D196" s="306">
        <f t="shared" ca="1" si="66"/>
        <v>-0.37217941002784033</v>
      </c>
      <c r="E196" s="307">
        <f t="shared" ca="1" si="67"/>
        <v>-9.9143908841945425</v>
      </c>
      <c r="F196" s="304">
        <f t="shared" ca="1" si="68"/>
        <v>9.9213741043188417</v>
      </c>
      <c r="G196" s="306">
        <f t="shared" ca="1" si="69"/>
        <v>23.389346743561969</v>
      </c>
      <c r="H196" s="307">
        <f t="shared" ca="1" si="70"/>
        <v>5.579369868689251</v>
      </c>
      <c r="I196" s="304">
        <f t="shared" ca="1" si="71"/>
        <v>24.045600620949571</v>
      </c>
      <c r="J196" s="306">
        <f t="shared" ca="1" si="72"/>
        <v>421.635094793468</v>
      </c>
      <c r="K196" s="307">
        <f t="shared" ca="1" si="73"/>
        <v>1249.9501608457081</v>
      </c>
      <c r="L196" s="304">
        <f t="shared" ref="L196:L259" ca="1" si="87">SQRT(pos_x^2+pos_z^2)</f>
        <v>1319.148042396951</v>
      </c>
      <c r="M196" s="306">
        <f t="shared" ca="1" si="74"/>
        <v>0.23416707780819984</v>
      </c>
      <c r="N196" s="304">
        <f t="shared" ca="1" si="75"/>
        <v>13.416785259321411</v>
      </c>
      <c r="P196" s="310">
        <f t="shared" ca="1" si="76"/>
        <v>23</v>
      </c>
      <c r="Q196" s="304">
        <f t="shared" ca="1" si="77"/>
        <v>0</v>
      </c>
      <c r="R196" s="306">
        <f t="shared" ca="1" si="78"/>
        <v>0</v>
      </c>
      <c r="S196" s="307">
        <f t="shared" ca="1" si="79"/>
        <v>5.083000000000002</v>
      </c>
      <c r="T196" s="304">
        <f t="shared" ref="T196:T259" ca="1" si="88">m*g</f>
        <v>49.86423000000002</v>
      </c>
      <c r="U196" s="311">
        <f t="shared" ref="U196:U259" ca="1" si="89">IF(pos_xz&lt;L_rampe,Poids*COS(Beta),0)</f>
        <v>0</v>
      </c>
      <c r="V196" s="306">
        <f t="shared" ref="V196:V259" ca="1" si="90">Rho_moyen*(20000-Alt_rampe-pos_z)/(20000+Alt_rampe+pos_z)</f>
        <v>1.08088776110569</v>
      </c>
      <c r="W196" s="304">
        <f t="shared" ref="W196:W259" ca="1" si="91">1/2*Rho*Sref*Cx*vit_xz^2</f>
        <v>1.9189130522290427</v>
      </c>
      <c r="Y196" s="314" t="str">
        <f t="shared" ca="1" si="80"/>
        <v/>
      </c>
      <c r="Z196" s="315" t="str">
        <f t="shared" ca="1" si="81"/>
        <v/>
      </c>
      <c r="AA196" s="316" t="str">
        <f t="shared" ca="1" si="82"/>
        <v/>
      </c>
      <c r="AC196" s="310" t="e">
        <f t="shared" ca="1" si="83"/>
        <v>#N/A</v>
      </c>
      <c r="AD196" s="323" t="e">
        <f t="shared" ca="1" si="84"/>
        <v>#N/A</v>
      </c>
      <c r="AE196" s="324">
        <f t="shared" ref="AE196:AE259" ca="1" si="92">IF(t&lt;T_para, pos_z, NA())</f>
        <v>1249.9501608457081</v>
      </c>
      <c r="AG196" s="306">
        <f t="shared" ca="1" si="85"/>
        <v>-3.0358629943761946</v>
      </c>
      <c r="AH196" s="304">
        <f t="shared" ca="1" si="86"/>
        <v>-0.38654232620967882</v>
      </c>
    </row>
    <row r="197" spans="1:34" x14ac:dyDescent="0.2">
      <c r="A197" s="347">
        <f t="shared" ref="A197:A260" ca="1" si="93">IF(B196+0.01&lt;=T_ini+ROUNDUP(Temps_fin_propu,0), 0.01, IF(K196&gt;0, 0.1, 0.0001))</f>
        <v>0.1</v>
      </c>
      <c r="B197" s="304">
        <f t="shared" ref="B197:B260" ca="1" si="94">B196+pas</f>
        <v>10.299999999999981</v>
      </c>
      <c r="D197" s="306">
        <f t="shared" ref="D197:D260" ca="1" si="95">IF(AND(L196&lt;L_rampe,Poussee&lt;Poids*SIN(M196)),0,(-W196+Poussee)/m*COS(M196)-U196/m*SIN(M196))</f>
        <v>-0.36721266375236211</v>
      </c>
      <c r="E197" s="307">
        <f t="shared" ref="E197:E260" ca="1" si="96">IF(AND(L196&lt;L_rampe,Poussee&lt;Poids*SIN(M196)),0,(-W196+Poussee)/m*SIN(M196)+U196/m*COS(M196)-Poids/m)</f>
        <v>-9.897596087825967</v>
      </c>
      <c r="F197" s="304">
        <f t="shared" ref="F197:F260" ca="1" si="97">SQRT(acc_x^2+acc_z^2)</f>
        <v>9.9044057599720734</v>
      </c>
      <c r="G197" s="306">
        <f t="shared" ref="G197:G260" ca="1" si="98">G196+acc_x*pas</f>
        <v>23.352625477186734</v>
      </c>
      <c r="H197" s="307">
        <f t="shared" ref="H197:H260" ca="1" si="99">H196+acc_z*pas</f>
        <v>4.5896102599066539</v>
      </c>
      <c r="I197" s="304">
        <f t="shared" ref="I197:I260" ca="1" si="100">SQRT(vit_x^2+vit_z^2)</f>
        <v>23.799362155645923</v>
      </c>
      <c r="J197" s="306">
        <f t="shared" ref="J197:J260" ca="1" si="101">J196+0.5*(vit_x+G196)*pas*(K196&gt;=0)</f>
        <v>423.97219340450545</v>
      </c>
      <c r="K197" s="307">
        <f t="shared" ref="K197:K260" ca="1" si="102">K196+0.5*(vit_z+H196)*pas</f>
        <v>1250.4586098521379</v>
      </c>
      <c r="L197" s="304">
        <f t="shared" ca="1" si="87"/>
        <v>1320.3784138395965</v>
      </c>
      <c r="M197" s="306">
        <f t="shared" ref="M197:M260" ca="1" si="103">IF(AND(L196&gt;L_rampe,G197&gt;0),ATAN2(G197,H197),$M$4)</f>
        <v>0.19406170280959451</v>
      </c>
      <c r="N197" s="304">
        <f t="shared" ref="N197:N260" ca="1" si="104">DEGREES(Beta)</f>
        <v>11.118916536111835</v>
      </c>
      <c r="P197" s="310">
        <f t="shared" ref="P197:P260" ca="1" si="105">MATCH(t-pas/2-T_ini,CdP_t)</f>
        <v>23</v>
      </c>
      <c r="Q197" s="304">
        <f t="shared" ref="Q197:Q260" ca="1" si="106">(INDEX(CdP,2,i_P+1)-INDEX(CdP,2,i_P+0))/(INDEX(CdP,1,i_P+1)-INDEX(CdP,1,i_P+0))*(t-pas/2-T_ini-INDEX(CdP,1,i_P+0))+INDEX(CdP,2,i_P+0)</f>
        <v>0</v>
      </c>
      <c r="R197" s="306">
        <f t="shared" ref="R197:R260" ca="1" si="107">Poussee/(g*ISP)</f>
        <v>0</v>
      </c>
      <c r="S197" s="307">
        <f t="shared" ref="S197:S260" ca="1" si="108">S196-Débit*pas</f>
        <v>5.083000000000002</v>
      </c>
      <c r="T197" s="304">
        <f t="shared" ca="1" si="88"/>
        <v>49.86423000000002</v>
      </c>
      <c r="U197" s="311">
        <f t="shared" ca="1" si="89"/>
        <v>0</v>
      </c>
      <c r="V197" s="306">
        <f t="shared" ca="1" si="90"/>
        <v>1.080832589292102</v>
      </c>
      <c r="W197" s="304">
        <f t="shared" ca="1" si="91"/>
        <v>1.8797171550964678</v>
      </c>
      <c r="Y197" s="314" t="str">
        <f t="shared" ref="Y197:Y260" ca="1" si="109">IF(AND(pos_z&lt;=0,K196&gt;0),"Impact balistique","") &amp; IF(AND(H198&lt;0,vit_z&gt;=0),"Apogée","") &amp; IF(AND(Poussee=0,Q196&gt;0),"Fin de propulsion","") &amp; IF(AND(L198&gt;L_rampe,pos_xz&lt;=L_rampe),"Sortie de rampe","")</f>
        <v/>
      </c>
      <c r="Z197" s="315" t="str">
        <f t="shared" ref="Z197:Z260" ca="1" si="110">IF(ABS(t-T_para)&lt;pas/2,"Para","")</f>
        <v/>
      </c>
      <c r="AA197" s="316" t="str">
        <f t="shared" ref="AA197:AA260" ca="1" si="111">IF(ABS(t-T_satellite)&lt;pas/2,"Satellite","")</f>
        <v/>
      </c>
      <c r="AC197" s="310" t="e">
        <f t="shared" ref="AC197:AC260" ca="1" si="112">IF(ABS(t-ROUND(t,0))&lt;0.001,t,NA())</f>
        <v>#N/A</v>
      </c>
      <c r="AD197" s="323" t="e">
        <f t="shared" ref="AD197:AD260" ca="1" si="113">IF(ABS(t-ROUND(t,0))&lt;0.001,pos_x,NA())</f>
        <v>#N/A</v>
      </c>
      <c r="AE197" s="324">
        <f t="shared" ca="1" si="92"/>
        <v>1250.4586098521379</v>
      </c>
      <c r="AG197" s="306">
        <f t="shared" ref="AG197:AG260" ca="1" si="114">IF(AND(L196&lt;L_rampe,Poussee&lt;Poids*SIN(M196)),0,(-W196+Poussee)/m-Poids*SIN(M196)/m)</f>
        <v>-2.6537583615361529</v>
      </c>
      <c r="AH197" s="304">
        <f t="shared" ref="AH197:AH260" ca="1" si="115">IF(AND(L196&lt;L_rampe,Poussee&lt;Poids*SIN(M196)), g*SIN(M196), (-W196+Poussee)/m)</f>
        <v>-0.37751584737931182</v>
      </c>
    </row>
    <row r="198" spans="1:34" x14ac:dyDescent="0.2">
      <c r="A198" s="347">
        <f t="shared" ca="1" si="93"/>
        <v>0.1</v>
      </c>
      <c r="B198" s="304">
        <f t="shared" ca="1" si="94"/>
        <v>10.399999999999981</v>
      </c>
      <c r="D198" s="306">
        <f t="shared" ca="1" si="95"/>
        <v>-0.36286308776192633</v>
      </c>
      <c r="E198" s="307">
        <f t="shared" ca="1" si="96"/>
        <v>-9.881315328212688</v>
      </c>
      <c r="F198" s="304">
        <f t="shared" ca="1" si="97"/>
        <v>9.887975638927875</v>
      </c>
      <c r="G198" s="306">
        <f t="shared" ca="1" si="98"/>
        <v>23.316339168410543</v>
      </c>
      <c r="H198" s="307">
        <f t="shared" ca="1" si="99"/>
        <v>3.601478727085385</v>
      </c>
      <c r="I198" s="304">
        <f t="shared" ca="1" si="100"/>
        <v>23.592844704231922</v>
      </c>
      <c r="J198" s="306">
        <f t="shared" ca="1" si="101"/>
        <v>426.30564163678531</v>
      </c>
      <c r="K198" s="307">
        <f t="shared" ca="1" si="102"/>
        <v>1250.8681643014875</v>
      </c>
      <c r="L198" s="304">
        <f t="shared" ca="1" si="87"/>
        <v>1321.5171828449013</v>
      </c>
      <c r="M198" s="306">
        <f t="shared" ca="1" si="103"/>
        <v>0.15325047520547824</v>
      </c>
      <c r="N198" s="304">
        <f t="shared" ca="1" si="104"/>
        <v>8.7806054376481715</v>
      </c>
      <c r="P198" s="310">
        <f t="shared" ca="1" si="105"/>
        <v>23</v>
      </c>
      <c r="Q198" s="304">
        <f t="shared" ca="1" si="106"/>
        <v>0</v>
      </c>
      <c r="R198" s="306">
        <f t="shared" ca="1" si="107"/>
        <v>0</v>
      </c>
      <c r="S198" s="307">
        <f t="shared" ca="1" si="108"/>
        <v>5.083000000000002</v>
      </c>
      <c r="T198" s="304">
        <f t="shared" ca="1" si="88"/>
        <v>49.86423000000002</v>
      </c>
      <c r="U198" s="311">
        <f t="shared" ca="1" si="89"/>
        <v>0</v>
      </c>
      <c r="V198" s="306">
        <f t="shared" ca="1" si="90"/>
        <v>1.0807881504489878</v>
      </c>
      <c r="W198" s="304">
        <f t="shared" ca="1" si="91"/>
        <v>1.8471604919079017</v>
      </c>
      <c r="Y198" s="314" t="str">
        <f t="shared" ca="1" si="109"/>
        <v/>
      </c>
      <c r="Z198" s="315" t="str">
        <f t="shared" ca="1" si="110"/>
        <v/>
      </c>
      <c r="AA198" s="316" t="str">
        <f t="shared" ca="1" si="111"/>
        <v/>
      </c>
      <c r="AC198" s="310" t="e">
        <f t="shared" ca="1" si="112"/>
        <v>#N/A</v>
      </c>
      <c r="AD198" s="323" t="e">
        <f t="shared" ca="1" si="113"/>
        <v>#N/A</v>
      </c>
      <c r="AE198" s="324">
        <f t="shared" ca="1" si="92"/>
        <v>1250.8681643014875</v>
      </c>
      <c r="AG198" s="306">
        <f t="shared" ca="1" si="114"/>
        <v>-2.2616233009828246</v>
      </c>
      <c r="AH198" s="304">
        <f t="shared" ca="1" si="115"/>
        <v>-0.3698046734401863</v>
      </c>
    </row>
    <row r="199" spans="1:34" x14ac:dyDescent="0.2">
      <c r="A199" s="347">
        <f t="shared" ca="1" si="93"/>
        <v>0.1</v>
      </c>
      <c r="B199" s="304">
        <f t="shared" ca="1" si="94"/>
        <v>10.49999999999998</v>
      </c>
      <c r="D199" s="306">
        <f t="shared" ca="1" si="95"/>
        <v>-0.35914066000927597</v>
      </c>
      <c r="E199" s="307">
        <f t="shared" ca="1" si="96"/>
        <v>-9.8654734359331666</v>
      </c>
      <c r="F199" s="304">
        <f t="shared" ca="1" si="97"/>
        <v>9.8720083128396343</v>
      </c>
      <c r="G199" s="306">
        <f t="shared" ca="1" si="98"/>
        <v>23.280425102409616</v>
      </c>
      <c r="H199" s="307">
        <f t="shared" ca="1" si="99"/>
        <v>2.6149313834920682</v>
      </c>
      <c r="I199" s="304">
        <f t="shared" ca="1" si="100"/>
        <v>23.426823495499246</v>
      </c>
      <c r="J199" s="306">
        <f t="shared" ca="1" si="101"/>
        <v>428.63547985032631</v>
      </c>
      <c r="K199" s="307">
        <f t="shared" ca="1" si="102"/>
        <v>1251.1789848070164</v>
      </c>
      <c r="L199" s="304">
        <f t="shared" ca="1" si="87"/>
        <v>1322.5646398604629</v>
      </c>
      <c r="M199" s="306">
        <f t="shared" ca="1" si="103"/>
        <v>0.11185434908643892</v>
      </c>
      <c r="N199" s="304">
        <f t="shared" ca="1" si="104"/>
        <v>6.4087821228359454</v>
      </c>
      <c r="P199" s="310">
        <f t="shared" ca="1" si="105"/>
        <v>23</v>
      </c>
      <c r="Q199" s="304">
        <f t="shared" ca="1" si="106"/>
        <v>0</v>
      </c>
      <c r="R199" s="306">
        <f t="shared" ca="1" si="107"/>
        <v>0</v>
      </c>
      <c r="S199" s="307">
        <f t="shared" ca="1" si="108"/>
        <v>5.083000000000002</v>
      </c>
      <c r="T199" s="304">
        <f t="shared" ca="1" si="88"/>
        <v>49.86423000000002</v>
      </c>
      <c r="U199" s="311">
        <f t="shared" ca="1" si="89"/>
        <v>0</v>
      </c>
      <c r="V199" s="306">
        <f t="shared" ca="1" si="90"/>
        <v>1.080754425908854</v>
      </c>
      <c r="W199" s="304">
        <f t="shared" ca="1" si="91"/>
        <v>1.8211984504554954</v>
      </c>
      <c r="Y199" s="314" t="str">
        <f t="shared" ca="1" si="109"/>
        <v/>
      </c>
      <c r="Z199" s="315" t="str">
        <f t="shared" ca="1" si="110"/>
        <v/>
      </c>
      <c r="AA199" s="316" t="str">
        <f t="shared" ca="1" si="111"/>
        <v/>
      </c>
      <c r="AC199" s="310" t="e">
        <f t="shared" ca="1" si="112"/>
        <v>#N/A</v>
      </c>
      <c r="AD199" s="323" t="e">
        <f t="shared" ca="1" si="113"/>
        <v>#N/A</v>
      </c>
      <c r="AE199" s="324">
        <f t="shared" ca="1" si="92"/>
        <v>1251.1789848070164</v>
      </c>
      <c r="AG199" s="306">
        <f t="shared" ca="1" si="114"/>
        <v>-1.860909046809736</v>
      </c>
      <c r="AH199" s="304">
        <f t="shared" ca="1" si="115"/>
        <v>-0.36339966395984674</v>
      </c>
    </row>
    <row r="200" spans="1:34" x14ac:dyDescent="0.2">
      <c r="A200" s="347">
        <f t="shared" ca="1" si="93"/>
        <v>0.1</v>
      </c>
      <c r="B200" s="304">
        <f t="shared" ca="1" si="94"/>
        <v>10.59999999999998</v>
      </c>
      <c r="D200" s="306">
        <f t="shared" ca="1" si="95"/>
        <v>-0.35605301139581508</v>
      </c>
      <c r="E200" s="307">
        <f t="shared" ca="1" si="96"/>
        <v>-9.8499930065533654</v>
      </c>
      <c r="F200" s="304">
        <f t="shared" ca="1" si="97"/>
        <v>9.8564261259380537</v>
      </c>
      <c r="G200" s="306">
        <f t="shared" ca="1" si="98"/>
        <v>23.244819801270033</v>
      </c>
      <c r="H200" s="307">
        <f t="shared" ca="1" si="99"/>
        <v>1.6299320828367316</v>
      </c>
      <c r="I200" s="304">
        <f t="shared" ca="1" si="100"/>
        <v>23.301895334675585</v>
      </c>
      <c r="J200" s="306">
        <f t="shared" ca="1" si="101"/>
        <v>430.96174209551026</v>
      </c>
      <c r="K200" s="307">
        <f t="shared" ca="1" si="102"/>
        <v>1251.3912279803328</v>
      </c>
      <c r="L200" s="304">
        <f t="shared" ca="1" si="87"/>
        <v>1323.52107222217</v>
      </c>
      <c r="M200" s="306">
        <f t="shared" ca="1" si="103"/>
        <v>7.0005643181729055E-2</v>
      </c>
      <c r="N200" s="304">
        <f t="shared" ca="1" si="104"/>
        <v>4.0110278964118624</v>
      </c>
      <c r="P200" s="310">
        <f t="shared" ca="1" si="105"/>
        <v>23</v>
      </c>
      <c r="Q200" s="304">
        <f t="shared" ca="1" si="106"/>
        <v>0</v>
      </c>
      <c r="R200" s="306">
        <f t="shared" ca="1" si="107"/>
        <v>0</v>
      </c>
      <c r="S200" s="307">
        <f t="shared" ca="1" si="108"/>
        <v>5.083000000000002</v>
      </c>
      <c r="T200" s="304">
        <f t="shared" ca="1" si="88"/>
        <v>49.86423000000002</v>
      </c>
      <c r="U200" s="311">
        <f t="shared" ca="1" si="89"/>
        <v>0</v>
      </c>
      <c r="V200" s="306">
        <f t="shared" ca="1" si="90"/>
        <v>1.0807313977394979</v>
      </c>
      <c r="W200" s="304">
        <f t="shared" ca="1" si="91"/>
        <v>1.8017880481776065</v>
      </c>
      <c r="Y200" s="314" t="str">
        <f t="shared" ca="1" si="109"/>
        <v/>
      </c>
      <c r="Z200" s="315" t="str">
        <f t="shared" ca="1" si="110"/>
        <v/>
      </c>
      <c r="AA200" s="316" t="str">
        <f t="shared" ca="1" si="111"/>
        <v/>
      </c>
      <c r="AC200" s="310" t="e">
        <f t="shared" ca="1" si="112"/>
        <v>#N/A</v>
      </c>
      <c r="AD200" s="323" t="e">
        <f t="shared" ca="1" si="113"/>
        <v>#N/A</v>
      </c>
      <c r="AE200" s="324">
        <f t="shared" ca="1" si="92"/>
        <v>1251.3912279803328</v>
      </c>
      <c r="AG200" s="306">
        <f t="shared" ca="1" si="114"/>
        <v>-1.4532965303999659</v>
      </c>
      <c r="AH200" s="304">
        <f t="shared" ca="1" si="115"/>
        <v>-0.3582920421907328</v>
      </c>
    </row>
    <row r="201" spans="1:34" x14ac:dyDescent="0.2">
      <c r="A201" s="347">
        <f t="shared" ca="1" si="93"/>
        <v>0.1</v>
      </c>
      <c r="B201" s="304">
        <f t="shared" ca="1" si="94"/>
        <v>10.69999999999998</v>
      </c>
      <c r="D201" s="306">
        <f t="shared" ca="1" si="95"/>
        <v>-0.35360510692686525</v>
      </c>
      <c r="E201" s="307">
        <f t="shared" ca="1" si="96"/>
        <v>-9.8347948710019057</v>
      </c>
      <c r="F201" s="304">
        <f t="shared" ca="1" si="97"/>
        <v>9.8411496648679293</v>
      </c>
      <c r="G201" s="306">
        <f t="shared" ca="1" si="98"/>
        <v>23.209459290577346</v>
      </c>
      <c r="H201" s="307">
        <f t="shared" ca="1" si="99"/>
        <v>0.64645259573654101</v>
      </c>
      <c r="I201" s="304">
        <f t="shared" ca="1" si="100"/>
        <v>23.218460360659179</v>
      </c>
      <c r="J201" s="306">
        <f t="shared" ca="1" si="101"/>
        <v>433.28445605010262</v>
      </c>
      <c r="K201" s="307">
        <f t="shared" ca="1" si="102"/>
        <v>1251.5050472142614</v>
      </c>
      <c r="L201" s="304">
        <f t="shared" ca="1" si="87"/>
        <v>1324.3867649057067</v>
      </c>
      <c r="M201" s="306">
        <f t="shared" ca="1" si="103"/>
        <v>2.7845780259601549E-2</v>
      </c>
      <c r="N201" s="304">
        <f t="shared" ca="1" si="104"/>
        <v>1.5954456861238706</v>
      </c>
      <c r="P201" s="310">
        <f t="shared" ca="1" si="105"/>
        <v>23</v>
      </c>
      <c r="Q201" s="304">
        <f t="shared" ca="1" si="106"/>
        <v>0</v>
      </c>
      <c r="R201" s="306">
        <f t="shared" ca="1" si="107"/>
        <v>0</v>
      </c>
      <c r="S201" s="307">
        <f t="shared" ca="1" si="108"/>
        <v>5.083000000000002</v>
      </c>
      <c r="T201" s="304">
        <f t="shared" ca="1" si="88"/>
        <v>49.86423000000002</v>
      </c>
      <c r="U201" s="311">
        <f t="shared" ca="1" si="89"/>
        <v>0</v>
      </c>
      <c r="V201" s="306">
        <f t="shared" ca="1" si="90"/>
        <v>1.0807190486573623</v>
      </c>
      <c r="W201" s="304">
        <f t="shared" ca="1" si="91"/>
        <v>1.7888877106650511</v>
      </c>
      <c r="Y201" s="314" t="str">
        <f t="shared" ca="1" si="109"/>
        <v>Apogée</v>
      </c>
      <c r="Z201" s="315" t="str">
        <f t="shared" ca="1" si="110"/>
        <v/>
      </c>
      <c r="AA201" s="316" t="str">
        <f t="shared" ca="1" si="111"/>
        <v/>
      </c>
      <c r="AC201" s="310" t="e">
        <f t="shared" ca="1" si="112"/>
        <v>#N/A</v>
      </c>
      <c r="AD201" s="323" t="e">
        <f t="shared" ca="1" si="113"/>
        <v>#N/A</v>
      </c>
      <c r="AE201" s="324">
        <f t="shared" ca="1" si="92"/>
        <v>1251.5050472142614</v>
      </c>
      <c r="AG201" s="306">
        <f t="shared" ca="1" si="114"/>
        <v>-1.0406679083998018</v>
      </c>
      <c r="AH201" s="304">
        <f t="shared" ca="1" si="115"/>
        <v>-0.35447335199244656</v>
      </c>
    </row>
    <row r="202" spans="1:34" x14ac:dyDescent="0.2">
      <c r="A202" s="347">
        <f t="shared" ca="1" si="93"/>
        <v>0.1</v>
      </c>
      <c r="B202" s="304">
        <f t="shared" ca="1" si="94"/>
        <v>10.799999999999979</v>
      </c>
      <c r="D202" s="306">
        <f t="shared" ca="1" si="95"/>
        <v>-0.3517989799158</v>
      </c>
      <c r="E202" s="307">
        <f t="shared" ca="1" si="96"/>
        <v>-9.8197986498046674</v>
      </c>
      <c r="F202" s="304">
        <f t="shared" ca="1" si="97"/>
        <v>9.8260983124012853</v>
      </c>
      <c r="G202" s="306">
        <f t="shared" ca="1" si="98"/>
        <v>23.174279392585767</v>
      </c>
      <c r="H202" s="307">
        <f t="shared" ca="1" si="99"/>
        <v>-0.33552726924392573</v>
      </c>
      <c r="I202" s="304">
        <f t="shared" ca="1" si="100"/>
        <v>23.176708219978774</v>
      </c>
      <c r="J202" s="306">
        <f t="shared" ca="1" si="101"/>
        <v>435.60364298426077</v>
      </c>
      <c r="K202" s="307">
        <f t="shared" ca="1" si="102"/>
        <v>1251.5205934805861</v>
      </c>
      <c r="L202" s="304">
        <f t="shared" ca="1" si="87"/>
        <v>1325.1620012991459</v>
      </c>
      <c r="M202" s="306">
        <f t="shared" ca="1" si="103"/>
        <v>-1.4477422211744058E-2</v>
      </c>
      <c r="N202" s="304">
        <f t="shared" ca="1" si="104"/>
        <v>-0.82949519096188817</v>
      </c>
      <c r="P202" s="310">
        <f t="shared" ca="1" si="105"/>
        <v>23</v>
      </c>
      <c r="Q202" s="304">
        <f t="shared" ca="1" si="106"/>
        <v>0</v>
      </c>
      <c r="R202" s="306">
        <f t="shared" ca="1" si="107"/>
        <v>0</v>
      </c>
      <c r="S202" s="307">
        <f t="shared" ca="1" si="108"/>
        <v>5.083000000000002</v>
      </c>
      <c r="T202" s="304">
        <f t="shared" ca="1" si="88"/>
        <v>49.86423000000002</v>
      </c>
      <c r="U202" s="311">
        <f t="shared" ca="1" si="89"/>
        <v>0</v>
      </c>
      <c r="V202" s="306">
        <f t="shared" ca="1" si="90"/>
        <v>1.0807173619393584</v>
      </c>
      <c r="W202" s="304">
        <f t="shared" ca="1" si="91"/>
        <v>1.7824570488823515</v>
      </c>
      <c r="Y202" s="314" t="str">
        <f t="shared" ca="1" si="109"/>
        <v/>
      </c>
      <c r="Z202" s="315" t="str">
        <f t="shared" ca="1" si="110"/>
        <v/>
      </c>
      <c r="AA202" s="316" t="str">
        <f t="shared" ca="1" si="111"/>
        <v/>
      </c>
      <c r="AC202" s="310" t="e">
        <f t="shared" ca="1" si="112"/>
        <v>#N/A</v>
      </c>
      <c r="AD202" s="323" t="e">
        <f t="shared" ca="1" si="113"/>
        <v>#N/A</v>
      </c>
      <c r="AE202" s="324">
        <f t="shared" ca="1" si="92"/>
        <v>1251.5205934805861</v>
      </c>
      <c r="AG202" s="306">
        <f t="shared" ca="1" si="114"/>
        <v>-0.6250672182462822</v>
      </c>
      <c r="AH202" s="304">
        <f t="shared" ca="1" si="115"/>
        <v>-0.35193541425635461</v>
      </c>
    </row>
    <row r="203" spans="1:34" x14ac:dyDescent="0.2">
      <c r="A203" s="347">
        <f t="shared" ca="1" si="93"/>
        <v>0.1</v>
      </c>
      <c r="B203" s="304">
        <f t="shared" ca="1" si="94"/>
        <v>10.899999999999979</v>
      </c>
      <c r="D203" s="306">
        <f t="shared" ca="1" si="95"/>
        <v>-0.35063353421808391</v>
      </c>
      <c r="E203" s="307">
        <f t="shared" ca="1" si="96"/>
        <v>-9.8049233755989338</v>
      </c>
      <c r="F203" s="304">
        <f t="shared" ca="1" si="97"/>
        <v>9.8111908694451895</v>
      </c>
      <c r="G203" s="306">
        <f t="shared" ca="1" si="98"/>
        <v>23.139216039163959</v>
      </c>
      <c r="H203" s="307">
        <f t="shared" ca="1" si="99"/>
        <v>-1.316019606803819</v>
      </c>
      <c r="I203" s="304">
        <f t="shared" ca="1" si="100"/>
        <v>23.176609469734668</v>
      </c>
      <c r="J203" s="306">
        <f t="shared" ca="1" si="101"/>
        <v>437.91931775584828</v>
      </c>
      <c r="K203" s="307">
        <f t="shared" ca="1" si="102"/>
        <v>1251.4380161367837</v>
      </c>
      <c r="L203" s="304">
        <f t="shared" ca="1" si="87"/>
        <v>1325.847063991966</v>
      </c>
      <c r="M203" s="306">
        <f t="shared" ca="1" si="103"/>
        <v>-5.6812789049888797E-2</v>
      </c>
      <c r="N203" s="304">
        <f t="shared" ca="1" si="104"/>
        <v>-3.2551330349256862</v>
      </c>
      <c r="P203" s="310">
        <f t="shared" ca="1" si="105"/>
        <v>23</v>
      </c>
      <c r="Q203" s="304">
        <f t="shared" ca="1" si="106"/>
        <v>0</v>
      </c>
      <c r="R203" s="306">
        <f t="shared" ca="1" si="107"/>
        <v>0</v>
      </c>
      <c r="S203" s="307">
        <f t="shared" ca="1" si="108"/>
        <v>5.083000000000002</v>
      </c>
      <c r="T203" s="304">
        <f t="shared" ca="1" si="88"/>
        <v>49.86423000000002</v>
      </c>
      <c r="U203" s="311">
        <f t="shared" ca="1" si="89"/>
        <v>0</v>
      </c>
      <c r="V203" s="306">
        <f t="shared" ca="1" si="90"/>
        <v>1.0807263213337841</v>
      </c>
      <c r="W203" s="304">
        <f t="shared" ca="1" si="91"/>
        <v>1.7824566365451759</v>
      </c>
      <c r="Y203" s="314" t="str">
        <f t="shared" ca="1" si="109"/>
        <v/>
      </c>
      <c r="Z203" s="315" t="str">
        <f t="shared" ca="1" si="110"/>
        <v/>
      </c>
      <c r="AA203" s="316" t="str">
        <f t="shared" ca="1" si="111"/>
        <v/>
      </c>
      <c r="AC203" s="310" t="e">
        <f t="shared" ca="1" si="112"/>
        <v>#N/A</v>
      </c>
      <c r="AD203" s="323" t="e">
        <f t="shared" ca="1" si="113"/>
        <v>#N/A</v>
      </c>
      <c r="AE203" s="324">
        <f t="shared" ca="1" si="92"/>
        <v>1251.4380161367837</v>
      </c>
      <c r="AG203" s="306">
        <f t="shared" ca="1" si="114"/>
        <v>-0.20865173238235826</v>
      </c>
      <c r="AH203" s="304">
        <f t="shared" ca="1" si="115"/>
        <v>-0.35067028307738557</v>
      </c>
    </row>
    <row r="204" spans="1:34" x14ac:dyDescent="0.2">
      <c r="A204" s="347">
        <f t="shared" ca="1" si="93"/>
        <v>0.1</v>
      </c>
      <c r="B204" s="304">
        <f t="shared" ca="1" si="94"/>
        <v>10.999999999999979</v>
      </c>
      <c r="D204" s="306">
        <f t="shared" ca="1" si="95"/>
        <v>-0.35010442628228422</v>
      </c>
      <c r="E204" s="307">
        <f t="shared" ca="1" si="96"/>
        <v>-9.790088163374401</v>
      </c>
      <c r="F204" s="304">
        <f t="shared" ca="1" si="97"/>
        <v>9.7963462247894242</v>
      </c>
      <c r="G204" s="306">
        <f t="shared" ca="1" si="98"/>
        <v>23.104205596535731</v>
      </c>
      <c r="H204" s="307">
        <f t="shared" ca="1" si="99"/>
        <v>-2.2950284231412592</v>
      </c>
      <c r="I204" s="304">
        <f t="shared" ca="1" si="100"/>
        <v>23.21791273370669</v>
      </c>
      <c r="J204" s="306">
        <f t="shared" ca="1" si="101"/>
        <v>440.23148883763326</v>
      </c>
      <c r="K204" s="307">
        <f t="shared" ca="1" si="102"/>
        <v>1251.2574637352866</v>
      </c>
      <c r="L204" s="304">
        <f t="shared" ca="1" si="87"/>
        <v>1326.4422355750969</v>
      </c>
      <c r="M204" s="306">
        <f t="shared" ca="1" si="103"/>
        <v>-9.9009000197997077E-2</v>
      </c>
      <c r="N204" s="304">
        <f t="shared" ca="1" si="104"/>
        <v>-5.6727978451551646</v>
      </c>
      <c r="P204" s="310">
        <f t="shared" ca="1" si="105"/>
        <v>23</v>
      </c>
      <c r="Q204" s="304">
        <f t="shared" ca="1" si="106"/>
        <v>0</v>
      </c>
      <c r="R204" s="306">
        <f t="shared" ca="1" si="107"/>
        <v>0</v>
      </c>
      <c r="S204" s="307">
        <f t="shared" ca="1" si="108"/>
        <v>5.083000000000002</v>
      </c>
      <c r="T204" s="304">
        <f t="shared" ca="1" si="88"/>
        <v>49.86423000000002</v>
      </c>
      <c r="U204" s="311">
        <f t="shared" ca="1" si="89"/>
        <v>0</v>
      </c>
      <c r="V204" s="306">
        <f t="shared" ca="1" si="90"/>
        <v>1.0807459109710196</v>
      </c>
      <c r="W204" s="304">
        <f t="shared" ca="1" si="91"/>
        <v>1.7888477892430061</v>
      </c>
      <c r="Y204" s="314" t="str">
        <f t="shared" ca="1" si="109"/>
        <v/>
      </c>
      <c r="Z204" s="315" t="str">
        <f t="shared" ca="1" si="110"/>
        <v/>
      </c>
      <c r="AA204" s="316" t="str">
        <f t="shared" ca="1" si="111"/>
        <v/>
      </c>
      <c r="AC204" s="310">
        <f t="shared" ca="1" si="112"/>
        <v>10.999999999999979</v>
      </c>
      <c r="AD204" s="323">
        <f t="shared" ca="1" si="113"/>
        <v>440.23148883763326</v>
      </c>
      <c r="AE204" s="324">
        <f t="shared" ca="1" si="92"/>
        <v>1251.2574637352866</v>
      </c>
      <c r="AG204" s="306">
        <f t="shared" ca="1" si="114"/>
        <v>0.20636349012011596</v>
      </c>
      <c r="AH204" s="304">
        <f t="shared" ca="1" si="115"/>
        <v>-0.35067020195655624</v>
      </c>
    </row>
    <row r="205" spans="1:34" x14ac:dyDescent="0.2">
      <c r="A205" s="347">
        <f t="shared" ca="1" si="93"/>
        <v>0.1</v>
      </c>
      <c r="B205" s="304">
        <f t="shared" ca="1" si="94"/>
        <v>11.099999999999978</v>
      </c>
      <c r="D205" s="306">
        <f t="shared" ca="1" si="95"/>
        <v>-0.35020403438490355</v>
      </c>
      <c r="E205" s="307">
        <f t="shared" ca="1" si="96"/>
        <v>-9.775212904228459</v>
      </c>
      <c r="F205" s="304">
        <f t="shared" ca="1" si="97"/>
        <v>9.7814840483790615</v>
      </c>
      <c r="G205" s="306">
        <f t="shared" ca="1" si="98"/>
        <v>23.06918519309724</v>
      </c>
      <c r="H205" s="307">
        <f t="shared" ca="1" si="99"/>
        <v>-3.2725497135641053</v>
      </c>
      <c r="I205" s="304">
        <f t="shared" ca="1" si="100"/>
        <v>23.300147791401784</v>
      </c>
      <c r="J205" s="306">
        <f t="shared" ca="1" si="101"/>
        <v>442.54015837711489</v>
      </c>
      <c r="K205" s="307">
        <f t="shared" ca="1" si="102"/>
        <v>1250.9790848284513</v>
      </c>
      <c r="L205" s="304">
        <f t="shared" ca="1" si="87"/>
        <v>1326.9477994460337</v>
      </c>
      <c r="M205" s="306">
        <f t="shared" ca="1" si="103"/>
        <v>-0.14091781064294573</v>
      </c>
      <c r="N205" s="304">
        <f t="shared" ca="1" si="104"/>
        <v>-8.0739958080645042</v>
      </c>
      <c r="P205" s="310">
        <f t="shared" ca="1" si="105"/>
        <v>23</v>
      </c>
      <c r="Q205" s="304">
        <f t="shared" ca="1" si="106"/>
        <v>0</v>
      </c>
      <c r="R205" s="306">
        <f t="shared" ca="1" si="107"/>
        <v>0</v>
      </c>
      <c r="S205" s="307">
        <f t="shared" ca="1" si="108"/>
        <v>5.083000000000002</v>
      </c>
      <c r="T205" s="304">
        <f t="shared" ca="1" si="88"/>
        <v>49.86423000000002</v>
      </c>
      <c r="U205" s="311">
        <f t="shared" ca="1" si="89"/>
        <v>0</v>
      </c>
      <c r="V205" s="306">
        <f t="shared" ca="1" si="90"/>
        <v>1.0807761152747168</v>
      </c>
      <c r="W205" s="304">
        <f t="shared" ca="1" si="91"/>
        <v>1.8015923469844703</v>
      </c>
      <c r="Y205" s="314" t="str">
        <f t="shared" ca="1" si="109"/>
        <v/>
      </c>
      <c r="Z205" s="315" t="str">
        <f t="shared" ca="1" si="110"/>
        <v>Para</v>
      </c>
      <c r="AA205" s="316" t="str">
        <f t="shared" ca="1" si="111"/>
        <v/>
      </c>
      <c r="AC205" s="310" t="e">
        <f t="shared" ca="1" si="112"/>
        <v>#N/A</v>
      </c>
      <c r="AD205" s="323" t="e">
        <f t="shared" ca="1" si="113"/>
        <v>#N/A</v>
      </c>
      <c r="AE205" s="324" t="e">
        <f t="shared" ca="1" si="92"/>
        <v>#N/A</v>
      </c>
      <c r="AG205" s="306">
        <f t="shared" ca="1" si="114"/>
        <v>0.61776463762281464</v>
      </c>
      <c r="AH205" s="304">
        <f t="shared" ca="1" si="115"/>
        <v>-0.35192756034684347</v>
      </c>
    </row>
    <row r="206" spans="1:34" x14ac:dyDescent="0.2">
      <c r="A206" s="347">
        <f t="shared" ca="1" si="93"/>
        <v>0.1</v>
      </c>
      <c r="B206" s="304">
        <f t="shared" ca="1" si="94"/>
        <v>11.199999999999978</v>
      </c>
      <c r="D206" s="306">
        <f t="shared" ca="1" si="95"/>
        <v>-0.35092151718800563</v>
      </c>
      <c r="E206" s="307">
        <f t="shared" ca="1" si="96"/>
        <v>-9.7602189565455166</v>
      </c>
      <c r="F206" s="304">
        <f t="shared" ca="1" si="97"/>
        <v>9.7665254820194871</v>
      </c>
      <c r="G206" s="306">
        <f t="shared" ca="1" si="98"/>
        <v>23.034093041378441</v>
      </c>
      <c r="H206" s="307">
        <f t="shared" ca="1" si="99"/>
        <v>-4.248571609218657</v>
      </c>
      <c r="I206" s="304">
        <f t="shared" ca="1" si="100"/>
        <v>23.422634415401216</v>
      </c>
      <c r="J206" s="306">
        <f t="shared" ca="1" si="101"/>
        <v>444.8453222888387</v>
      </c>
      <c r="K206" s="307">
        <f t="shared" ca="1" si="102"/>
        <v>1250.6030287623121</v>
      </c>
      <c r="L206" s="304">
        <f t="shared" ca="1" si="87"/>
        <v>1327.3640406127211</v>
      </c>
      <c r="M206" s="306">
        <f t="shared" ca="1" si="103"/>
        <v>-0.18239710796039618</v>
      </c>
      <c r="N206" s="304">
        <f t="shared" ca="1" si="104"/>
        <v>-10.450584481522732</v>
      </c>
      <c r="P206" s="310">
        <f t="shared" ca="1" si="105"/>
        <v>23</v>
      </c>
      <c r="Q206" s="304">
        <f t="shared" ca="1" si="106"/>
        <v>0</v>
      </c>
      <c r="R206" s="306">
        <f t="shared" ca="1" si="107"/>
        <v>0</v>
      </c>
      <c r="S206" s="307">
        <f t="shared" ca="1" si="108"/>
        <v>5.083000000000002</v>
      </c>
      <c r="T206" s="304">
        <f t="shared" ca="1" si="88"/>
        <v>49.86423000000002</v>
      </c>
      <c r="U206" s="311">
        <f t="shared" ca="1" si="89"/>
        <v>0</v>
      </c>
      <c r="V206" s="306">
        <f t="shared" ca="1" si="90"/>
        <v>1.0808169188742258</v>
      </c>
      <c r="W206" s="304">
        <f t="shared" ca="1" si="91"/>
        <v>1.8206524618651507</v>
      </c>
      <c r="Y206" s="314" t="str">
        <f t="shared" ca="1" si="109"/>
        <v/>
      </c>
      <c r="Z206" s="315" t="str">
        <f t="shared" ca="1" si="110"/>
        <v/>
      </c>
      <c r="AA206" s="316" t="str">
        <f t="shared" ca="1" si="111"/>
        <v/>
      </c>
      <c r="AC206" s="310" t="e">
        <f t="shared" ca="1" si="112"/>
        <v>#N/A</v>
      </c>
      <c r="AD206" s="323" t="e">
        <f t="shared" ca="1" si="113"/>
        <v>#N/A</v>
      </c>
      <c r="AE206" s="324" t="e">
        <f t="shared" ca="1" si="92"/>
        <v>#N/A</v>
      </c>
      <c r="AG206" s="306">
        <f t="shared" ca="1" si="114"/>
        <v>1.0233981559169605</v>
      </c>
      <c r="AH206" s="304">
        <f t="shared" ca="1" si="115"/>
        <v>-0.35443485087241189</v>
      </c>
    </row>
    <row r="207" spans="1:34" x14ac:dyDescent="0.2">
      <c r="A207" s="347">
        <f t="shared" ca="1" si="93"/>
        <v>0.1</v>
      </c>
      <c r="B207" s="304">
        <f t="shared" ca="1" si="94"/>
        <v>11.299999999999978</v>
      </c>
      <c r="D207" s="306">
        <f t="shared" ca="1" si="95"/>
        <v>-0.35224295827639118</v>
      </c>
      <c r="E207" s="307">
        <f t="shared" ca="1" si="96"/>
        <v>-9.7450298086670095</v>
      </c>
      <c r="F207" s="304">
        <f t="shared" ca="1" si="97"/>
        <v>9.751393801578514</v>
      </c>
      <c r="G207" s="306">
        <f t="shared" ca="1" si="98"/>
        <v>22.998868745550801</v>
      </c>
      <c r="H207" s="307">
        <f t="shared" ca="1" si="99"/>
        <v>-5.2230745900853579</v>
      </c>
      <c r="I207" s="304">
        <f t="shared" ca="1" si="100"/>
        <v>23.584496427710064</v>
      </c>
      <c r="J207" s="306">
        <f t="shared" ca="1" si="101"/>
        <v>447.14697037818519</v>
      </c>
      <c r="K207" s="307">
        <f t="shared" ca="1" si="102"/>
        <v>1250.1294464523469</v>
      </c>
      <c r="L207" s="304">
        <f t="shared" ca="1" si="87"/>
        <v>1327.6912464898007</v>
      </c>
      <c r="M207" s="306">
        <f t="shared" ca="1" si="103"/>
        <v>-0.2233136537707861</v>
      </c>
      <c r="N207" s="304">
        <f t="shared" ca="1" si="104"/>
        <v>-12.794929868711765</v>
      </c>
      <c r="P207" s="310">
        <f t="shared" ca="1" si="105"/>
        <v>23</v>
      </c>
      <c r="Q207" s="304">
        <f t="shared" ca="1" si="106"/>
        <v>0</v>
      </c>
      <c r="R207" s="306">
        <f t="shared" ca="1" si="107"/>
        <v>0</v>
      </c>
      <c r="S207" s="307">
        <f t="shared" ca="1" si="108"/>
        <v>5.083000000000002</v>
      </c>
      <c r="T207" s="304">
        <f t="shared" ca="1" si="88"/>
        <v>49.86423000000002</v>
      </c>
      <c r="U207" s="311">
        <f t="shared" ca="1" si="89"/>
        <v>0</v>
      </c>
      <c r="V207" s="306">
        <f t="shared" ca="1" si="90"/>
        <v>1.0808683065189717</v>
      </c>
      <c r="W207" s="304">
        <f t="shared" ca="1" si="91"/>
        <v>1.8459903925122692</v>
      </c>
      <c r="Y207" s="314" t="str">
        <f t="shared" ca="1" si="109"/>
        <v/>
      </c>
      <c r="Z207" s="315" t="str">
        <f t="shared" ca="1" si="110"/>
        <v/>
      </c>
      <c r="AA207" s="316" t="str">
        <f t="shared" ca="1" si="111"/>
        <v/>
      </c>
      <c r="AC207" s="310" t="e">
        <f t="shared" ca="1" si="112"/>
        <v>#N/A</v>
      </c>
      <c r="AD207" s="323" t="e">
        <f t="shared" ca="1" si="113"/>
        <v>#N/A</v>
      </c>
      <c r="AE207" s="324" t="e">
        <f t="shared" ca="1" si="92"/>
        <v>#N/A</v>
      </c>
      <c r="AG207" s="306">
        <f t="shared" ca="1" si="114"/>
        <v>1.421226123057054</v>
      </c>
      <c r="AH207" s="304">
        <f t="shared" ca="1" si="115"/>
        <v>-0.35818462755560693</v>
      </c>
    </row>
    <row r="208" spans="1:34" x14ac:dyDescent="0.2">
      <c r="A208" s="347">
        <f t="shared" ca="1" si="93"/>
        <v>0.1</v>
      </c>
      <c r="B208" s="304">
        <f t="shared" ca="1" si="94"/>
        <v>11.399999999999977</v>
      </c>
      <c r="D208" s="306">
        <f t="shared" ca="1" si="95"/>
        <v>-0.35415158819284087</v>
      </c>
      <c r="E208" s="307">
        <f t="shared" ca="1" si="96"/>
        <v>-9.7295716892950992</v>
      </c>
      <c r="F208" s="304">
        <f t="shared" ca="1" si="97"/>
        <v>9.7360150269271983</v>
      </c>
      <c r="G208" s="306">
        <f t="shared" ca="1" si="98"/>
        <v>22.963453586731518</v>
      </c>
      <c r="H208" s="307">
        <f t="shared" ca="1" si="99"/>
        <v>-6.1960317590148684</v>
      </c>
      <c r="I208" s="304">
        <f t="shared" ca="1" si="100"/>
        <v>23.784680157376375</v>
      </c>
      <c r="J208" s="306">
        <f t="shared" ca="1" si="101"/>
        <v>449.44508649479928</v>
      </c>
      <c r="K208" s="307">
        <f t="shared" ca="1" si="102"/>
        <v>1249.5584911348919</v>
      </c>
      <c r="L208" s="304">
        <f t="shared" ca="1" si="87"/>
        <v>1327.9297076809546</v>
      </c>
      <c r="M208" s="306">
        <f t="shared" ca="1" si="103"/>
        <v>-0.26354538512981701</v>
      </c>
      <c r="N208" s="304">
        <f t="shared" ca="1" si="104"/>
        <v>-15.100038278088361</v>
      </c>
      <c r="P208" s="310">
        <f t="shared" ca="1" si="105"/>
        <v>23</v>
      </c>
      <c r="Q208" s="304">
        <f t="shared" ca="1" si="106"/>
        <v>0</v>
      </c>
      <c r="R208" s="306">
        <f t="shared" ca="1" si="107"/>
        <v>0</v>
      </c>
      <c r="S208" s="307">
        <f t="shared" ca="1" si="108"/>
        <v>5.083000000000002</v>
      </c>
      <c r="T208" s="304">
        <f t="shared" ca="1" si="88"/>
        <v>49.86423000000002</v>
      </c>
      <c r="U208" s="311">
        <f t="shared" ca="1" si="89"/>
        <v>0</v>
      </c>
      <c r="V208" s="306">
        <f t="shared" ca="1" si="90"/>
        <v>1.0809302629954558</v>
      </c>
      <c r="W208" s="304">
        <f t="shared" ca="1" si="91"/>
        <v>1.87756830685139</v>
      </c>
      <c r="Y208" s="314" t="str">
        <f t="shared" ca="1" si="109"/>
        <v/>
      </c>
      <c r="Z208" s="315" t="str">
        <f t="shared" ca="1" si="110"/>
        <v/>
      </c>
      <c r="AA208" s="316" t="str">
        <f t="shared" ca="1" si="111"/>
        <v/>
      </c>
      <c r="AC208" s="310" t="e">
        <f t="shared" ca="1" si="112"/>
        <v>#N/A</v>
      </c>
      <c r="AD208" s="323" t="e">
        <f t="shared" ca="1" si="113"/>
        <v>#N/A</v>
      </c>
      <c r="AE208" s="324" t="e">
        <f t="shared" ca="1" si="92"/>
        <v>#N/A</v>
      </c>
      <c r="AG208" s="306">
        <f t="shared" ca="1" si="114"/>
        <v>1.8093747687467134</v>
      </c>
      <c r="AH208" s="304">
        <f t="shared" ca="1" si="115"/>
        <v>-0.3631694653771923</v>
      </c>
    </row>
    <row r="209" spans="1:34" x14ac:dyDescent="0.2">
      <c r="A209" s="347">
        <f t="shared" ca="1" si="93"/>
        <v>0.1</v>
      </c>
      <c r="B209" s="304">
        <f t="shared" ca="1" si="94"/>
        <v>11.499999999999977</v>
      </c>
      <c r="D209" s="306">
        <f t="shared" ca="1" si="95"/>
        <v>-0.35662807123815699</v>
      </c>
      <c r="E209" s="307">
        <f t="shared" ca="1" si="96"/>
        <v>-9.7137741057893567</v>
      </c>
      <c r="F209" s="304">
        <f t="shared" ca="1" si="97"/>
        <v>9.7203184597778929</v>
      </c>
      <c r="G209" s="306">
        <f t="shared" ca="1" si="98"/>
        <v>22.927790779607701</v>
      </c>
      <c r="H209" s="307">
        <f t="shared" ca="1" si="99"/>
        <v>-7.167409169593804</v>
      </c>
      <c r="I209" s="304">
        <f t="shared" ca="1" si="100"/>
        <v>24.021976276689671</v>
      </c>
      <c r="J209" s="306">
        <f t="shared" ca="1" si="101"/>
        <v>451.73964871311625</v>
      </c>
      <c r="K209" s="307">
        <f t="shared" ca="1" si="102"/>
        <v>1248.8903190884614</v>
      </c>
      <c r="L209" s="304">
        <f t="shared" ca="1" si="87"/>
        <v>1328.0797187414348</v>
      </c>
      <c r="M209" s="306">
        <f t="shared" ca="1" si="103"/>
        <v>-0.30298319123270195</v>
      </c>
      <c r="N209" s="304">
        <f t="shared" ca="1" si="104"/>
        <v>-17.359658121038947</v>
      </c>
      <c r="P209" s="310">
        <f t="shared" ca="1" si="105"/>
        <v>23</v>
      </c>
      <c r="Q209" s="304">
        <f t="shared" ca="1" si="106"/>
        <v>0</v>
      </c>
      <c r="R209" s="306">
        <f t="shared" ca="1" si="107"/>
        <v>0</v>
      </c>
      <c r="S209" s="307">
        <f t="shared" ca="1" si="108"/>
        <v>5.083000000000002</v>
      </c>
      <c r="T209" s="304">
        <f t="shared" ca="1" si="88"/>
        <v>49.86423000000002</v>
      </c>
      <c r="U209" s="311">
        <f t="shared" ca="1" si="89"/>
        <v>0</v>
      </c>
      <c r="V209" s="306">
        <f t="shared" ca="1" si="90"/>
        <v>1.081002773047492</v>
      </c>
      <c r="W209" s="304">
        <f t="shared" ca="1" si="91"/>
        <v>1.915348094575499</v>
      </c>
      <c r="Y209" s="314" t="str">
        <f t="shared" ca="1" si="109"/>
        <v/>
      </c>
      <c r="Z209" s="315" t="str">
        <f t="shared" ca="1" si="110"/>
        <v/>
      </c>
      <c r="AA209" s="316" t="str">
        <f t="shared" ca="1" si="111"/>
        <v/>
      </c>
      <c r="AC209" s="310" t="e">
        <f t="shared" ca="1" si="112"/>
        <v>#N/A</v>
      </c>
      <c r="AD209" s="323" t="e">
        <f t="shared" ca="1" si="113"/>
        <v>#N/A</v>
      </c>
      <c r="AE209" s="324" t="e">
        <f t="shared" ca="1" si="92"/>
        <v>#N/A</v>
      </c>
      <c r="AG209" s="306">
        <f t="shared" ca="1" si="114"/>
        <v>2.1861736358745225</v>
      </c>
      <c r="AH209" s="304">
        <f t="shared" ca="1" si="115"/>
        <v>-0.36938192147381255</v>
      </c>
    </row>
    <row r="210" spans="1:34" x14ac:dyDescent="0.2">
      <c r="A210" s="347">
        <f t="shared" ca="1" si="93"/>
        <v>0.1</v>
      </c>
      <c r="B210" s="304">
        <f t="shared" ca="1" si="94"/>
        <v>11.599999999999977</v>
      </c>
      <c r="D210" s="306">
        <f t="shared" ca="1" si="95"/>
        <v>-0.35965084133608471</v>
      </c>
      <c r="E210" s="307">
        <f t="shared" ca="1" si="96"/>
        <v>-9.6975702956807748</v>
      </c>
      <c r="F210" s="304">
        <f t="shared" ca="1" si="97"/>
        <v>9.7042371347439715</v>
      </c>
      <c r="G210" s="306">
        <f t="shared" ca="1" si="98"/>
        <v>22.891825695474093</v>
      </c>
      <c r="H210" s="307">
        <f t="shared" ca="1" si="99"/>
        <v>-8.1371661991618822</v>
      </c>
      <c r="I210" s="304">
        <f t="shared" ca="1" si="100"/>
        <v>24.295043886042901</v>
      </c>
      <c r="J210" s="306">
        <f t="shared" ca="1" si="101"/>
        <v>454.03062953687032</v>
      </c>
      <c r="K210" s="307">
        <f t="shared" ca="1" si="102"/>
        <v>1248.1250903200237</v>
      </c>
      <c r="L210" s="304">
        <f t="shared" ca="1" si="87"/>
        <v>1328.141578915446</v>
      </c>
      <c r="M210" s="306">
        <f t="shared" ca="1" si="103"/>
        <v>-0.34153212433774183</v>
      </c>
      <c r="N210" s="304">
        <f t="shared" ca="1" si="104"/>
        <v>-19.568349292689874</v>
      </c>
      <c r="P210" s="310">
        <f t="shared" ca="1" si="105"/>
        <v>23</v>
      </c>
      <c r="Q210" s="304">
        <f t="shared" ca="1" si="106"/>
        <v>0</v>
      </c>
      <c r="R210" s="306">
        <f t="shared" ca="1" si="107"/>
        <v>0</v>
      </c>
      <c r="S210" s="307">
        <f t="shared" ca="1" si="108"/>
        <v>5.083000000000002</v>
      </c>
      <c r="T210" s="304">
        <f t="shared" ca="1" si="88"/>
        <v>49.86423000000002</v>
      </c>
      <c r="U210" s="311">
        <f t="shared" ca="1" si="89"/>
        <v>0</v>
      </c>
      <c r="V210" s="306">
        <f t="shared" ca="1" si="90"/>
        <v>1.0810858213001984</v>
      </c>
      <c r="W210" s="304">
        <f t="shared" ca="1" si="91"/>
        <v>1.959291190488845</v>
      </c>
      <c r="Y210" s="314" t="str">
        <f t="shared" ca="1" si="109"/>
        <v/>
      </c>
      <c r="Z210" s="315" t="str">
        <f t="shared" ca="1" si="110"/>
        <v/>
      </c>
      <c r="AA210" s="316" t="str">
        <f t="shared" ca="1" si="111"/>
        <v/>
      </c>
      <c r="AC210" s="310" t="e">
        <f t="shared" ca="1" si="112"/>
        <v>#N/A</v>
      </c>
      <c r="AD210" s="323" t="e">
        <f t="shared" ca="1" si="113"/>
        <v>#N/A</v>
      </c>
      <c r="AE210" s="324" t="e">
        <f t="shared" ca="1" si="92"/>
        <v>#N/A</v>
      </c>
      <c r="AG210" s="306">
        <f t="shared" ca="1" si="114"/>
        <v>2.5501838112971944</v>
      </c>
      <c r="AH210" s="304">
        <f t="shared" ca="1" si="115"/>
        <v>-0.37681449824424518</v>
      </c>
    </row>
    <row r="211" spans="1:34" x14ac:dyDescent="0.2">
      <c r="A211" s="347">
        <f t="shared" ca="1" si="93"/>
        <v>0.1</v>
      </c>
      <c r="B211" s="304">
        <f t="shared" ca="1" si="94"/>
        <v>11.699999999999976</v>
      </c>
      <c r="D211" s="306">
        <f t="shared" ca="1" si="95"/>
        <v>-0.36319646978179138</v>
      </c>
      <c r="E211" s="307">
        <f t="shared" ca="1" si="96"/>
        <v>-9.6808975825310597</v>
      </c>
      <c r="F211" s="304">
        <f t="shared" ca="1" si="97"/>
        <v>9.687708174749984</v>
      </c>
      <c r="G211" s="306">
        <f t="shared" ca="1" si="98"/>
        <v>22.855506048495915</v>
      </c>
      <c r="H211" s="307">
        <f t="shared" ca="1" si="99"/>
        <v>-9.1052559574149878</v>
      </c>
      <c r="I211" s="304">
        <f t="shared" ca="1" si="100"/>
        <v>24.602435708337389</v>
      </c>
      <c r="J211" s="306">
        <f t="shared" ca="1" si="101"/>
        <v>456.31799612406883</v>
      </c>
      <c r="K211" s="307">
        <f t="shared" ca="1" si="102"/>
        <v>1247.2629692121948</v>
      </c>
      <c r="L211" s="304">
        <f t="shared" ca="1" si="87"/>
        <v>1328.1155928437502</v>
      </c>
      <c r="M211" s="306">
        <f t="shared" ca="1" si="103"/>
        <v>-0.37911204606789822</v>
      </c>
      <c r="N211" s="304">
        <f t="shared" ca="1" si="104"/>
        <v>-21.721520202259804</v>
      </c>
      <c r="P211" s="310">
        <f t="shared" ca="1" si="105"/>
        <v>23</v>
      </c>
      <c r="Q211" s="304">
        <f t="shared" ca="1" si="106"/>
        <v>0</v>
      </c>
      <c r="R211" s="306">
        <f t="shared" ca="1" si="107"/>
        <v>0</v>
      </c>
      <c r="S211" s="307">
        <f t="shared" ca="1" si="108"/>
        <v>5.083000000000002</v>
      </c>
      <c r="T211" s="304">
        <f t="shared" ca="1" si="88"/>
        <v>49.86423000000002</v>
      </c>
      <c r="U211" s="311">
        <f t="shared" ca="1" si="89"/>
        <v>0</v>
      </c>
      <c r="V211" s="306">
        <f t="shared" ca="1" si="90"/>
        <v>1.0811793921881705</v>
      </c>
      <c r="W211" s="304">
        <f t="shared" ca="1" si="91"/>
        <v>2.0093584096612394</v>
      </c>
      <c r="Y211" s="314" t="str">
        <f t="shared" ca="1" si="109"/>
        <v/>
      </c>
      <c r="Z211" s="315" t="str">
        <f t="shared" ca="1" si="110"/>
        <v/>
      </c>
      <c r="AA211" s="316" t="str">
        <f t="shared" ca="1" si="111"/>
        <v/>
      </c>
      <c r="AC211" s="310" t="e">
        <f t="shared" ca="1" si="112"/>
        <v>#N/A</v>
      </c>
      <c r="AD211" s="323" t="e">
        <f t="shared" ca="1" si="113"/>
        <v>#N/A</v>
      </c>
      <c r="AE211" s="324" t="e">
        <f t="shared" ca="1" si="92"/>
        <v>#N/A</v>
      </c>
      <c r="AG211" s="306">
        <f t="shared" ca="1" si="114"/>
        <v>2.9002146543617493</v>
      </c>
      <c r="AH211" s="304">
        <f t="shared" ca="1" si="115"/>
        <v>-0.38545960859509037</v>
      </c>
    </row>
    <row r="212" spans="1:34" x14ac:dyDescent="0.2">
      <c r="A212" s="347">
        <f t="shared" ca="1" si="93"/>
        <v>0.1</v>
      </c>
      <c r="B212" s="304">
        <f t="shared" ca="1" si="94"/>
        <v>11.799999999999976</v>
      </c>
      <c r="D212" s="306">
        <f t="shared" ca="1" si="95"/>
        <v>-0.36724004768595864</v>
      </c>
      <c r="E212" s="307">
        <f t="shared" ca="1" si="96"/>
        <v>-9.6636976330824247</v>
      </c>
      <c r="F212" s="304">
        <f t="shared" ca="1" si="97"/>
        <v>9.6706730477390881</v>
      </c>
      <c r="G212" s="306">
        <f t="shared" ca="1" si="98"/>
        <v>22.818782043727317</v>
      </c>
      <c r="H212" s="307">
        <f t="shared" ca="1" si="99"/>
        <v>-10.07162572072323</v>
      </c>
      <c r="I212" s="304">
        <f t="shared" ca="1" si="100"/>
        <v>24.942623330705732</v>
      </c>
      <c r="J212" s="306">
        <f t="shared" ca="1" si="101"/>
        <v>458.60171052867997</v>
      </c>
      <c r="K212" s="307">
        <f t="shared" ca="1" si="102"/>
        <v>1246.304125128288</v>
      </c>
      <c r="L212" s="304">
        <f t="shared" ca="1" si="87"/>
        <v>1328.0020712376991</v>
      </c>
      <c r="M212" s="306">
        <f t="shared" ca="1" si="103"/>
        <v>-0.41565774671002176</v>
      </c>
      <c r="N212" s="304">
        <f t="shared" ca="1" si="104"/>
        <v>-23.815434608402025</v>
      </c>
      <c r="P212" s="310">
        <f t="shared" ca="1" si="105"/>
        <v>23</v>
      </c>
      <c r="Q212" s="304">
        <f t="shared" ca="1" si="106"/>
        <v>0</v>
      </c>
      <c r="R212" s="306">
        <f t="shared" ca="1" si="107"/>
        <v>0</v>
      </c>
      <c r="S212" s="307">
        <f t="shared" ca="1" si="108"/>
        <v>5.083000000000002</v>
      </c>
      <c r="T212" s="304">
        <f t="shared" ca="1" si="88"/>
        <v>49.86423000000002</v>
      </c>
      <c r="U212" s="311">
        <f t="shared" ca="1" si="89"/>
        <v>0</v>
      </c>
      <c r="V212" s="306">
        <f t="shared" ca="1" si="90"/>
        <v>1.0812834698881604</v>
      </c>
      <c r="W212" s="304">
        <f t="shared" ca="1" si="91"/>
        <v>2.0655097950781678</v>
      </c>
      <c r="Y212" s="314" t="str">
        <f t="shared" ca="1" si="109"/>
        <v/>
      </c>
      <c r="Z212" s="315" t="str">
        <f t="shared" ca="1" si="110"/>
        <v/>
      </c>
      <c r="AA212" s="316" t="str">
        <f t="shared" ca="1" si="111"/>
        <v/>
      </c>
      <c r="AC212" s="310" t="e">
        <f t="shared" ca="1" si="112"/>
        <v>#N/A</v>
      </c>
      <c r="AD212" s="323" t="e">
        <f t="shared" ca="1" si="113"/>
        <v>#N/A</v>
      </c>
      <c r="AE212" s="324" t="e">
        <f t="shared" ca="1" si="92"/>
        <v>#N/A</v>
      </c>
      <c r="AG212" s="306">
        <f t="shared" ca="1" si="114"/>
        <v>3.235329390015246</v>
      </c>
      <c r="AH212" s="304">
        <f t="shared" ca="1" si="115"/>
        <v>-0.39530954350998199</v>
      </c>
    </row>
    <row r="213" spans="1:34" x14ac:dyDescent="0.2">
      <c r="A213" s="347">
        <f t="shared" ca="1" si="93"/>
        <v>0.1</v>
      </c>
      <c r="B213" s="304">
        <f t="shared" ca="1" si="94"/>
        <v>11.899999999999975</v>
      </c>
      <c r="D213" s="306">
        <f t="shared" ca="1" si="95"/>
        <v>-0.37175556720242908</v>
      </c>
      <c r="E213" s="307">
        <f t="shared" ca="1" si="96"/>
        <v>-9.6459166179297782</v>
      </c>
      <c r="F213" s="304">
        <f t="shared" ca="1" si="97"/>
        <v>9.6530777269117571</v>
      </c>
      <c r="G213" s="306">
        <f t="shared" ca="1" si="98"/>
        <v>22.781606487007075</v>
      </c>
      <c r="H213" s="307">
        <f t="shared" ca="1" si="99"/>
        <v>-11.036217382516208</v>
      </c>
      <c r="I213" s="304">
        <f t="shared" ca="1" si="100"/>
        <v>25.314021573882641</v>
      </c>
      <c r="J213" s="306">
        <f t="shared" ca="1" si="101"/>
        <v>460.88172995521671</v>
      </c>
      <c r="K213" s="307">
        <f t="shared" ca="1" si="102"/>
        <v>1245.2487329731259</v>
      </c>
      <c r="L213" s="304">
        <f t="shared" ca="1" si="87"/>
        <v>1327.801331516763</v>
      </c>
      <c r="M213" s="306">
        <f t="shared" ca="1" si="103"/>
        <v>-0.45111860279926919</v>
      </c>
      <c r="N213" s="304">
        <f t="shared" ca="1" si="104"/>
        <v>-25.847192000236689</v>
      </c>
      <c r="P213" s="310">
        <f t="shared" ca="1" si="105"/>
        <v>23</v>
      </c>
      <c r="Q213" s="304">
        <f t="shared" ca="1" si="106"/>
        <v>0</v>
      </c>
      <c r="R213" s="306">
        <f t="shared" ca="1" si="107"/>
        <v>0</v>
      </c>
      <c r="S213" s="307">
        <f t="shared" ca="1" si="108"/>
        <v>5.083000000000002</v>
      </c>
      <c r="T213" s="304">
        <f t="shared" ca="1" si="88"/>
        <v>49.86423000000002</v>
      </c>
      <c r="U213" s="311">
        <f t="shared" ca="1" si="89"/>
        <v>0</v>
      </c>
      <c r="V213" s="306">
        <f t="shared" ca="1" si="90"/>
        <v>1.0813980382564712</v>
      </c>
      <c r="W213" s="304">
        <f t="shared" ca="1" si="91"/>
        <v>2.1277044782224337</v>
      </c>
      <c r="Y213" s="314" t="str">
        <f t="shared" ca="1" si="109"/>
        <v/>
      </c>
      <c r="Z213" s="315" t="str">
        <f t="shared" ca="1" si="110"/>
        <v/>
      </c>
      <c r="AA213" s="316" t="str">
        <f t="shared" ca="1" si="111"/>
        <v/>
      </c>
      <c r="AC213" s="310" t="e">
        <f t="shared" ca="1" si="112"/>
        <v>#N/A</v>
      </c>
      <c r="AD213" s="323" t="e">
        <f t="shared" ca="1" si="113"/>
        <v>#N/A</v>
      </c>
      <c r="AE213" s="324" t="e">
        <f t="shared" ca="1" si="92"/>
        <v>#N/A</v>
      </c>
      <c r="AG213" s="306">
        <f t="shared" ca="1" si="114"/>
        <v>3.5548407026780033</v>
      </c>
      <c r="AH213" s="304">
        <f t="shared" ca="1" si="115"/>
        <v>-0.40635644207715266</v>
      </c>
    </row>
    <row r="214" spans="1:34" x14ac:dyDescent="0.2">
      <c r="A214" s="347">
        <f t="shared" ca="1" si="93"/>
        <v>0.1</v>
      </c>
      <c r="B214" s="304">
        <f t="shared" ca="1" si="94"/>
        <v>11.999999999999975</v>
      </c>
      <c r="D214" s="306">
        <f t="shared" ca="1" si="95"/>
        <v>-0.3767162878688366</v>
      </c>
      <c r="E214" s="307">
        <f t="shared" ca="1" si="96"/>
        <v>-9.6275052823063128</v>
      </c>
      <c r="F214" s="304">
        <f t="shared" ca="1" si="97"/>
        <v>9.6348727610893565</v>
      </c>
      <c r="G214" s="306">
        <f t="shared" ca="1" si="98"/>
        <v>22.743934858220189</v>
      </c>
      <c r="H214" s="307">
        <f t="shared" ca="1" si="99"/>
        <v>-11.998967910746838</v>
      </c>
      <c r="I214" s="304">
        <f t="shared" ca="1" si="100"/>
        <v>25.715011253314586</v>
      </c>
      <c r="J214" s="306">
        <f t="shared" ca="1" si="101"/>
        <v>463.1580070224781</v>
      </c>
      <c r="K214" s="307">
        <f t="shared" ca="1" si="102"/>
        <v>1244.0969737084629</v>
      </c>
      <c r="L214" s="304">
        <f t="shared" ca="1" si="87"/>
        <v>1327.5136984075116</v>
      </c>
      <c r="M214" s="306">
        <f t="shared" ca="1" si="103"/>
        <v>-0.48545785585827222</v>
      </c>
      <c r="N214" s="304">
        <f t="shared" ca="1" si="104"/>
        <v>-27.814686272149267</v>
      </c>
      <c r="P214" s="310">
        <f t="shared" ca="1" si="105"/>
        <v>23</v>
      </c>
      <c r="Q214" s="304">
        <f t="shared" ca="1" si="106"/>
        <v>0</v>
      </c>
      <c r="R214" s="306">
        <f t="shared" ca="1" si="107"/>
        <v>0</v>
      </c>
      <c r="S214" s="307">
        <f t="shared" ca="1" si="108"/>
        <v>5.083000000000002</v>
      </c>
      <c r="T214" s="304">
        <f t="shared" ca="1" si="88"/>
        <v>49.86423000000002</v>
      </c>
      <c r="U214" s="311">
        <f t="shared" ca="1" si="89"/>
        <v>0</v>
      </c>
      <c r="V214" s="306">
        <f t="shared" ca="1" si="90"/>
        <v>1.081523080771192</v>
      </c>
      <c r="W214" s="304">
        <f t="shared" ca="1" si="91"/>
        <v>2.1959005527861715</v>
      </c>
      <c r="Y214" s="314" t="str">
        <f t="shared" ca="1" si="109"/>
        <v/>
      </c>
      <c r="Z214" s="315" t="str">
        <f t="shared" ca="1" si="110"/>
        <v/>
      </c>
      <c r="AA214" s="316" t="str">
        <f t="shared" ca="1" si="111"/>
        <v/>
      </c>
      <c r="AC214" s="310">
        <f t="shared" ca="1" si="112"/>
        <v>11.999999999999975</v>
      </c>
      <c r="AD214" s="323">
        <f t="shared" ca="1" si="113"/>
        <v>463.1580070224781</v>
      </c>
      <c r="AE214" s="324" t="e">
        <f t="shared" ca="1" si="92"/>
        <v>#N/A</v>
      </c>
      <c r="AG214" s="306">
        <f t="shared" ca="1" si="114"/>
        <v>3.8582980043024921</v>
      </c>
      <c r="AH214" s="304">
        <f t="shared" ca="1" si="115"/>
        <v>-0.41859226406107275</v>
      </c>
    </row>
    <row r="215" spans="1:34" x14ac:dyDescent="0.2">
      <c r="A215" s="347">
        <f t="shared" ca="1" si="93"/>
        <v>0.1</v>
      </c>
      <c r="B215" s="304">
        <f t="shared" ca="1" si="94"/>
        <v>12.099999999999975</v>
      </c>
      <c r="D215" s="306">
        <f t="shared" ca="1" si="95"/>
        <v>-0.38209507722367853</v>
      </c>
      <c r="E215" s="307">
        <f t="shared" ca="1" si="96"/>
        <v>-9.6084189367828667</v>
      </c>
      <c r="F215" s="304">
        <f t="shared" ca="1" si="97"/>
        <v>9.6160132650057299</v>
      </c>
      <c r="G215" s="306">
        <f t="shared" ca="1" si="98"/>
        <v>22.705725350497822</v>
      </c>
      <c r="H215" s="307">
        <f t="shared" ca="1" si="99"/>
        <v>-12.959809804425126</v>
      </c>
      <c r="I215" s="304">
        <f t="shared" ca="1" si="100"/>
        <v>26.14395979684625</v>
      </c>
      <c r="J215" s="306">
        <f t="shared" ca="1" si="101"/>
        <v>465.43049003291401</v>
      </c>
      <c r="K215" s="307">
        <f t="shared" ca="1" si="102"/>
        <v>1242.8490348227042</v>
      </c>
      <c r="L215" s="304">
        <f t="shared" ca="1" si="87"/>
        <v>1327.1395045028257</v>
      </c>
      <c r="M215" s="306">
        <f t="shared" ca="1" si="103"/>
        <v>-0.51865160290563272</v>
      </c>
      <c r="N215" s="304">
        <f t="shared" ca="1" si="104"/>
        <v>-29.716547884187861</v>
      </c>
      <c r="P215" s="310">
        <f t="shared" ca="1" si="105"/>
        <v>23</v>
      </c>
      <c r="Q215" s="304">
        <f t="shared" ca="1" si="106"/>
        <v>0</v>
      </c>
      <c r="R215" s="306">
        <f t="shared" ca="1" si="107"/>
        <v>0</v>
      </c>
      <c r="S215" s="307">
        <f t="shared" ca="1" si="108"/>
        <v>5.083000000000002</v>
      </c>
      <c r="T215" s="304">
        <f t="shared" ca="1" si="88"/>
        <v>49.86423000000002</v>
      </c>
      <c r="U215" s="311">
        <f t="shared" ca="1" si="89"/>
        <v>0</v>
      </c>
      <c r="V215" s="306">
        <f t="shared" ca="1" si="90"/>
        <v>1.08165858047929</v>
      </c>
      <c r="W215" s="304">
        <f t="shared" ca="1" si="91"/>
        <v>2.2700549614975798</v>
      </c>
      <c r="Y215" s="314" t="str">
        <f t="shared" ca="1" si="109"/>
        <v/>
      </c>
      <c r="Z215" s="315" t="str">
        <f t="shared" ca="1" si="110"/>
        <v/>
      </c>
      <c r="AA215" s="316" t="str">
        <f t="shared" ca="1" si="111"/>
        <v/>
      </c>
      <c r="AC215" s="310" t="e">
        <f t="shared" ca="1" si="112"/>
        <v>#N/A</v>
      </c>
      <c r="AD215" s="323" t="e">
        <f t="shared" ca="1" si="113"/>
        <v>#N/A</v>
      </c>
      <c r="AE215" s="324" t="e">
        <f t="shared" ca="1" si="92"/>
        <v>#N/A</v>
      </c>
      <c r="AG215" s="306">
        <f t="shared" ca="1" si="114"/>
        <v>4.1454683375146253</v>
      </c>
      <c r="AH215" s="304">
        <f t="shared" ca="1" si="115"/>
        <v>-0.43200876505728319</v>
      </c>
    </row>
    <row r="216" spans="1:34" x14ac:dyDescent="0.2">
      <c r="A216" s="347">
        <f t="shared" ca="1" si="93"/>
        <v>0.1</v>
      </c>
      <c r="B216" s="304">
        <f t="shared" ca="1" si="94"/>
        <v>12.199999999999974</v>
      </c>
      <c r="D216" s="306">
        <f t="shared" ca="1" si="95"/>
        <v>-0.3878647179244547</v>
      </c>
      <c r="E216" s="307">
        <f t="shared" ca="1" si="96"/>
        <v>-9.5886173796893157</v>
      </c>
      <c r="F216" s="304">
        <f t="shared" ca="1" si="97"/>
        <v>9.5964588413378102</v>
      </c>
      <c r="G216" s="306">
        <f t="shared" ca="1" si="98"/>
        <v>22.666938878705377</v>
      </c>
      <c r="H216" s="307">
        <f t="shared" ca="1" si="99"/>
        <v>-13.918671542394057</v>
      </c>
      <c r="I216" s="304">
        <f t="shared" ca="1" si="100"/>
        <v>26.599239380779586</v>
      </c>
      <c r="J216" s="306">
        <f t="shared" ca="1" si="101"/>
        <v>467.69912324437416</v>
      </c>
      <c r="K216" s="307">
        <f t="shared" ca="1" si="102"/>
        <v>1241.5051107553631</v>
      </c>
      <c r="L216" s="304">
        <f t="shared" ca="1" si="87"/>
        <v>1326.6790907809027</v>
      </c>
      <c r="M216" s="306">
        <f t="shared" ca="1" si="103"/>
        <v>-0.55068758864533363</v>
      </c>
      <c r="N216" s="304">
        <f t="shared" ca="1" si="104"/>
        <v>-31.552074659614011</v>
      </c>
      <c r="P216" s="310">
        <f t="shared" ca="1" si="105"/>
        <v>23</v>
      </c>
      <c r="Q216" s="304">
        <f t="shared" ca="1" si="106"/>
        <v>0</v>
      </c>
      <c r="R216" s="306">
        <f t="shared" ca="1" si="107"/>
        <v>0</v>
      </c>
      <c r="S216" s="307">
        <f t="shared" ca="1" si="108"/>
        <v>5.083000000000002</v>
      </c>
      <c r="T216" s="304">
        <f t="shared" ca="1" si="88"/>
        <v>49.86423000000002</v>
      </c>
      <c r="U216" s="311">
        <f t="shared" ca="1" si="89"/>
        <v>0</v>
      </c>
      <c r="V216" s="306">
        <f t="shared" ca="1" si="90"/>
        <v>1.0818045199485173</v>
      </c>
      <c r="W216" s="304">
        <f t="shared" ca="1" si="91"/>
        <v>2.3501233958607282</v>
      </c>
      <c r="Y216" s="314" t="str">
        <f t="shared" ca="1" si="109"/>
        <v/>
      </c>
      <c r="Z216" s="315" t="str">
        <f t="shared" ca="1" si="110"/>
        <v/>
      </c>
      <c r="AA216" s="316" t="str">
        <f t="shared" ca="1" si="111"/>
        <v/>
      </c>
      <c r="AC216" s="310" t="e">
        <f t="shared" ca="1" si="112"/>
        <v>#N/A</v>
      </c>
      <c r="AD216" s="323" t="e">
        <f t="shared" ca="1" si="113"/>
        <v>#N/A</v>
      </c>
      <c r="AE216" s="324" t="e">
        <f t="shared" ca="1" si="92"/>
        <v>#N/A</v>
      </c>
      <c r="AG216" s="306">
        <f t="shared" ca="1" si="114"/>
        <v>4.4163129329691575</v>
      </c>
      <c r="AH216" s="304">
        <f t="shared" ca="1" si="115"/>
        <v>-0.44659747422734192</v>
      </c>
    </row>
    <row r="217" spans="1:34" x14ac:dyDescent="0.2">
      <c r="A217" s="347">
        <f t="shared" ca="1" si="93"/>
        <v>0.1</v>
      </c>
      <c r="B217" s="304">
        <f t="shared" ca="1" si="94"/>
        <v>12.299999999999974</v>
      </c>
      <c r="D217" s="306">
        <f t="shared" ca="1" si="95"/>
        <v>-0.39399817656950847</v>
      </c>
      <c r="E217" s="307">
        <f t="shared" ca="1" si="96"/>
        <v>-9.5680647639578247</v>
      </c>
      <c r="F217" s="304">
        <f t="shared" ca="1" si="97"/>
        <v>9.5761734471777089</v>
      </c>
      <c r="G217" s="306">
        <f t="shared" ca="1" si="98"/>
        <v>22.627539061048427</v>
      </c>
      <c r="H217" s="307">
        <f t="shared" ca="1" si="99"/>
        <v>-14.875478018789838</v>
      </c>
      <c r="I217" s="304">
        <f t="shared" ca="1" si="100"/>
        <v>27.079242423797087</v>
      </c>
      <c r="J217" s="306">
        <f t="shared" ca="1" si="101"/>
        <v>469.96384714136184</v>
      </c>
      <c r="K217" s="307">
        <f t="shared" ca="1" si="102"/>
        <v>1240.0654032773039</v>
      </c>
      <c r="L217" s="304">
        <f t="shared" ca="1" si="87"/>
        <v>1326.1328070842721</v>
      </c>
      <c r="M217" s="306">
        <f t="shared" ca="1" si="103"/>
        <v>-0.58156388213539667</v>
      </c>
      <c r="N217" s="304">
        <f t="shared" ca="1" si="104"/>
        <v>-33.321155963601882</v>
      </c>
      <c r="P217" s="310">
        <f t="shared" ca="1" si="105"/>
        <v>23</v>
      </c>
      <c r="Q217" s="304">
        <f t="shared" ca="1" si="106"/>
        <v>0</v>
      </c>
      <c r="R217" s="306">
        <f t="shared" ca="1" si="107"/>
        <v>0</v>
      </c>
      <c r="S217" s="307">
        <f t="shared" ca="1" si="108"/>
        <v>5.083000000000002</v>
      </c>
      <c r="T217" s="304">
        <f t="shared" ca="1" si="88"/>
        <v>49.86423000000002</v>
      </c>
      <c r="U217" s="311">
        <f t="shared" ca="1" si="89"/>
        <v>0</v>
      </c>
      <c r="V217" s="306">
        <f t="shared" ca="1" si="90"/>
        <v>1.0819608812239998</v>
      </c>
      <c r="W217" s="304">
        <f t="shared" ca="1" si="91"/>
        <v>2.4360602084528016</v>
      </c>
      <c r="Y217" s="314" t="str">
        <f t="shared" ca="1" si="109"/>
        <v/>
      </c>
      <c r="Z217" s="315" t="str">
        <f t="shared" ca="1" si="110"/>
        <v/>
      </c>
      <c r="AA217" s="316" t="str">
        <f t="shared" ca="1" si="111"/>
        <v/>
      </c>
      <c r="AC217" s="310" t="e">
        <f t="shared" ca="1" si="112"/>
        <v>#N/A</v>
      </c>
      <c r="AD217" s="323" t="e">
        <f t="shared" ca="1" si="113"/>
        <v>#N/A</v>
      </c>
      <c r="AE217" s="324" t="e">
        <f t="shared" ca="1" si="92"/>
        <v>#N/A</v>
      </c>
      <c r="AG217" s="306">
        <f t="shared" ca="1" si="114"/>
        <v>4.6709613151208558</v>
      </c>
      <c r="AH217" s="304">
        <f t="shared" ca="1" si="115"/>
        <v>-0.4623496745742135</v>
      </c>
    </row>
    <row r="218" spans="1:34" x14ac:dyDescent="0.2">
      <c r="A218" s="347">
        <f t="shared" ca="1" si="93"/>
        <v>0.1</v>
      </c>
      <c r="B218" s="304">
        <f t="shared" ca="1" si="94"/>
        <v>12.399999999999974</v>
      </c>
      <c r="D218" s="306">
        <f t="shared" ca="1" si="95"/>
        <v>-0.40046883209277745</v>
      </c>
      <c r="E218" s="307">
        <f t="shared" ca="1" si="96"/>
        <v>-9.5467294210415776</v>
      </c>
      <c r="F218" s="304">
        <f t="shared" ca="1" si="97"/>
        <v>9.5551252176022583</v>
      </c>
      <c r="G218" s="306">
        <f t="shared" ca="1" si="98"/>
        <v>22.587492177839149</v>
      </c>
      <c r="H218" s="307">
        <f t="shared" ca="1" si="99"/>
        <v>-15.830150960893995</v>
      </c>
      <c r="I218" s="304">
        <f t="shared" ca="1" si="100"/>
        <v>27.582394427036931</v>
      </c>
      <c r="J218" s="306">
        <f t="shared" ca="1" si="101"/>
        <v>472.22459870330624</v>
      </c>
      <c r="K218" s="307">
        <f t="shared" ca="1" si="102"/>
        <v>1238.5301218283196</v>
      </c>
      <c r="L218" s="304">
        <f t="shared" ca="1" si="87"/>
        <v>1325.5010125596173</v>
      </c>
      <c r="M218" s="306">
        <f t="shared" ca="1" si="103"/>
        <v>-0.61128750943790022</v>
      </c>
      <c r="N218" s="304">
        <f t="shared" ca="1" si="104"/>
        <v>-35.024194359855159</v>
      </c>
      <c r="P218" s="310">
        <f t="shared" ca="1" si="105"/>
        <v>23</v>
      </c>
      <c r="Q218" s="304">
        <f t="shared" ca="1" si="106"/>
        <v>0</v>
      </c>
      <c r="R218" s="306">
        <f t="shared" ca="1" si="107"/>
        <v>0</v>
      </c>
      <c r="S218" s="307">
        <f t="shared" ca="1" si="108"/>
        <v>5.083000000000002</v>
      </c>
      <c r="T218" s="304">
        <f t="shared" ca="1" si="88"/>
        <v>49.86423000000002</v>
      </c>
      <c r="U218" s="311">
        <f t="shared" ca="1" si="89"/>
        <v>0</v>
      </c>
      <c r="V218" s="306">
        <f t="shared" ca="1" si="90"/>
        <v>1.0821276457893516</v>
      </c>
      <c r="W218" s="304">
        <f t="shared" ca="1" si="91"/>
        <v>2.5278183373019334</v>
      </c>
      <c r="Y218" s="314" t="str">
        <f t="shared" ca="1" si="109"/>
        <v/>
      </c>
      <c r="Z218" s="315" t="str">
        <f t="shared" ca="1" si="110"/>
        <v/>
      </c>
      <c r="AA218" s="316" t="str">
        <f t="shared" ca="1" si="111"/>
        <v/>
      </c>
      <c r="AC218" s="310" t="e">
        <f t="shared" ca="1" si="112"/>
        <v>#N/A</v>
      </c>
      <c r="AD218" s="323" t="e">
        <f t="shared" ca="1" si="113"/>
        <v>#N/A</v>
      </c>
      <c r="AE218" s="324" t="e">
        <f t="shared" ca="1" si="92"/>
        <v>#N/A</v>
      </c>
      <c r="AG218" s="306">
        <f t="shared" ca="1" si="114"/>
        <v>4.909684600197318</v>
      </c>
      <c r="AH218" s="304">
        <f t="shared" ca="1" si="115"/>
        <v>-0.47925638568813705</v>
      </c>
    </row>
    <row r="219" spans="1:34" x14ac:dyDescent="0.2">
      <c r="A219" s="347">
        <f t="shared" ca="1" si="93"/>
        <v>0.1</v>
      </c>
      <c r="B219" s="304">
        <f t="shared" ca="1" si="94"/>
        <v>12.499999999999973</v>
      </c>
      <c r="D219" s="306">
        <f t="shared" ca="1" si="95"/>
        <v>-0.40725066381638758</v>
      </c>
      <c r="E219" s="307">
        <f t="shared" ca="1" si="96"/>
        <v>-9.5245836538036404</v>
      </c>
      <c r="F219" s="304">
        <f t="shared" ca="1" si="97"/>
        <v>9.5332862582365792</v>
      </c>
      <c r="G219" s="306">
        <f t="shared" ca="1" si="98"/>
        <v>22.546767111457509</v>
      </c>
      <c r="H219" s="307">
        <f t="shared" ca="1" si="99"/>
        <v>-16.782609326274358</v>
      </c>
      <c r="I219" s="304">
        <f t="shared" ca="1" si="100"/>
        <v>28.10716426423436</v>
      </c>
      <c r="J219" s="306">
        <f t="shared" ca="1" si="101"/>
        <v>474.48131166777108</v>
      </c>
      <c r="K219" s="307">
        <f t="shared" ca="1" si="102"/>
        <v>1236.8994838139611</v>
      </c>
      <c r="L219" s="304">
        <f t="shared" ca="1" si="87"/>
        <v>1324.7840760596466</v>
      </c>
      <c r="M219" s="306">
        <f t="shared" ca="1" si="103"/>
        <v>-0.63987310033968758</v>
      </c>
      <c r="N219" s="304">
        <f t="shared" ca="1" si="104"/>
        <v>-36.662028073415144</v>
      </c>
      <c r="P219" s="310">
        <f t="shared" ca="1" si="105"/>
        <v>23</v>
      </c>
      <c r="Q219" s="304">
        <f t="shared" ca="1" si="106"/>
        <v>0</v>
      </c>
      <c r="R219" s="306">
        <f t="shared" ca="1" si="107"/>
        <v>0</v>
      </c>
      <c r="S219" s="307">
        <f t="shared" ca="1" si="108"/>
        <v>5.083000000000002</v>
      </c>
      <c r="T219" s="304">
        <f t="shared" ca="1" si="88"/>
        <v>49.86423000000002</v>
      </c>
      <c r="U219" s="311">
        <f t="shared" ca="1" si="89"/>
        <v>0</v>
      </c>
      <c r="V219" s="306">
        <f t="shared" ca="1" si="90"/>
        <v>1.0823047945320889</v>
      </c>
      <c r="W219" s="304">
        <f t="shared" ca="1" si="91"/>
        <v>2.6253492417787645</v>
      </c>
      <c r="Y219" s="314" t="str">
        <f t="shared" ca="1" si="109"/>
        <v/>
      </c>
      <c r="Z219" s="315" t="str">
        <f t="shared" ca="1" si="110"/>
        <v/>
      </c>
      <c r="AA219" s="316" t="str">
        <f t="shared" ca="1" si="111"/>
        <v/>
      </c>
      <c r="AC219" s="310" t="e">
        <f t="shared" ca="1" si="112"/>
        <v>#N/A</v>
      </c>
      <c r="AD219" s="323" t="e">
        <f t="shared" ca="1" si="113"/>
        <v>#N/A</v>
      </c>
      <c r="AE219" s="324" t="e">
        <f t="shared" ca="1" si="92"/>
        <v>#N/A</v>
      </c>
      <c r="AG219" s="306">
        <f t="shared" ca="1" si="114"/>
        <v>5.1328693116368989</v>
      </c>
      <c r="AH219" s="304">
        <f t="shared" ca="1" si="115"/>
        <v>-0.49730834886915848</v>
      </c>
    </row>
    <row r="220" spans="1:34" x14ac:dyDescent="0.2">
      <c r="A220" s="347">
        <f t="shared" ca="1" si="93"/>
        <v>0.1</v>
      </c>
      <c r="B220" s="304">
        <f t="shared" ca="1" si="94"/>
        <v>12.599999999999973</v>
      </c>
      <c r="D220" s="306">
        <f t="shared" ca="1" si="95"/>
        <v>-0.41431840095230421</v>
      </c>
      <c r="E220" s="307">
        <f t="shared" ca="1" si="96"/>
        <v>-9.5016035090309803</v>
      </c>
      <c r="F220" s="304">
        <f t="shared" ca="1" si="97"/>
        <v>9.5106324174682264</v>
      </c>
      <c r="G220" s="306">
        <f t="shared" ca="1" si="98"/>
        <v>22.505335271362277</v>
      </c>
      <c r="H220" s="307">
        <f t="shared" ca="1" si="99"/>
        <v>-17.732769677177455</v>
      </c>
      <c r="I220" s="304">
        <f t="shared" ca="1" si="100"/>
        <v>28.652072108317874</v>
      </c>
      <c r="J220" s="306">
        <f t="shared" ca="1" si="101"/>
        <v>476.73391678691206</v>
      </c>
      <c r="K220" s="307">
        <f t="shared" ca="1" si="102"/>
        <v>1235.1737148637885</v>
      </c>
      <c r="L220" s="304">
        <f t="shared" ca="1" si="87"/>
        <v>1323.9823765086157</v>
      </c>
      <c r="M220" s="306">
        <f t="shared" ca="1" si="103"/>
        <v>-0.66734159339482357</v>
      </c>
      <c r="N220" s="304">
        <f t="shared" ca="1" si="104"/>
        <v>-38.235856795058844</v>
      </c>
      <c r="P220" s="310">
        <f t="shared" ca="1" si="105"/>
        <v>23</v>
      </c>
      <c r="Q220" s="304">
        <f t="shared" ca="1" si="106"/>
        <v>0</v>
      </c>
      <c r="R220" s="306">
        <f t="shared" ca="1" si="107"/>
        <v>0</v>
      </c>
      <c r="S220" s="307">
        <f t="shared" ca="1" si="108"/>
        <v>5.083000000000002</v>
      </c>
      <c r="T220" s="304">
        <f t="shared" ca="1" si="88"/>
        <v>49.86423000000002</v>
      </c>
      <c r="U220" s="311">
        <f t="shared" ca="1" si="89"/>
        <v>0</v>
      </c>
      <c r="V220" s="306">
        <f t="shared" ca="1" si="90"/>
        <v>1.0824923077131188</v>
      </c>
      <c r="W220" s="304">
        <f t="shared" ca="1" si="91"/>
        <v>2.728602849373738</v>
      </c>
      <c r="Y220" s="314" t="str">
        <f t="shared" ca="1" si="109"/>
        <v/>
      </c>
      <c r="Z220" s="315" t="str">
        <f t="shared" ca="1" si="110"/>
        <v/>
      </c>
      <c r="AA220" s="316" t="str">
        <f t="shared" ca="1" si="111"/>
        <v/>
      </c>
      <c r="AC220" s="310" t="e">
        <f t="shared" ca="1" si="112"/>
        <v>#N/A</v>
      </c>
      <c r="AD220" s="323" t="e">
        <f t="shared" ca="1" si="113"/>
        <v>#N/A</v>
      </c>
      <c r="AE220" s="324" t="e">
        <f t="shared" ca="1" si="92"/>
        <v>#N/A</v>
      </c>
      <c r="AG220" s="306">
        <f t="shared" ca="1" si="114"/>
        <v>5.3409927005687097</v>
      </c>
      <c r="AH220" s="304">
        <f t="shared" ca="1" si="115"/>
        <v>-0.51649601451480687</v>
      </c>
    </row>
    <row r="221" spans="1:34" x14ac:dyDescent="0.2">
      <c r="A221" s="347">
        <f t="shared" ca="1" si="93"/>
        <v>0.1</v>
      </c>
      <c r="B221" s="304">
        <f t="shared" ca="1" si="94"/>
        <v>12.699999999999973</v>
      </c>
      <c r="D221" s="306">
        <f t="shared" ca="1" si="95"/>
        <v>-0.42164763654649501</v>
      </c>
      <c r="E221" s="307">
        <f t="shared" ca="1" si="96"/>
        <v>-9.477768538719813</v>
      </c>
      <c r="F221" s="304">
        <f t="shared" ca="1" si="97"/>
        <v>9.4871430474591421</v>
      </c>
      <c r="G221" s="306">
        <f t="shared" ca="1" si="98"/>
        <v>22.463170507707627</v>
      </c>
      <c r="H221" s="307">
        <f t="shared" ca="1" si="99"/>
        <v>-18.680546531049437</v>
      </c>
      <c r="I221" s="304">
        <f t="shared" ca="1" si="100"/>
        <v>29.215695233162755</v>
      </c>
      <c r="J221" s="306">
        <f t="shared" ca="1" si="101"/>
        <v>478.98234207586557</v>
      </c>
      <c r="K221" s="307">
        <f t="shared" ca="1" si="102"/>
        <v>1233.3530490533772</v>
      </c>
      <c r="L221" s="304">
        <f t="shared" ca="1" si="87"/>
        <v>1323.096303233345</v>
      </c>
      <c r="M221" s="306">
        <f t="shared" ca="1" si="103"/>
        <v>-0.69371903050377159</v>
      </c>
      <c r="N221" s="304">
        <f t="shared" ca="1" si="104"/>
        <v>-39.74717261577333</v>
      </c>
      <c r="P221" s="310">
        <f t="shared" ca="1" si="105"/>
        <v>23</v>
      </c>
      <c r="Q221" s="304">
        <f t="shared" ca="1" si="106"/>
        <v>0</v>
      </c>
      <c r="R221" s="306">
        <f t="shared" ca="1" si="107"/>
        <v>0</v>
      </c>
      <c r="S221" s="307">
        <f t="shared" ca="1" si="108"/>
        <v>5.083000000000002</v>
      </c>
      <c r="T221" s="304">
        <f t="shared" ca="1" si="88"/>
        <v>49.86423000000002</v>
      </c>
      <c r="U221" s="311">
        <f t="shared" ca="1" si="89"/>
        <v>0</v>
      </c>
      <c r="V221" s="306">
        <f t="shared" ca="1" si="90"/>
        <v>1.0826901649400358</v>
      </c>
      <c r="W221" s="304">
        <f t="shared" ca="1" si="91"/>
        <v>2.8375275126956576</v>
      </c>
      <c r="Y221" s="314" t="str">
        <f t="shared" ca="1" si="109"/>
        <v/>
      </c>
      <c r="Z221" s="315" t="str">
        <f t="shared" ca="1" si="110"/>
        <v/>
      </c>
      <c r="AA221" s="316" t="str">
        <f t="shared" ca="1" si="111"/>
        <v/>
      </c>
      <c r="AC221" s="310" t="e">
        <f t="shared" ca="1" si="112"/>
        <v>#N/A</v>
      </c>
      <c r="AD221" s="323" t="e">
        <f t="shared" ca="1" si="113"/>
        <v>#N/A</v>
      </c>
      <c r="AE221" s="324" t="e">
        <f t="shared" ca="1" si="92"/>
        <v>#N/A</v>
      </c>
      <c r="AG221" s="306">
        <f t="shared" ca="1" si="114"/>
        <v>5.5346002384876272</v>
      </c>
      <c r="AH221" s="304">
        <f t="shared" ca="1" si="115"/>
        <v>-0.53680953164936784</v>
      </c>
    </row>
    <row r="222" spans="1:34" x14ac:dyDescent="0.2">
      <c r="A222" s="347">
        <f t="shared" ca="1" si="93"/>
        <v>0.1</v>
      </c>
      <c r="B222" s="304">
        <f t="shared" ca="1" si="94"/>
        <v>12.799999999999972</v>
      </c>
      <c r="D222" s="306">
        <f t="shared" ca="1" si="95"/>
        <v>-0.42921490960633712</v>
      </c>
      <c r="E222" s="307">
        <f t="shared" ca="1" si="96"/>
        <v>-9.4530615576741397</v>
      </c>
      <c r="F222" s="304">
        <f t="shared" ca="1" si="97"/>
        <v>9.4628007614978884</v>
      </c>
      <c r="G222" s="306">
        <f t="shared" ca="1" si="98"/>
        <v>22.420249016746993</v>
      </c>
      <c r="H222" s="307">
        <f t="shared" ca="1" si="99"/>
        <v>-19.625852686816852</v>
      </c>
      <c r="I222" s="304">
        <f t="shared" ca="1" si="100"/>
        <v>29.796671956068863</v>
      </c>
      <c r="J222" s="306">
        <f t="shared" ca="1" si="101"/>
        <v>481.22651305208831</v>
      </c>
      <c r="K222" s="307">
        <f t="shared" ca="1" si="102"/>
        <v>1231.4377290924838</v>
      </c>
      <c r="L222" s="304">
        <f t="shared" ca="1" si="87"/>
        <v>1322.1262562617555</v>
      </c>
      <c r="M222" s="306">
        <f t="shared" ca="1" si="103"/>
        <v>-0.71903546078229763</v>
      </c>
      <c r="N222" s="304">
        <f t="shared" ca="1" si="104"/>
        <v>-41.19769722307008</v>
      </c>
      <c r="P222" s="310">
        <f t="shared" ca="1" si="105"/>
        <v>23</v>
      </c>
      <c r="Q222" s="304">
        <f t="shared" ca="1" si="106"/>
        <v>0</v>
      </c>
      <c r="R222" s="306">
        <f t="shared" ca="1" si="107"/>
        <v>0</v>
      </c>
      <c r="S222" s="307">
        <f t="shared" ca="1" si="108"/>
        <v>5.083000000000002</v>
      </c>
      <c r="T222" s="304">
        <f t="shared" ca="1" si="88"/>
        <v>49.86423000000002</v>
      </c>
      <c r="U222" s="311">
        <f t="shared" ca="1" si="89"/>
        <v>0</v>
      </c>
      <c r="V222" s="306">
        <f t="shared" ca="1" si="90"/>
        <v>1.08289834514398</v>
      </c>
      <c r="W222" s="304">
        <f t="shared" ca="1" si="91"/>
        <v>2.9520699760117108</v>
      </c>
      <c r="Y222" s="314" t="str">
        <f t="shared" ca="1" si="109"/>
        <v/>
      </c>
      <c r="Z222" s="315" t="str">
        <f t="shared" ca="1" si="110"/>
        <v/>
      </c>
      <c r="AA222" s="316" t="str">
        <f t="shared" ca="1" si="111"/>
        <v/>
      </c>
      <c r="AC222" s="310" t="e">
        <f t="shared" ca="1" si="112"/>
        <v>#N/A</v>
      </c>
      <c r="AD222" s="323" t="e">
        <f t="shared" ca="1" si="113"/>
        <v>#N/A</v>
      </c>
      <c r="AE222" s="324" t="e">
        <f t="shared" ca="1" si="92"/>
        <v>#N/A</v>
      </c>
      <c r="AG222" s="306">
        <f t="shared" ca="1" si="114"/>
        <v>5.7142856693195352</v>
      </c>
      <c r="AH222" s="304">
        <f t="shared" ca="1" si="115"/>
        <v>-0.55823873946402847</v>
      </c>
    </row>
    <row r="223" spans="1:34" x14ac:dyDescent="0.2">
      <c r="A223" s="347">
        <f t="shared" ca="1" si="93"/>
        <v>0.1</v>
      </c>
      <c r="B223" s="304">
        <f t="shared" ca="1" si="94"/>
        <v>12.899999999999972</v>
      </c>
      <c r="D223" s="306">
        <f t="shared" ca="1" si="95"/>
        <v>-0.43699775951827063</v>
      </c>
      <c r="E223" s="307">
        <f t="shared" ca="1" si="96"/>
        <v>-9.4274684033897955</v>
      </c>
      <c r="F223" s="304">
        <f t="shared" ca="1" si="97"/>
        <v>9.4375911936646695</v>
      </c>
      <c r="G223" s="306">
        <f t="shared" ca="1" si="98"/>
        <v>22.376549240795168</v>
      </c>
      <c r="H223" s="307">
        <f t="shared" ca="1" si="99"/>
        <v>-20.568599527155833</v>
      </c>
      <c r="I223" s="304">
        <f t="shared" ca="1" si="100"/>
        <v>30.39370399333135</v>
      </c>
      <c r="J223" s="306">
        <f t="shared" ca="1" si="101"/>
        <v>483.46635296496544</v>
      </c>
      <c r="K223" s="307">
        <f t="shared" ca="1" si="102"/>
        <v>1229.4280064817851</v>
      </c>
      <c r="L223" s="304">
        <f t="shared" ca="1" si="87"/>
        <v>1321.072646591027</v>
      </c>
      <c r="M223" s="306">
        <f t="shared" ca="1" si="103"/>
        <v>-0.74332396396782152</v>
      </c>
      <c r="N223" s="304">
        <f t="shared" ca="1" si="104"/>
        <v>-42.58932594629065</v>
      </c>
      <c r="P223" s="310">
        <f t="shared" ca="1" si="105"/>
        <v>23</v>
      </c>
      <c r="Q223" s="304">
        <f t="shared" ca="1" si="106"/>
        <v>0</v>
      </c>
      <c r="R223" s="306">
        <f t="shared" ca="1" si="107"/>
        <v>0</v>
      </c>
      <c r="S223" s="307">
        <f t="shared" ca="1" si="108"/>
        <v>5.083000000000002</v>
      </c>
      <c r="T223" s="304">
        <f t="shared" ca="1" si="88"/>
        <v>49.86423000000002</v>
      </c>
      <c r="U223" s="311">
        <f t="shared" ca="1" si="89"/>
        <v>0</v>
      </c>
      <c r="V223" s="306">
        <f t="shared" ca="1" si="90"/>
        <v>1.0831168265597775</v>
      </c>
      <c r="W223" s="304">
        <f t="shared" ca="1" si="91"/>
        <v>3.0721753506503648</v>
      </c>
      <c r="Y223" s="314" t="str">
        <f t="shared" ca="1" si="109"/>
        <v/>
      </c>
      <c r="Z223" s="315" t="str">
        <f t="shared" ca="1" si="110"/>
        <v/>
      </c>
      <c r="AA223" s="316" t="str">
        <f t="shared" ca="1" si="111"/>
        <v/>
      </c>
      <c r="AC223" s="310" t="e">
        <f t="shared" ca="1" si="112"/>
        <v>#N/A</v>
      </c>
      <c r="AD223" s="323" t="e">
        <f t="shared" ca="1" si="113"/>
        <v>#N/A</v>
      </c>
      <c r="AE223" s="324" t="e">
        <f t="shared" ca="1" si="92"/>
        <v>#N/A</v>
      </c>
      <c r="AG223" s="306">
        <f t="shared" ca="1" si="114"/>
        <v>5.8806737801031321</v>
      </c>
      <c r="AH223" s="304">
        <f t="shared" ca="1" si="115"/>
        <v>-0.58077316073415497</v>
      </c>
    </row>
    <row r="224" spans="1:34" x14ac:dyDescent="0.2">
      <c r="A224" s="347">
        <f t="shared" ca="1" si="93"/>
        <v>0.1</v>
      </c>
      <c r="B224" s="304">
        <f t="shared" ca="1" si="94"/>
        <v>12.999999999999972</v>
      </c>
      <c r="D224" s="306">
        <f t="shared" ca="1" si="95"/>
        <v>-0.44497475693090222</v>
      </c>
      <c r="E224" s="307">
        <f t="shared" ca="1" si="96"/>
        <v>-9.4009777027496675</v>
      </c>
      <c r="F224" s="304">
        <f t="shared" ca="1" si="97"/>
        <v>9.411502765334669</v>
      </c>
      <c r="G224" s="306">
        <f t="shared" ca="1" si="98"/>
        <v>22.332051765102076</v>
      </c>
      <c r="H224" s="307">
        <f t="shared" ca="1" si="99"/>
        <v>-21.5086972974308</v>
      </c>
      <c r="I224" s="304">
        <f t="shared" ca="1" si="100"/>
        <v>31.005557493322158</v>
      </c>
      <c r="J224" s="306">
        <f t="shared" ca="1" si="101"/>
        <v>485.70178301526028</v>
      </c>
      <c r="K224" s="307">
        <f t="shared" ca="1" si="102"/>
        <v>1227.3241416405558</v>
      </c>
      <c r="L224" s="304">
        <f t="shared" ca="1" si="87"/>
        <v>1319.9358964275236</v>
      </c>
      <c r="M224" s="306">
        <f t="shared" ca="1" si="103"/>
        <v>-0.76661979614839626</v>
      </c>
      <c r="N224" s="304">
        <f t="shared" ca="1" si="104"/>
        <v>-43.924078810482627</v>
      </c>
      <c r="P224" s="310">
        <f t="shared" ca="1" si="105"/>
        <v>23</v>
      </c>
      <c r="Q224" s="304">
        <f t="shared" ca="1" si="106"/>
        <v>0</v>
      </c>
      <c r="R224" s="306">
        <f t="shared" ca="1" si="107"/>
        <v>0</v>
      </c>
      <c r="S224" s="307">
        <f t="shared" ca="1" si="108"/>
        <v>5.083000000000002</v>
      </c>
      <c r="T224" s="304">
        <f t="shared" ca="1" si="88"/>
        <v>49.86423000000002</v>
      </c>
      <c r="U224" s="311">
        <f t="shared" ca="1" si="89"/>
        <v>0</v>
      </c>
      <c r="V224" s="306">
        <f t="shared" ca="1" si="90"/>
        <v>1.0833455867091233</v>
      </c>
      <c r="W224" s="304">
        <f t="shared" ca="1" si="91"/>
        <v>3.1977870986028529</v>
      </c>
      <c r="Y224" s="314" t="str">
        <f t="shared" ca="1" si="109"/>
        <v/>
      </c>
      <c r="Z224" s="315" t="str">
        <f t="shared" ca="1" si="110"/>
        <v/>
      </c>
      <c r="AA224" s="316" t="str">
        <f t="shared" ca="1" si="111"/>
        <v/>
      </c>
      <c r="AC224" s="310">
        <f t="shared" ca="1" si="112"/>
        <v>12.999999999999972</v>
      </c>
      <c r="AD224" s="323">
        <f t="shared" ca="1" si="113"/>
        <v>485.70178301526028</v>
      </c>
      <c r="AE224" s="324" t="e">
        <f t="shared" ca="1" si="92"/>
        <v>#N/A</v>
      </c>
      <c r="AG224" s="306">
        <f t="shared" ca="1" si="114"/>
        <v>6.0344058760474049</v>
      </c>
      <c r="AH224" s="304">
        <f t="shared" ca="1" si="115"/>
        <v>-0.60440199698020136</v>
      </c>
    </row>
    <row r="225" spans="1:34" x14ac:dyDescent="0.2">
      <c r="A225" s="347">
        <f t="shared" ca="1" si="93"/>
        <v>0.1</v>
      </c>
      <c r="B225" s="304">
        <f t="shared" ca="1" si="94"/>
        <v>13.099999999999971</v>
      </c>
      <c r="D225" s="306">
        <f t="shared" ca="1" si="95"/>
        <v>-0.4531255151299034</v>
      </c>
      <c r="E225" s="307">
        <f t="shared" ca="1" si="96"/>
        <v>-9.3735806487829478</v>
      </c>
      <c r="F225" s="304">
        <f t="shared" ca="1" si="97"/>
        <v>9.3845264617720527</v>
      </c>
      <c r="G225" s="306">
        <f t="shared" ca="1" si="98"/>
        <v>22.286739213589087</v>
      </c>
      <c r="H225" s="307">
        <f t="shared" ca="1" si="99"/>
        <v>-22.446055362309096</v>
      </c>
      <c r="I225" s="304">
        <f t="shared" ca="1" si="100"/>
        <v>31.631062993557055</v>
      </c>
      <c r="J225" s="306">
        <f t="shared" ca="1" si="101"/>
        <v>487.93272256419482</v>
      </c>
      <c r="K225" s="307">
        <f t="shared" ca="1" si="102"/>
        <v>1225.1264040075689</v>
      </c>
      <c r="L225" s="304">
        <f t="shared" ca="1" si="87"/>
        <v>1318.7164394006106</v>
      </c>
      <c r="M225" s="306">
        <f t="shared" ca="1" si="103"/>
        <v>-0.78895965506434196</v>
      </c>
      <c r="N225" s="304">
        <f t="shared" ca="1" si="104"/>
        <v>-45.204058441284019</v>
      </c>
      <c r="P225" s="310">
        <f t="shared" ca="1" si="105"/>
        <v>23</v>
      </c>
      <c r="Q225" s="304">
        <f t="shared" ca="1" si="106"/>
        <v>0</v>
      </c>
      <c r="R225" s="306">
        <f t="shared" ca="1" si="107"/>
        <v>0</v>
      </c>
      <c r="S225" s="307">
        <f t="shared" ca="1" si="108"/>
        <v>5.083000000000002</v>
      </c>
      <c r="T225" s="304">
        <f t="shared" ca="1" si="88"/>
        <v>49.86423000000002</v>
      </c>
      <c r="U225" s="311">
        <f t="shared" ca="1" si="89"/>
        <v>0</v>
      </c>
      <c r="V225" s="306">
        <f t="shared" ca="1" si="90"/>
        <v>1.0835846023865465</v>
      </c>
      <c r="W225" s="304">
        <f t="shared" ca="1" si="91"/>
        <v>3.3288470236826297</v>
      </c>
      <c r="Y225" s="314" t="str">
        <f t="shared" ca="1" si="109"/>
        <v/>
      </c>
      <c r="Z225" s="315" t="str">
        <f t="shared" ca="1" si="110"/>
        <v/>
      </c>
      <c r="AA225" s="316" t="str">
        <f t="shared" ca="1" si="111"/>
        <v/>
      </c>
      <c r="AC225" s="310" t="e">
        <f t="shared" ca="1" si="112"/>
        <v>#N/A</v>
      </c>
      <c r="AD225" s="323" t="e">
        <f t="shared" ca="1" si="113"/>
        <v>#N/A</v>
      </c>
      <c r="AE225" s="324" t="e">
        <f t="shared" ca="1" si="92"/>
        <v>#N/A</v>
      </c>
      <c r="AG225" s="306">
        <f t="shared" ca="1" si="114"/>
        <v>6.1761278231814121</v>
      </c>
      <c r="AH225" s="304">
        <f t="shared" ca="1" si="115"/>
        <v>-0.62911412524156041</v>
      </c>
    </row>
    <row r="226" spans="1:34" x14ac:dyDescent="0.2">
      <c r="A226" s="347">
        <f t="shared" ca="1" si="93"/>
        <v>0.1</v>
      </c>
      <c r="B226" s="304">
        <f t="shared" ca="1" si="94"/>
        <v>13.199999999999971</v>
      </c>
      <c r="D226" s="306">
        <f t="shared" ca="1" si="95"/>
        <v>-0.46143068563705569</v>
      </c>
      <c r="E226" s="307">
        <f t="shared" ca="1" si="96"/>
        <v>-9.3452707896648093</v>
      </c>
      <c r="F226" s="304">
        <f t="shared" ca="1" si="97"/>
        <v>9.356655620990324</v>
      </c>
      <c r="G226" s="306">
        <f t="shared" ca="1" si="98"/>
        <v>22.240596145025382</v>
      </c>
      <c r="H226" s="307">
        <f t="shared" ca="1" si="99"/>
        <v>-23.380582441275578</v>
      </c>
      <c r="I226" s="304">
        <f t="shared" ca="1" si="100"/>
        <v>32.269114524253716</v>
      </c>
      <c r="J226" s="306">
        <f t="shared" ca="1" si="101"/>
        <v>490.15908933212552</v>
      </c>
      <c r="K226" s="307">
        <f t="shared" ca="1" si="102"/>
        <v>1222.8350721173897</v>
      </c>
      <c r="L226" s="304">
        <f t="shared" ca="1" si="87"/>
        <v>1317.4147207524441</v>
      </c>
      <c r="M226" s="306">
        <f t="shared" ca="1" si="103"/>
        <v>-0.81038105839126962</v>
      </c>
      <c r="N226" s="304">
        <f t="shared" ca="1" si="104"/>
        <v>-46.431414443164478</v>
      </c>
      <c r="P226" s="310">
        <f t="shared" ca="1" si="105"/>
        <v>23</v>
      </c>
      <c r="Q226" s="304">
        <f t="shared" ca="1" si="106"/>
        <v>0</v>
      </c>
      <c r="R226" s="306">
        <f t="shared" ca="1" si="107"/>
        <v>0</v>
      </c>
      <c r="S226" s="307">
        <f t="shared" ca="1" si="108"/>
        <v>5.083000000000002</v>
      </c>
      <c r="T226" s="304">
        <f t="shared" ca="1" si="88"/>
        <v>49.86423000000002</v>
      </c>
      <c r="U226" s="311">
        <f t="shared" ca="1" si="89"/>
        <v>0</v>
      </c>
      <c r="V226" s="306">
        <f t="shared" ca="1" si="90"/>
        <v>1.0838338496479349</v>
      </c>
      <c r="W226" s="304">
        <f t="shared" ca="1" si="91"/>
        <v>3.4652952696324086</v>
      </c>
      <c r="Y226" s="314" t="str">
        <f t="shared" ca="1" si="109"/>
        <v/>
      </c>
      <c r="Z226" s="315" t="str">
        <f t="shared" ca="1" si="110"/>
        <v/>
      </c>
      <c r="AA226" s="316" t="str">
        <f t="shared" ca="1" si="111"/>
        <v/>
      </c>
      <c r="AC226" s="310" t="e">
        <f t="shared" ca="1" si="112"/>
        <v>#N/A</v>
      </c>
      <c r="AD226" s="323" t="e">
        <f t="shared" ca="1" si="113"/>
        <v>#N/A</v>
      </c>
      <c r="AE226" s="324" t="e">
        <f t="shared" ca="1" si="92"/>
        <v>#N/A</v>
      </c>
      <c r="AG226" s="306">
        <f t="shared" ca="1" si="114"/>
        <v>6.3064804431415427</v>
      </c>
      <c r="AH226" s="304">
        <f t="shared" ca="1" si="115"/>
        <v>-0.6548980963373261</v>
      </c>
    </row>
    <row r="227" spans="1:34" x14ac:dyDescent="0.2">
      <c r="A227" s="347">
        <f t="shared" ca="1" si="93"/>
        <v>0.1</v>
      </c>
      <c r="B227" s="304">
        <f t="shared" ca="1" si="94"/>
        <v>13.299999999999971</v>
      </c>
      <c r="D227" s="306">
        <f t="shared" ca="1" si="95"/>
        <v>-0.46987194138624078</v>
      </c>
      <c r="E227" s="307">
        <f t="shared" ca="1" si="96"/>
        <v>-9.3160438312540261</v>
      </c>
      <c r="F227" s="304">
        <f t="shared" ca="1" si="97"/>
        <v>9.3278857361756025</v>
      </c>
      <c r="G227" s="306">
        <f t="shared" ca="1" si="98"/>
        <v>22.193608950886759</v>
      </c>
      <c r="H227" s="307">
        <f t="shared" ca="1" si="99"/>
        <v>-24.312186824400982</v>
      </c>
      <c r="I227" s="304">
        <f t="shared" ca="1" si="100"/>
        <v>32.918668054000264</v>
      </c>
      <c r="J227" s="306">
        <f t="shared" ca="1" si="101"/>
        <v>492.38079958692111</v>
      </c>
      <c r="K227" s="307">
        <f t="shared" ca="1" si="102"/>
        <v>1220.4504336541058</v>
      </c>
      <c r="L227" s="304">
        <f t="shared" ca="1" si="87"/>
        <v>1316.0311975057243</v>
      </c>
      <c r="M227" s="306">
        <f t="shared" ca="1" si="103"/>
        <v>-0.83092182597892439</v>
      </c>
      <c r="N227" s="304">
        <f t="shared" ca="1" si="104"/>
        <v>-47.60831373389621</v>
      </c>
      <c r="P227" s="310">
        <f t="shared" ca="1" si="105"/>
        <v>23</v>
      </c>
      <c r="Q227" s="304">
        <f t="shared" ca="1" si="106"/>
        <v>0</v>
      </c>
      <c r="R227" s="306">
        <f t="shared" ca="1" si="107"/>
        <v>0</v>
      </c>
      <c r="S227" s="307">
        <f t="shared" ca="1" si="108"/>
        <v>5.083000000000002</v>
      </c>
      <c r="T227" s="304">
        <f t="shared" ca="1" si="88"/>
        <v>49.86423000000002</v>
      </c>
      <c r="U227" s="311">
        <f t="shared" ca="1" si="89"/>
        <v>0</v>
      </c>
      <c r="V227" s="306">
        <f t="shared" ca="1" si="90"/>
        <v>1.08409330380139</v>
      </c>
      <c r="W227" s="304">
        <f t="shared" ca="1" si="91"/>
        <v>3.6070703246026756</v>
      </c>
      <c r="Y227" s="314" t="str">
        <f t="shared" ca="1" si="109"/>
        <v/>
      </c>
      <c r="Z227" s="315" t="str">
        <f t="shared" ca="1" si="110"/>
        <v/>
      </c>
      <c r="AA227" s="316" t="str">
        <f t="shared" ca="1" si="111"/>
        <v/>
      </c>
      <c r="AC227" s="310" t="e">
        <f t="shared" ca="1" si="112"/>
        <v>#N/A</v>
      </c>
      <c r="AD227" s="323" t="e">
        <f t="shared" ca="1" si="113"/>
        <v>#N/A</v>
      </c>
      <c r="AE227" s="324" t="e">
        <f t="shared" ca="1" si="92"/>
        <v>#N/A</v>
      </c>
      <c r="AG227" s="306">
        <f t="shared" ca="1" si="114"/>
        <v>6.4260920013489855</v>
      </c>
      <c r="AH227" s="304">
        <f t="shared" ca="1" si="115"/>
        <v>-0.68174213449388299</v>
      </c>
    </row>
    <row r="228" spans="1:34" x14ac:dyDescent="0.2">
      <c r="A228" s="347">
        <f t="shared" ca="1" si="93"/>
        <v>0.1</v>
      </c>
      <c r="B228" s="304">
        <f t="shared" ca="1" si="94"/>
        <v>13.39999999999997</v>
      </c>
      <c r="D228" s="306">
        <f t="shared" ca="1" si="95"/>
        <v>-0.47843195041037351</v>
      </c>
      <c r="E228" s="307">
        <f t="shared" ca="1" si="96"/>
        <v>-9.2858974537723942</v>
      </c>
      <c r="F228" s="304">
        <f t="shared" ca="1" si="97"/>
        <v>9.298214272275624</v>
      </c>
      <c r="G228" s="306">
        <f t="shared" ca="1" si="98"/>
        <v>22.145765755845723</v>
      </c>
      <c r="H228" s="307">
        <f t="shared" ca="1" si="99"/>
        <v>-25.24077656977822</v>
      </c>
      <c r="I228" s="304">
        <f t="shared" ca="1" si="100"/>
        <v>33.578739445641112</v>
      </c>
      <c r="J228" s="306">
        <f t="shared" ca="1" si="101"/>
        <v>494.59776832225776</v>
      </c>
      <c r="K228" s="307">
        <f t="shared" ca="1" si="102"/>
        <v>1217.9727854843968</v>
      </c>
      <c r="L228" s="304">
        <f t="shared" ca="1" si="87"/>
        <v>1314.5663386113224</v>
      </c>
      <c r="M228" s="306">
        <f t="shared" ca="1" si="103"/>
        <v>-0.85061965569832176</v>
      </c>
      <c r="N228" s="304">
        <f t="shared" ca="1" si="104"/>
        <v>-48.736916242385043</v>
      </c>
      <c r="P228" s="310">
        <f t="shared" ca="1" si="105"/>
        <v>23</v>
      </c>
      <c r="Q228" s="304">
        <f t="shared" ca="1" si="106"/>
        <v>0</v>
      </c>
      <c r="R228" s="306">
        <f t="shared" ca="1" si="107"/>
        <v>0</v>
      </c>
      <c r="S228" s="307">
        <f t="shared" ca="1" si="108"/>
        <v>5.083000000000002</v>
      </c>
      <c r="T228" s="304">
        <f t="shared" ca="1" si="88"/>
        <v>49.86423000000002</v>
      </c>
      <c r="U228" s="311">
        <f t="shared" ca="1" si="89"/>
        <v>0</v>
      </c>
      <c r="V228" s="306">
        <f t="shared" ca="1" si="90"/>
        <v>1.0843629394002146</v>
      </c>
      <c r="W228" s="304">
        <f t="shared" ca="1" si="91"/>
        <v>3.7541090314620127</v>
      </c>
      <c r="Y228" s="314" t="str">
        <f t="shared" ca="1" si="109"/>
        <v/>
      </c>
      <c r="Z228" s="315" t="str">
        <f t="shared" ca="1" si="110"/>
        <v/>
      </c>
      <c r="AA228" s="316" t="str">
        <f t="shared" ca="1" si="111"/>
        <v/>
      </c>
      <c r="AC228" s="310" t="e">
        <f t="shared" ca="1" si="112"/>
        <v>#N/A</v>
      </c>
      <c r="AD228" s="323" t="e">
        <f t="shared" ca="1" si="113"/>
        <v>#N/A</v>
      </c>
      <c r="AE228" s="324" t="e">
        <f t="shared" ca="1" si="92"/>
        <v>#N/A</v>
      </c>
      <c r="AG228" s="306">
        <f t="shared" ca="1" si="114"/>
        <v>6.5355725133958424</v>
      </c>
      <c r="AH228" s="304">
        <f t="shared" ca="1" si="115"/>
        <v>-0.70963413822598354</v>
      </c>
    </row>
    <row r="229" spans="1:34" x14ac:dyDescent="0.2">
      <c r="A229" s="347">
        <f t="shared" ca="1" si="93"/>
        <v>0.1</v>
      </c>
      <c r="B229" s="304">
        <f t="shared" ca="1" si="94"/>
        <v>13.49999999999997</v>
      </c>
      <c r="D229" s="306">
        <f t="shared" ca="1" si="95"/>
        <v>-0.48709434254908979</v>
      </c>
      <c r="E229" s="307">
        <f t="shared" ca="1" si="96"/>
        <v>-9.2548311427009828</v>
      </c>
      <c r="F229" s="304">
        <f t="shared" ca="1" si="97"/>
        <v>9.2676404968282675</v>
      </c>
      <c r="G229" s="306">
        <f t="shared" ca="1" si="98"/>
        <v>22.097056321590813</v>
      </c>
      <c r="H229" s="307">
        <f t="shared" ca="1" si="99"/>
        <v>-26.166259684048317</v>
      </c>
      <c r="I229" s="304">
        <f t="shared" ca="1" si="100"/>
        <v>34.248402063930058</v>
      </c>
      <c r="J229" s="306">
        <f t="shared" ca="1" si="101"/>
        <v>496.80990942612959</v>
      </c>
      <c r="K229" s="307">
        <f t="shared" ca="1" si="102"/>
        <v>1215.4024336717055</v>
      </c>
      <c r="L229" s="304">
        <f t="shared" ca="1" si="87"/>
        <v>1313.0206250775741</v>
      </c>
      <c r="M229" s="306">
        <f t="shared" ca="1" si="103"/>
        <v>-0.86951178206629498</v>
      </c>
      <c r="N229" s="304">
        <f t="shared" ca="1" si="104"/>
        <v>-49.819355349297723</v>
      </c>
      <c r="P229" s="310">
        <f t="shared" ca="1" si="105"/>
        <v>23</v>
      </c>
      <c r="Q229" s="304">
        <f t="shared" ca="1" si="106"/>
        <v>0</v>
      </c>
      <c r="R229" s="306">
        <f t="shared" ca="1" si="107"/>
        <v>0</v>
      </c>
      <c r="S229" s="307">
        <f t="shared" ca="1" si="108"/>
        <v>5.083000000000002</v>
      </c>
      <c r="T229" s="304">
        <f t="shared" ca="1" si="88"/>
        <v>49.86423000000002</v>
      </c>
      <c r="U229" s="311">
        <f t="shared" ca="1" si="89"/>
        <v>0</v>
      </c>
      <c r="V229" s="306">
        <f t="shared" ca="1" si="90"/>
        <v>1.0846427302378385</v>
      </c>
      <c r="W229" s="304">
        <f t="shared" ca="1" si="91"/>
        <v>3.9063466034365129</v>
      </c>
      <c r="Y229" s="314" t="str">
        <f t="shared" ca="1" si="109"/>
        <v/>
      </c>
      <c r="Z229" s="315" t="str">
        <f t="shared" ca="1" si="110"/>
        <v/>
      </c>
      <c r="AA229" s="316" t="str">
        <f t="shared" ca="1" si="111"/>
        <v/>
      </c>
      <c r="AC229" s="310" t="e">
        <f t="shared" ca="1" si="112"/>
        <v>#N/A</v>
      </c>
      <c r="AD229" s="323" t="e">
        <f t="shared" ca="1" si="113"/>
        <v>#N/A</v>
      </c>
      <c r="AE229" s="324" t="e">
        <f t="shared" ca="1" si="92"/>
        <v>#N/A</v>
      </c>
      <c r="AG229" s="306">
        <f t="shared" ca="1" si="114"/>
        <v>6.6355095971827609</v>
      </c>
      <c r="AH229" s="304">
        <f t="shared" ca="1" si="115"/>
        <v>-0.73856168236514086</v>
      </c>
    </row>
    <row r="230" spans="1:34" x14ac:dyDescent="0.2">
      <c r="A230" s="347">
        <f t="shared" ca="1" si="93"/>
        <v>0.1</v>
      </c>
      <c r="B230" s="304">
        <f t="shared" ca="1" si="94"/>
        <v>13.599999999999969</v>
      </c>
      <c r="D230" s="306">
        <f t="shared" ca="1" si="95"/>
        <v>-0.49584367128055001</v>
      </c>
      <c r="E230" s="307">
        <f t="shared" ca="1" si="96"/>
        <v>-9.2228460335804261</v>
      </c>
      <c r="F230" s="304">
        <f t="shared" ca="1" si="97"/>
        <v>9.2361653247156177</v>
      </c>
      <c r="G230" s="306">
        <f t="shared" ca="1" si="98"/>
        <v>22.047471954462758</v>
      </c>
      <c r="H230" s="307">
        <f t="shared" ca="1" si="99"/>
        <v>-27.088544287406361</v>
      </c>
      <c r="I230" s="304">
        <f t="shared" ca="1" si="100"/>
        <v>34.926784151902645</v>
      </c>
      <c r="J230" s="306">
        <f t="shared" ca="1" si="101"/>
        <v>499.01713583993228</v>
      </c>
      <c r="K230" s="307">
        <f t="shared" ca="1" si="102"/>
        <v>1212.7396934731328</v>
      </c>
      <c r="L230" s="304">
        <f t="shared" ca="1" si="87"/>
        <v>1311.3945500829252</v>
      </c>
      <c r="M230" s="306">
        <f t="shared" ca="1" si="103"/>
        <v>-0.88763470693418745</v>
      </c>
      <c r="N230" s="304">
        <f t="shared" ca="1" si="104"/>
        <v>-50.857722456660646</v>
      </c>
      <c r="P230" s="310">
        <f t="shared" ca="1" si="105"/>
        <v>23</v>
      </c>
      <c r="Q230" s="304">
        <f t="shared" ca="1" si="106"/>
        <v>0</v>
      </c>
      <c r="R230" s="306">
        <f t="shared" ca="1" si="107"/>
        <v>0</v>
      </c>
      <c r="S230" s="307">
        <f t="shared" ca="1" si="108"/>
        <v>5.083000000000002</v>
      </c>
      <c r="T230" s="304">
        <f t="shared" ca="1" si="88"/>
        <v>49.86423000000002</v>
      </c>
      <c r="U230" s="311">
        <f t="shared" ca="1" si="89"/>
        <v>0</v>
      </c>
      <c r="V230" s="306">
        <f t="shared" ca="1" si="90"/>
        <v>1.0849326493445175</v>
      </c>
      <c r="W230" s="304">
        <f t="shared" ca="1" si="91"/>
        <v>4.0637166446122475</v>
      </c>
      <c r="Y230" s="314" t="str">
        <f t="shared" ca="1" si="109"/>
        <v/>
      </c>
      <c r="Z230" s="315" t="str">
        <f t="shared" ca="1" si="110"/>
        <v/>
      </c>
      <c r="AA230" s="316" t="str">
        <f t="shared" ca="1" si="111"/>
        <v/>
      </c>
      <c r="AC230" s="310" t="e">
        <f t="shared" ca="1" si="112"/>
        <v>#N/A</v>
      </c>
      <c r="AD230" s="323" t="e">
        <f t="shared" ca="1" si="113"/>
        <v>#N/A</v>
      </c>
      <c r="AE230" s="324" t="e">
        <f t="shared" ca="1" si="92"/>
        <v>#N/A</v>
      </c>
      <c r="AG230" s="306">
        <f t="shared" ca="1" si="114"/>
        <v>6.7264656137721817</v>
      </c>
      <c r="AH230" s="304">
        <f t="shared" ca="1" si="115"/>
        <v>-0.76851202113643746</v>
      </c>
    </row>
    <row r="231" spans="1:34" x14ac:dyDescent="0.2">
      <c r="A231" s="347">
        <f t="shared" ca="1" si="93"/>
        <v>0.1</v>
      </c>
      <c r="B231" s="304">
        <f t="shared" ca="1" si="94"/>
        <v>13.699999999999969</v>
      </c>
      <c r="D231" s="306">
        <f t="shared" ca="1" si="95"/>
        <v>-0.50466537240646381</v>
      </c>
      <c r="E231" s="307">
        <f t="shared" ca="1" si="96"/>
        <v>-9.189944770131083</v>
      </c>
      <c r="F231" s="304">
        <f t="shared" ca="1" si="97"/>
        <v>9.2037911762580649</v>
      </c>
      <c r="G231" s="306">
        <f t="shared" ca="1" si="98"/>
        <v>21.997005417222113</v>
      </c>
      <c r="H231" s="307">
        <f t="shared" ca="1" si="99"/>
        <v>-28.007538764419468</v>
      </c>
      <c r="I231" s="304">
        <f t="shared" ca="1" si="100"/>
        <v>35.613066070836389</v>
      </c>
      <c r="J231" s="306">
        <f t="shared" ca="1" si="101"/>
        <v>501.21935970851655</v>
      </c>
      <c r="K231" s="307">
        <f t="shared" ca="1" si="102"/>
        <v>1209.9848893205415</v>
      </c>
      <c r="L231" s="304">
        <f t="shared" ca="1" si="87"/>
        <v>1309.6886190735027</v>
      </c>
      <c r="M231" s="306">
        <f t="shared" ca="1" si="103"/>
        <v>-0.9050239920503429</v>
      </c>
      <c r="N231" s="304">
        <f t="shared" ca="1" si="104"/>
        <v>-51.854055102566015</v>
      </c>
      <c r="P231" s="310">
        <f t="shared" ca="1" si="105"/>
        <v>23</v>
      </c>
      <c r="Q231" s="304">
        <f t="shared" ca="1" si="106"/>
        <v>0</v>
      </c>
      <c r="R231" s="306">
        <f t="shared" ca="1" si="107"/>
        <v>0</v>
      </c>
      <c r="S231" s="307">
        <f t="shared" ca="1" si="108"/>
        <v>5.083000000000002</v>
      </c>
      <c r="T231" s="304">
        <f t="shared" ca="1" si="88"/>
        <v>49.86423000000002</v>
      </c>
      <c r="U231" s="311">
        <f t="shared" ca="1" si="89"/>
        <v>0</v>
      </c>
      <c r="V231" s="306">
        <f t="shared" ca="1" si="90"/>
        <v>1.0852326689856358</v>
      </c>
      <c r="W231" s="304">
        <f t="shared" ca="1" si="91"/>
        <v>4.2261511748697567</v>
      </c>
      <c r="Y231" s="314" t="str">
        <f t="shared" ca="1" si="109"/>
        <v/>
      </c>
      <c r="Z231" s="315" t="str">
        <f t="shared" ca="1" si="110"/>
        <v/>
      </c>
      <c r="AA231" s="316" t="str">
        <f t="shared" ca="1" si="111"/>
        <v/>
      </c>
      <c r="AC231" s="310" t="e">
        <f t="shared" ca="1" si="112"/>
        <v>#N/A</v>
      </c>
      <c r="AD231" s="323" t="e">
        <f t="shared" ca="1" si="113"/>
        <v>#N/A</v>
      </c>
      <c r="AE231" s="324" t="e">
        <f t="shared" ca="1" si="92"/>
        <v>#N/A</v>
      </c>
      <c r="AG231" s="306">
        <f t="shared" ca="1" si="114"/>
        <v>6.8089758629277997</v>
      </c>
      <c r="AH231" s="304">
        <f t="shared" ca="1" si="115"/>
        <v>-0.79947209219206095</v>
      </c>
    </row>
    <row r="232" spans="1:34" x14ac:dyDescent="0.2">
      <c r="A232" s="347">
        <f t="shared" ca="1" si="93"/>
        <v>0.1</v>
      </c>
      <c r="B232" s="304">
        <f t="shared" ca="1" si="94"/>
        <v>13.799999999999969</v>
      </c>
      <c r="D232" s="306">
        <f t="shared" ca="1" si="95"/>
        <v>-0.51354572098509277</v>
      </c>
      <c r="E232" s="307">
        <f t="shared" ca="1" si="96"/>
        <v>-9.1561313749311211</v>
      </c>
      <c r="F232" s="304">
        <f t="shared" ca="1" si="97"/>
        <v>9.1705218478852206</v>
      </c>
      <c r="G232" s="306">
        <f t="shared" ca="1" si="98"/>
        <v>21.945650845123602</v>
      </c>
      <c r="H232" s="307">
        <f t="shared" ca="1" si="99"/>
        <v>-28.923151901912579</v>
      </c>
      <c r="I232" s="304">
        <f t="shared" ca="1" si="100"/>
        <v>36.3064774793312</v>
      </c>
      <c r="J232" s="306">
        <f t="shared" ca="1" si="101"/>
        <v>503.41649252163381</v>
      </c>
      <c r="K232" s="307">
        <f t="shared" ca="1" si="102"/>
        <v>1207.1383547872249</v>
      </c>
      <c r="L232" s="304">
        <f t="shared" ca="1" si="87"/>
        <v>1307.9033498470719</v>
      </c>
      <c r="M232" s="306">
        <f t="shared" ca="1" si="103"/>
        <v>-0.92171410408010634</v>
      </c>
      <c r="N232" s="304">
        <f t="shared" ca="1" si="104"/>
        <v>-52.810328081471987</v>
      </c>
      <c r="P232" s="310">
        <f t="shared" ca="1" si="105"/>
        <v>23</v>
      </c>
      <c r="Q232" s="304">
        <f t="shared" ca="1" si="106"/>
        <v>0</v>
      </c>
      <c r="R232" s="306">
        <f t="shared" ca="1" si="107"/>
        <v>0</v>
      </c>
      <c r="S232" s="307">
        <f t="shared" ca="1" si="108"/>
        <v>5.083000000000002</v>
      </c>
      <c r="T232" s="304">
        <f t="shared" ca="1" si="88"/>
        <v>49.86423000000002</v>
      </c>
      <c r="U232" s="311">
        <f t="shared" ca="1" si="89"/>
        <v>0</v>
      </c>
      <c r="V232" s="306">
        <f t="shared" ca="1" si="90"/>
        <v>1.0855427606614787</v>
      </c>
      <c r="W232" s="304">
        <f t="shared" ca="1" si="91"/>
        <v>4.393580658853204</v>
      </c>
      <c r="Y232" s="314" t="str">
        <f t="shared" ca="1" si="109"/>
        <v/>
      </c>
      <c r="Z232" s="315" t="str">
        <f t="shared" ca="1" si="110"/>
        <v/>
      </c>
      <c r="AA232" s="316" t="str">
        <f t="shared" ca="1" si="111"/>
        <v/>
      </c>
      <c r="AC232" s="310" t="e">
        <f t="shared" ca="1" si="112"/>
        <v>#N/A</v>
      </c>
      <c r="AD232" s="323" t="e">
        <f t="shared" ca="1" si="113"/>
        <v>#N/A</v>
      </c>
      <c r="AE232" s="324" t="e">
        <f t="shared" ca="1" si="92"/>
        <v>#N/A</v>
      </c>
      <c r="AG232" s="306">
        <f t="shared" ca="1" si="114"/>
        <v>6.8835476260705732</v>
      </c>
      <c r="AH232" s="304">
        <f t="shared" ca="1" si="115"/>
        <v>-0.8314285215167726</v>
      </c>
    </row>
    <row r="233" spans="1:34" x14ac:dyDescent="0.2">
      <c r="A233" s="347">
        <f t="shared" ca="1" si="93"/>
        <v>0.1</v>
      </c>
      <c r="B233" s="304">
        <f t="shared" ca="1" si="94"/>
        <v>13.899999999999968</v>
      </c>
      <c r="D233" s="306">
        <f t="shared" ca="1" si="95"/>
        <v>-0.52247178761558877</v>
      </c>
      <c r="E233" s="307">
        <f t="shared" ca="1" si="96"/>
        <v>-9.1214111317857167</v>
      </c>
      <c r="F233" s="304">
        <f t="shared" ca="1" si="97"/>
        <v>9.1363623945155883</v>
      </c>
      <c r="G233" s="306">
        <f t="shared" ca="1" si="98"/>
        <v>21.893403666362044</v>
      </c>
      <c r="H233" s="307">
        <f t="shared" ca="1" si="99"/>
        <v>-29.83529301509115</v>
      </c>
      <c r="I233" s="304">
        <f t="shared" ca="1" si="100"/>
        <v>37.006294510456215</v>
      </c>
      <c r="J233" s="306">
        <f t="shared" ca="1" si="101"/>
        <v>505.60844524720812</v>
      </c>
      <c r="K233" s="307">
        <f t="shared" ca="1" si="102"/>
        <v>1204.2004325413748</v>
      </c>
      <c r="L233" s="304">
        <f t="shared" ca="1" si="87"/>
        <v>1306.0392726247298</v>
      </c>
      <c r="M233" s="306">
        <f t="shared" ca="1" si="103"/>
        <v>-0.93773830357571264</v>
      </c>
      <c r="N233" s="304">
        <f t="shared" ca="1" si="104"/>
        <v>-53.728447082645886</v>
      </c>
      <c r="P233" s="310">
        <f t="shared" ca="1" si="105"/>
        <v>23</v>
      </c>
      <c r="Q233" s="304">
        <f t="shared" ca="1" si="106"/>
        <v>0</v>
      </c>
      <c r="R233" s="306">
        <f t="shared" ca="1" si="107"/>
        <v>0</v>
      </c>
      <c r="S233" s="307">
        <f t="shared" ca="1" si="108"/>
        <v>5.083000000000002</v>
      </c>
      <c r="T233" s="304">
        <f t="shared" ca="1" si="88"/>
        <v>49.86423000000002</v>
      </c>
      <c r="U233" s="311">
        <f t="shared" ca="1" si="89"/>
        <v>0</v>
      </c>
      <c r="V233" s="306">
        <f t="shared" ca="1" si="90"/>
        <v>1.0858628951083362</v>
      </c>
      <c r="W233" s="304">
        <f t="shared" ca="1" si="91"/>
        <v>4.5659340386078577</v>
      </c>
      <c r="Y233" s="314" t="str">
        <f t="shared" ca="1" si="109"/>
        <v/>
      </c>
      <c r="Z233" s="315" t="str">
        <f t="shared" ca="1" si="110"/>
        <v/>
      </c>
      <c r="AA233" s="316" t="str">
        <f t="shared" ca="1" si="111"/>
        <v/>
      </c>
      <c r="AC233" s="310" t="e">
        <f t="shared" ca="1" si="112"/>
        <v>#N/A</v>
      </c>
      <c r="AD233" s="323" t="e">
        <f t="shared" ca="1" si="113"/>
        <v>#N/A</v>
      </c>
      <c r="AE233" s="324" t="e">
        <f t="shared" ca="1" si="92"/>
        <v>#N/A</v>
      </c>
      <c r="AG233" s="306">
        <f t="shared" ca="1" si="114"/>
        <v>6.9506598771708763</v>
      </c>
      <c r="AH233" s="304">
        <f t="shared" ca="1" si="115"/>
        <v>-0.86436762912713005</v>
      </c>
    </row>
    <row r="234" spans="1:34" x14ac:dyDescent="0.2">
      <c r="A234" s="347">
        <f t="shared" ca="1" si="93"/>
        <v>0.1</v>
      </c>
      <c r="B234" s="304">
        <f t="shared" ca="1" si="94"/>
        <v>13.999999999999968</v>
      </c>
      <c r="D234" s="306">
        <f t="shared" ca="1" si="95"/>
        <v>-0.53143139492811031</v>
      </c>
      <c r="E234" s="307">
        <f t="shared" ca="1" si="96"/>
        <v>-9.0857904788710524</v>
      </c>
      <c r="F234" s="304">
        <f t="shared" ca="1" si="97"/>
        <v>9.1013190227273704</v>
      </c>
      <c r="G234" s="306">
        <f t="shared" ca="1" si="98"/>
        <v>21.840260526869233</v>
      </c>
      <c r="H234" s="307">
        <f t="shared" ca="1" si="99"/>
        <v>-30.743872062978255</v>
      </c>
      <c r="I234" s="304">
        <f t="shared" ca="1" si="100"/>
        <v>37.711836991935265</v>
      </c>
      <c r="J234" s="306">
        <f t="shared" ca="1" si="101"/>
        <v>507.79512845686969</v>
      </c>
      <c r="K234" s="307">
        <f t="shared" ca="1" si="102"/>
        <v>1201.1714742874713</v>
      </c>
      <c r="L234" s="304">
        <f t="shared" ca="1" si="87"/>
        <v>1304.0969301115872</v>
      </c>
      <c r="M234" s="306">
        <f t="shared" ca="1" si="103"/>
        <v>-0.953128570347195</v>
      </c>
      <c r="N234" s="304">
        <f t="shared" ca="1" si="104"/>
        <v>-54.610244414232262</v>
      </c>
      <c r="P234" s="310">
        <f t="shared" ca="1" si="105"/>
        <v>23</v>
      </c>
      <c r="Q234" s="304">
        <f t="shared" ca="1" si="106"/>
        <v>0</v>
      </c>
      <c r="R234" s="306">
        <f t="shared" ca="1" si="107"/>
        <v>0</v>
      </c>
      <c r="S234" s="307">
        <f t="shared" ca="1" si="108"/>
        <v>5.083000000000002</v>
      </c>
      <c r="T234" s="304">
        <f t="shared" ca="1" si="88"/>
        <v>49.86423000000002</v>
      </c>
      <c r="U234" s="311">
        <f t="shared" ca="1" si="89"/>
        <v>0</v>
      </c>
      <c r="V234" s="306">
        <f t="shared" ca="1" si="90"/>
        <v>1.0861930423008284</v>
      </c>
      <c r="W234" s="304">
        <f t="shared" ca="1" si="91"/>
        <v>4.7431387695487022</v>
      </c>
      <c r="Y234" s="314" t="str">
        <f t="shared" ca="1" si="109"/>
        <v/>
      </c>
      <c r="Z234" s="315" t="str">
        <f t="shared" ca="1" si="110"/>
        <v/>
      </c>
      <c r="AA234" s="316" t="str">
        <f t="shared" ca="1" si="111"/>
        <v/>
      </c>
      <c r="AC234" s="310">
        <f t="shared" ca="1" si="112"/>
        <v>13.999999999999968</v>
      </c>
      <c r="AD234" s="323">
        <f t="shared" ca="1" si="113"/>
        <v>507.79512845686969</v>
      </c>
      <c r="AE234" s="324" t="e">
        <f t="shared" ca="1" si="92"/>
        <v>#N/A</v>
      </c>
      <c r="AG234" s="306">
        <f t="shared" ca="1" si="114"/>
        <v>7.0107635090943283</v>
      </c>
      <c r="AH234" s="304">
        <f t="shared" ca="1" si="115"/>
        <v>-0.89827543549239741</v>
      </c>
    </row>
    <row r="235" spans="1:34" x14ac:dyDescent="0.2">
      <c r="A235" s="347">
        <f t="shared" ca="1" si="93"/>
        <v>0.1</v>
      </c>
      <c r="B235" s="304">
        <f t="shared" ca="1" si="94"/>
        <v>14.099999999999968</v>
      </c>
      <c r="D235" s="306">
        <f t="shared" ca="1" si="95"/>
        <v>-0.54041307492534896</v>
      </c>
      <c r="E235" s="307">
        <f t="shared" ca="1" si="96"/>
        <v>-9.0492769117279739</v>
      </c>
      <c r="F235" s="304">
        <f t="shared" ca="1" si="97"/>
        <v>9.0653989937941084</v>
      </c>
      <c r="G235" s="306">
        <f t="shared" ca="1" si="98"/>
        <v>21.786219219376697</v>
      </c>
      <c r="H235" s="307">
        <f t="shared" ca="1" si="99"/>
        <v>-31.648799754151053</v>
      </c>
      <c r="I235" s="304">
        <f t="shared" ca="1" si="100"/>
        <v>38.422465742753815</v>
      </c>
      <c r="J235" s="306">
        <f t="shared" ca="1" si="101"/>
        <v>509.97645244418197</v>
      </c>
      <c r="K235" s="307">
        <f t="shared" ca="1" si="102"/>
        <v>1198.0518406966148</v>
      </c>
      <c r="L235" s="304">
        <f t="shared" ca="1" si="87"/>
        <v>1302.076877547597</v>
      </c>
      <c r="M235" s="306">
        <f t="shared" ca="1" si="103"/>
        <v>-0.96791555863575396</v>
      </c>
      <c r="N235" s="304">
        <f t="shared" ca="1" si="104"/>
        <v>-55.457476434876064</v>
      </c>
      <c r="P235" s="310">
        <f t="shared" ca="1" si="105"/>
        <v>23</v>
      </c>
      <c r="Q235" s="304">
        <f t="shared" ca="1" si="106"/>
        <v>0</v>
      </c>
      <c r="R235" s="306">
        <f t="shared" ca="1" si="107"/>
        <v>0</v>
      </c>
      <c r="S235" s="307">
        <f t="shared" ca="1" si="108"/>
        <v>5.083000000000002</v>
      </c>
      <c r="T235" s="304">
        <f t="shared" ca="1" si="88"/>
        <v>49.86423000000002</v>
      </c>
      <c r="U235" s="311">
        <f t="shared" ca="1" si="89"/>
        <v>0</v>
      </c>
      <c r="V235" s="306">
        <f t="shared" ca="1" si="90"/>
        <v>1.0865331714553328</v>
      </c>
      <c r="W235" s="304">
        <f t="shared" ca="1" si="91"/>
        <v>4.9251208594494189</v>
      </c>
      <c r="Y235" s="314" t="str">
        <f t="shared" ca="1" si="109"/>
        <v/>
      </c>
      <c r="Z235" s="315" t="str">
        <f t="shared" ca="1" si="110"/>
        <v/>
      </c>
      <c r="AA235" s="316" t="str">
        <f t="shared" ca="1" si="111"/>
        <v/>
      </c>
      <c r="AC235" s="310" t="e">
        <f t="shared" ca="1" si="112"/>
        <v>#N/A</v>
      </c>
      <c r="AD235" s="323" t="e">
        <f t="shared" ca="1" si="113"/>
        <v>#N/A</v>
      </c>
      <c r="AE235" s="324" t="e">
        <f t="shared" ca="1" si="92"/>
        <v>#N/A</v>
      </c>
      <c r="AG235" s="306">
        <f t="shared" ca="1" si="114"/>
        <v>7.0642819480022467</v>
      </c>
      <c r="AH235" s="304">
        <f t="shared" ca="1" si="115"/>
        <v>-0.93313766861080083</v>
      </c>
    </row>
    <row r="236" spans="1:34" x14ac:dyDescent="0.2">
      <c r="A236" s="347">
        <f t="shared" ca="1" si="93"/>
        <v>0.1</v>
      </c>
      <c r="B236" s="304">
        <f t="shared" ca="1" si="94"/>
        <v>14.199999999999967</v>
      </c>
      <c r="D236" s="306">
        <f t="shared" ca="1" si="95"/>
        <v>-0.54940602764866242</v>
      </c>
      <c r="E236" s="307">
        <f t="shared" ca="1" si="96"/>
        <v>-9.0118788952003595</v>
      </c>
      <c r="F236" s="304">
        <f t="shared" ca="1" si="97"/>
        <v>9.0286105356790269</v>
      </c>
      <c r="G236" s="306">
        <f t="shared" ca="1" si="98"/>
        <v>21.731278616611831</v>
      </c>
      <c r="H236" s="307">
        <f t="shared" ca="1" si="99"/>
        <v>-32.549987643671088</v>
      </c>
      <c r="I236" s="304">
        <f t="shared" ca="1" si="100"/>
        <v>39.137579970099722</v>
      </c>
      <c r="J236" s="306">
        <f t="shared" ca="1" si="101"/>
        <v>512.15232733598145</v>
      </c>
      <c r="K236" s="307">
        <f t="shared" ca="1" si="102"/>
        <v>1194.8419013267237</v>
      </c>
      <c r="L236" s="304">
        <f t="shared" ca="1" si="87"/>
        <v>1299.9796827495891</v>
      </c>
      <c r="M236" s="306">
        <f t="shared" ca="1" si="103"/>
        <v>-0.98212857639471718</v>
      </c>
      <c r="N236" s="304">
        <f t="shared" ca="1" si="104"/>
        <v>-56.271822366609143</v>
      </c>
      <c r="P236" s="310">
        <f t="shared" ca="1" si="105"/>
        <v>23</v>
      </c>
      <c r="Q236" s="304">
        <f t="shared" ca="1" si="106"/>
        <v>0</v>
      </c>
      <c r="R236" s="306">
        <f t="shared" ca="1" si="107"/>
        <v>0</v>
      </c>
      <c r="S236" s="307">
        <f t="shared" ca="1" si="108"/>
        <v>5.083000000000002</v>
      </c>
      <c r="T236" s="304">
        <f t="shared" ca="1" si="88"/>
        <v>49.86423000000002</v>
      </c>
      <c r="U236" s="311">
        <f t="shared" ca="1" si="89"/>
        <v>0</v>
      </c>
      <c r="V236" s="306">
        <f t="shared" ca="1" si="90"/>
        <v>1.0868832510344308</v>
      </c>
      <c r="W236" s="304">
        <f t="shared" ca="1" si="91"/>
        <v>5.1118049101653522</v>
      </c>
      <c r="Y236" s="314" t="str">
        <f t="shared" ca="1" si="109"/>
        <v/>
      </c>
      <c r="Z236" s="315" t="str">
        <f t="shared" ca="1" si="110"/>
        <v/>
      </c>
      <c r="AA236" s="316" t="str">
        <f t="shared" ca="1" si="111"/>
        <v/>
      </c>
      <c r="AC236" s="310" t="e">
        <f t="shared" ca="1" si="112"/>
        <v>#N/A</v>
      </c>
      <c r="AD236" s="323" t="e">
        <f t="shared" ca="1" si="113"/>
        <v>#N/A</v>
      </c>
      <c r="AE236" s="324" t="e">
        <f t="shared" ca="1" si="92"/>
        <v>#N/A</v>
      </c>
      <c r="AG236" s="306">
        <f t="shared" ca="1" si="114"/>
        <v>7.1116120509675422</v>
      </c>
      <c r="AH236" s="304">
        <f t="shared" ca="1" si="115"/>
        <v>-0.96893977167999545</v>
      </c>
    </row>
    <row r="237" spans="1:34" x14ac:dyDescent="0.2">
      <c r="A237" s="347">
        <f t="shared" ca="1" si="93"/>
        <v>0.1</v>
      </c>
      <c r="B237" s="304">
        <f t="shared" ca="1" si="94"/>
        <v>14.299999999999967</v>
      </c>
      <c r="D237" s="306">
        <f t="shared" ca="1" si="95"/>
        <v>-0.55840008150175435</v>
      </c>
      <c r="E237" s="307">
        <f t="shared" ca="1" si="96"/>
        <v>-8.9736057834529355</v>
      </c>
      <c r="F237" s="304">
        <f t="shared" ca="1" si="97"/>
        <v>8.9909627631217077</v>
      </c>
      <c r="G237" s="306">
        <f t="shared" ca="1" si="98"/>
        <v>21.675438608461658</v>
      </c>
      <c r="H237" s="307">
        <f t="shared" ca="1" si="99"/>
        <v>-33.44734822201638</v>
      </c>
      <c r="I237" s="304">
        <f t="shared" ca="1" si="100"/>
        <v>39.856614782919195</v>
      </c>
      <c r="J237" s="306">
        <f t="shared" ca="1" si="101"/>
        <v>514.3226631972351</v>
      </c>
      <c r="K237" s="307">
        <f t="shared" ca="1" si="102"/>
        <v>1191.5420345334394</v>
      </c>
      <c r="L237" s="304">
        <f t="shared" ca="1" si="87"/>
        <v>1297.8059261455021</v>
      </c>
      <c r="M237" s="306">
        <f t="shared" ca="1" si="103"/>
        <v>-0.99579558381736433</v>
      </c>
      <c r="N237" s="304">
        <f t="shared" ca="1" si="104"/>
        <v>-57.054884210500795</v>
      </c>
      <c r="P237" s="310">
        <f t="shared" ca="1" si="105"/>
        <v>23</v>
      </c>
      <c r="Q237" s="304">
        <f t="shared" ca="1" si="106"/>
        <v>0</v>
      </c>
      <c r="R237" s="306">
        <f t="shared" ca="1" si="107"/>
        <v>0</v>
      </c>
      <c r="S237" s="307">
        <f t="shared" ca="1" si="108"/>
        <v>5.083000000000002</v>
      </c>
      <c r="T237" s="304">
        <f t="shared" ca="1" si="88"/>
        <v>49.86423000000002</v>
      </c>
      <c r="U237" s="311">
        <f t="shared" ca="1" si="89"/>
        <v>0</v>
      </c>
      <c r="V237" s="306">
        <f t="shared" ca="1" si="90"/>
        <v>1.0872432487522754</v>
      </c>
      <c r="W237" s="304">
        <f t="shared" ca="1" si="91"/>
        <v>5.3031141618260467</v>
      </c>
      <c r="Y237" s="314" t="str">
        <f t="shared" ca="1" si="109"/>
        <v/>
      </c>
      <c r="Z237" s="315" t="str">
        <f t="shared" ca="1" si="110"/>
        <v/>
      </c>
      <c r="AA237" s="316" t="str">
        <f t="shared" ca="1" si="111"/>
        <v/>
      </c>
      <c r="AC237" s="310" t="e">
        <f t="shared" ca="1" si="112"/>
        <v>#N/A</v>
      </c>
      <c r="AD237" s="323" t="e">
        <f t="shared" ca="1" si="113"/>
        <v>#N/A</v>
      </c>
      <c r="AE237" s="324" t="e">
        <f t="shared" ca="1" si="92"/>
        <v>#N/A</v>
      </c>
      <c r="AG237" s="306">
        <f t="shared" ca="1" si="114"/>
        <v>7.1531252017573781</v>
      </c>
      <c r="AH237" s="304">
        <f t="shared" ca="1" si="115"/>
        <v>-1.0056669113054004</v>
      </c>
    </row>
    <row r="238" spans="1:34" x14ac:dyDescent="0.2">
      <c r="A238" s="347">
        <f t="shared" ca="1" si="93"/>
        <v>0.1</v>
      </c>
      <c r="B238" s="304">
        <f t="shared" ca="1" si="94"/>
        <v>14.399999999999967</v>
      </c>
      <c r="D238" s="306">
        <f t="shared" ca="1" si="95"/>
        <v>-0.56738565545238095</v>
      </c>
      <c r="E238" s="307">
        <f t="shared" ca="1" si="96"/>
        <v>-8.934467747255443</v>
      </c>
      <c r="F238" s="304">
        <f t="shared" ca="1" si="97"/>
        <v>8.9524656050029527</v>
      </c>
      <c r="G238" s="306">
        <f t="shared" ca="1" si="98"/>
        <v>21.618700042916419</v>
      </c>
      <c r="H238" s="307">
        <f t="shared" ca="1" si="99"/>
        <v>-34.340794996741927</v>
      </c>
      <c r="I238" s="304">
        <f t="shared" ca="1" si="100"/>
        <v>40.579038832306637</v>
      </c>
      <c r="J238" s="306">
        <f t="shared" ca="1" si="101"/>
        <v>516.48737012980405</v>
      </c>
      <c r="K238" s="307">
        <f t="shared" ca="1" si="102"/>
        <v>1188.1526273725015</v>
      </c>
      <c r="L238" s="304">
        <f t="shared" ca="1" si="87"/>
        <v>1295.5562008017173</v>
      </c>
      <c r="M238" s="306">
        <f t="shared" ca="1" si="103"/>
        <v>-1.0089432070037481</v>
      </c>
      <c r="N238" s="304">
        <f t="shared" ca="1" si="104"/>
        <v>-57.808187529708924</v>
      </c>
      <c r="P238" s="310">
        <f t="shared" ca="1" si="105"/>
        <v>23</v>
      </c>
      <c r="Q238" s="304">
        <f t="shared" ca="1" si="106"/>
        <v>0</v>
      </c>
      <c r="R238" s="306">
        <f t="shared" ca="1" si="107"/>
        <v>0</v>
      </c>
      <c r="S238" s="307">
        <f t="shared" ca="1" si="108"/>
        <v>5.083000000000002</v>
      </c>
      <c r="T238" s="304">
        <f t="shared" ca="1" si="88"/>
        <v>49.86423000000002</v>
      </c>
      <c r="U238" s="311">
        <f t="shared" ca="1" si="89"/>
        <v>0</v>
      </c>
      <c r="V238" s="306">
        <f t="shared" ca="1" si="90"/>
        <v>1.0876131315808057</v>
      </c>
      <c r="W238" s="304">
        <f t="shared" ca="1" si="91"/>
        <v>5.4989705392528325</v>
      </c>
      <c r="Y238" s="314" t="str">
        <f t="shared" ca="1" si="109"/>
        <v/>
      </c>
      <c r="Z238" s="315" t="str">
        <f t="shared" ca="1" si="110"/>
        <v/>
      </c>
      <c r="AA238" s="316" t="str">
        <f t="shared" ca="1" si="111"/>
        <v/>
      </c>
      <c r="AC238" s="310" t="e">
        <f t="shared" ca="1" si="112"/>
        <v>#N/A</v>
      </c>
      <c r="AD238" s="323" t="e">
        <f t="shared" ca="1" si="113"/>
        <v>#N/A</v>
      </c>
      <c r="AE238" s="324" t="e">
        <f t="shared" ca="1" si="92"/>
        <v>#N/A</v>
      </c>
      <c r="AG238" s="306">
        <f t="shared" ca="1" si="114"/>
        <v>7.1891685367504907</v>
      </c>
      <c r="AH238" s="304">
        <f t="shared" ca="1" si="115"/>
        <v>-1.0433039861943822</v>
      </c>
    </row>
    <row r="239" spans="1:34" x14ac:dyDescent="0.2">
      <c r="A239" s="347">
        <f t="shared" ca="1" si="93"/>
        <v>0.1</v>
      </c>
      <c r="B239" s="304">
        <f t="shared" ca="1" si="94"/>
        <v>14.499999999999966</v>
      </c>
      <c r="D239" s="306">
        <f t="shared" ca="1" si="95"/>
        <v>-0.57635372324373024</v>
      </c>
      <c r="E239" s="307">
        <f t="shared" ca="1" si="96"/>
        <v>-8.8944757077793373</v>
      </c>
      <c r="F239" s="304">
        <f t="shared" ca="1" si="97"/>
        <v>8.9131297382330104</v>
      </c>
      <c r="G239" s="306">
        <f t="shared" ca="1" si="98"/>
        <v>21.561064670592046</v>
      </c>
      <c r="H239" s="307">
        <f t="shared" ca="1" si="99"/>
        <v>-35.230242567519859</v>
      </c>
      <c r="I239" s="304">
        <f t="shared" ca="1" si="100"/>
        <v>41.304352084202222</v>
      </c>
      <c r="J239" s="306">
        <f t="shared" ca="1" si="101"/>
        <v>518.6463583654795</v>
      </c>
      <c r="K239" s="307">
        <f t="shared" ca="1" si="102"/>
        <v>1184.6740754942884</v>
      </c>
      <c r="L239" s="304">
        <f t="shared" ca="1" si="87"/>
        <v>1293.2311124443381</v>
      </c>
      <c r="M239" s="306">
        <f t="shared" ca="1" si="103"/>
        <v>-1.0215967633262417</v>
      </c>
      <c r="N239" s="304">
        <f t="shared" ca="1" si="104"/>
        <v>-58.533182902818893</v>
      </c>
      <c r="P239" s="310">
        <f t="shared" ca="1" si="105"/>
        <v>23</v>
      </c>
      <c r="Q239" s="304">
        <f t="shared" ca="1" si="106"/>
        <v>0</v>
      </c>
      <c r="R239" s="306">
        <f t="shared" ca="1" si="107"/>
        <v>0</v>
      </c>
      <c r="S239" s="307">
        <f t="shared" ca="1" si="108"/>
        <v>5.083000000000002</v>
      </c>
      <c r="T239" s="304">
        <f t="shared" ca="1" si="88"/>
        <v>49.86423000000002</v>
      </c>
      <c r="U239" s="311">
        <f t="shared" ca="1" si="89"/>
        <v>0</v>
      </c>
      <c r="V239" s="306">
        <f t="shared" ca="1" si="90"/>
        <v>1.0879928657567379</v>
      </c>
      <c r="W239" s="304">
        <f t="shared" ca="1" si="91"/>
        <v>5.6992947003750407</v>
      </c>
      <c r="Y239" s="314" t="str">
        <f t="shared" ca="1" si="109"/>
        <v/>
      </c>
      <c r="Z239" s="315" t="str">
        <f t="shared" ca="1" si="110"/>
        <v/>
      </c>
      <c r="AA239" s="316" t="str">
        <f t="shared" ca="1" si="111"/>
        <v/>
      </c>
      <c r="AC239" s="310" t="e">
        <f t="shared" ca="1" si="112"/>
        <v>#N/A</v>
      </c>
      <c r="AD239" s="323" t="e">
        <f t="shared" ca="1" si="113"/>
        <v>#N/A</v>
      </c>
      <c r="AE239" s="324" t="e">
        <f t="shared" ca="1" si="92"/>
        <v>#N/A</v>
      </c>
      <c r="AG239" s="306">
        <f t="shared" ca="1" si="114"/>
        <v>7.2200662473471651</v>
      </c>
      <c r="AH239" s="304">
        <f t="shared" ca="1" si="115"/>
        <v>-1.0818356362881822</v>
      </c>
    </row>
    <row r="240" spans="1:34" x14ac:dyDescent="0.2">
      <c r="A240" s="347">
        <f t="shared" ca="1" si="93"/>
        <v>0.1</v>
      </c>
      <c r="B240" s="304">
        <f t="shared" ca="1" si="94"/>
        <v>14.599999999999966</v>
      </c>
      <c r="D240" s="306">
        <f t="shared" ca="1" si="95"/>
        <v>-0.58529577967805158</v>
      </c>
      <c r="E240" s="307">
        <f t="shared" ca="1" si="96"/>
        <v>-8.8536412762154573</v>
      </c>
      <c r="F240" s="304">
        <f t="shared" ca="1" si="97"/>
        <v>8.872966527470675</v>
      </c>
      <c r="G240" s="306">
        <f t="shared" ca="1" si="98"/>
        <v>21.502535092624242</v>
      </c>
      <c r="H240" s="307">
        <f t="shared" ca="1" si="99"/>
        <v>-36.115606695141402</v>
      </c>
      <c r="I240" s="304">
        <f t="shared" ca="1" si="100"/>
        <v>42.03208372621657</v>
      </c>
      <c r="J240" s="306">
        <f t="shared" ca="1" si="101"/>
        <v>520.79953835364029</v>
      </c>
      <c r="K240" s="307">
        <f t="shared" ca="1" si="102"/>
        <v>1181.1067830311554</v>
      </c>
      <c r="L240" s="304">
        <f t="shared" ca="1" si="87"/>
        <v>1290.8312794751953</v>
      </c>
      <c r="M240" s="306">
        <f t="shared" ca="1" si="103"/>
        <v>-1.0337802956371618</v>
      </c>
      <c r="N240" s="304">
        <f t="shared" ca="1" si="104"/>
        <v>-59.231247883795881</v>
      </c>
      <c r="P240" s="310">
        <f t="shared" ca="1" si="105"/>
        <v>23</v>
      </c>
      <c r="Q240" s="304">
        <f t="shared" ca="1" si="106"/>
        <v>0</v>
      </c>
      <c r="R240" s="306">
        <f t="shared" ca="1" si="107"/>
        <v>0</v>
      </c>
      <c r="S240" s="307">
        <f t="shared" ca="1" si="108"/>
        <v>5.083000000000002</v>
      </c>
      <c r="T240" s="304">
        <f t="shared" ca="1" si="88"/>
        <v>49.86423000000002</v>
      </c>
      <c r="U240" s="311">
        <f t="shared" ca="1" si="89"/>
        <v>0</v>
      </c>
      <c r="V240" s="306">
        <f t="shared" ca="1" si="90"/>
        <v>1.08838241678926</v>
      </c>
      <c r="W240" s="304">
        <f t="shared" ca="1" si="91"/>
        <v>5.9040060864344435</v>
      </c>
      <c r="Y240" s="314" t="str">
        <f t="shared" ca="1" si="109"/>
        <v/>
      </c>
      <c r="Z240" s="315" t="str">
        <f t="shared" ca="1" si="110"/>
        <v/>
      </c>
      <c r="AA240" s="316" t="str">
        <f t="shared" ca="1" si="111"/>
        <v/>
      </c>
      <c r="AC240" s="310" t="e">
        <f t="shared" ca="1" si="112"/>
        <v>#N/A</v>
      </c>
      <c r="AD240" s="323" t="e">
        <f t="shared" ca="1" si="113"/>
        <v>#N/A</v>
      </c>
      <c r="AE240" s="324" t="e">
        <f t="shared" ca="1" si="92"/>
        <v>#N/A</v>
      </c>
      <c r="AG240" s="306">
        <f t="shared" ca="1" si="114"/>
        <v>7.2461209172262064</v>
      </c>
      <c r="AH240" s="304">
        <f t="shared" ca="1" si="115"/>
        <v>-1.1212462522870428</v>
      </c>
    </row>
    <row r="241" spans="1:34" x14ac:dyDescent="0.2">
      <c r="A241" s="347">
        <f t="shared" ca="1" si="93"/>
        <v>0.1</v>
      </c>
      <c r="B241" s="304">
        <f t="shared" ca="1" si="94"/>
        <v>14.699999999999966</v>
      </c>
      <c r="D241" s="306">
        <f t="shared" ca="1" si="95"/>
        <v>-0.59420380898232006</v>
      </c>
      <c r="E241" s="307">
        <f t="shared" ca="1" si="96"/>
        <v>-8.8119766985837131</v>
      </c>
      <c r="F241" s="304">
        <f t="shared" ca="1" si="97"/>
        <v>8.8319879700434054</v>
      </c>
      <c r="G241" s="306">
        <f t="shared" ca="1" si="98"/>
        <v>21.443114711726011</v>
      </c>
      <c r="H241" s="307">
        <f t="shared" ca="1" si="99"/>
        <v>-36.996804364999775</v>
      </c>
      <c r="I241" s="304">
        <f t="shared" ca="1" si="100"/>
        <v>42.761790207641056</v>
      </c>
      <c r="J241" s="306">
        <f t="shared" ca="1" si="101"/>
        <v>522.94682084385784</v>
      </c>
      <c r="K241" s="307">
        <f t="shared" ca="1" si="102"/>
        <v>1177.4511624781483</v>
      </c>
      <c r="L241" s="304">
        <f t="shared" ca="1" si="87"/>
        <v>1288.3573329832996</v>
      </c>
      <c r="M241" s="306">
        <f t="shared" ca="1" si="103"/>
        <v>-1.0455166129660016</v>
      </c>
      <c r="N241" s="304">
        <f t="shared" ca="1" si="104"/>
        <v>-59.903689333764653</v>
      </c>
      <c r="P241" s="310">
        <f t="shared" ca="1" si="105"/>
        <v>23</v>
      </c>
      <c r="Q241" s="304">
        <f t="shared" ca="1" si="106"/>
        <v>0</v>
      </c>
      <c r="R241" s="306">
        <f t="shared" ca="1" si="107"/>
        <v>0</v>
      </c>
      <c r="S241" s="307">
        <f t="shared" ca="1" si="108"/>
        <v>5.083000000000002</v>
      </c>
      <c r="T241" s="304">
        <f t="shared" ca="1" si="88"/>
        <v>49.86423000000002</v>
      </c>
      <c r="U241" s="311">
        <f t="shared" ca="1" si="89"/>
        <v>0</v>
      </c>
      <c r="V241" s="306">
        <f t="shared" ca="1" si="90"/>
        <v>1.0887817494683865</v>
      </c>
      <c r="W241" s="304">
        <f t="shared" ca="1" si="91"/>
        <v>6.1130229737822592</v>
      </c>
      <c r="Y241" s="314" t="str">
        <f t="shared" ca="1" si="109"/>
        <v/>
      </c>
      <c r="Z241" s="315" t="str">
        <f t="shared" ca="1" si="110"/>
        <v/>
      </c>
      <c r="AA241" s="316" t="str">
        <f t="shared" ca="1" si="111"/>
        <v/>
      </c>
      <c r="AC241" s="310" t="e">
        <f t="shared" ca="1" si="112"/>
        <v>#N/A</v>
      </c>
      <c r="AD241" s="323" t="e">
        <f t="shared" ca="1" si="113"/>
        <v>#N/A</v>
      </c>
      <c r="AE241" s="324" t="e">
        <f t="shared" ca="1" si="92"/>
        <v>#N/A</v>
      </c>
      <c r="AG241" s="306">
        <f t="shared" ca="1" si="114"/>
        <v>7.2676148626782169</v>
      </c>
      <c r="AH241" s="304">
        <f t="shared" ca="1" si="115"/>
        <v>-1.1615199855271376</v>
      </c>
    </row>
    <row r="242" spans="1:34" x14ac:dyDescent="0.2">
      <c r="A242" s="347">
        <f t="shared" ca="1" si="93"/>
        <v>0.1</v>
      </c>
      <c r="B242" s="304">
        <f t="shared" ca="1" si="94"/>
        <v>14.799999999999965</v>
      </c>
      <c r="D242" s="306">
        <f t="shared" ca="1" si="95"/>
        <v>-0.60307025522626145</v>
      </c>
      <c r="E242" s="307">
        <f t="shared" ca="1" si="96"/>
        <v>-8.7694948051667367</v>
      </c>
      <c r="F242" s="304">
        <f t="shared" ca="1" si="97"/>
        <v>8.790206645499584</v>
      </c>
      <c r="G242" s="306">
        <f t="shared" ca="1" si="98"/>
        <v>21.382807686203385</v>
      </c>
      <c r="H242" s="307">
        <f t="shared" ca="1" si="99"/>
        <v>-37.873753845516447</v>
      </c>
      <c r="I242" s="304">
        <f t="shared" ca="1" si="100"/>
        <v>43.493053409664519</v>
      </c>
      <c r="J242" s="306">
        <f t="shared" ca="1" si="101"/>
        <v>525.08811696375426</v>
      </c>
      <c r="K242" s="307">
        <f t="shared" ca="1" si="102"/>
        <v>1173.7076345676226</v>
      </c>
      <c r="L242" s="304">
        <f t="shared" ca="1" si="87"/>
        <v>1285.8099167524199</v>
      </c>
      <c r="M242" s="306">
        <f t="shared" ca="1" si="103"/>
        <v>-1.0568273357850491</v>
      </c>
      <c r="N242" s="304">
        <f t="shared" ca="1" si="104"/>
        <v>-60.551746014538388</v>
      </c>
      <c r="P242" s="310">
        <f t="shared" ca="1" si="105"/>
        <v>23</v>
      </c>
      <c r="Q242" s="304">
        <f t="shared" ca="1" si="106"/>
        <v>0</v>
      </c>
      <c r="R242" s="306">
        <f t="shared" ca="1" si="107"/>
        <v>0</v>
      </c>
      <c r="S242" s="307">
        <f t="shared" ca="1" si="108"/>
        <v>5.083000000000002</v>
      </c>
      <c r="T242" s="304">
        <f t="shared" ca="1" si="88"/>
        <v>49.86423000000002</v>
      </c>
      <c r="U242" s="311">
        <f t="shared" ca="1" si="89"/>
        <v>0</v>
      </c>
      <c r="V242" s="306">
        <f t="shared" ca="1" si="90"/>
        <v>1.089190827873902</v>
      </c>
      <c r="W242" s="304">
        <f t="shared" ca="1" si="91"/>
        <v>6.3262625270860573</v>
      </c>
      <c r="Y242" s="314" t="str">
        <f t="shared" ca="1" si="109"/>
        <v/>
      </c>
      <c r="Z242" s="315" t="str">
        <f t="shared" ca="1" si="110"/>
        <v/>
      </c>
      <c r="AA242" s="316" t="str">
        <f t="shared" ca="1" si="111"/>
        <v/>
      </c>
      <c r="AC242" s="310" t="e">
        <f t="shared" ca="1" si="112"/>
        <v>#N/A</v>
      </c>
      <c r="AD242" s="323" t="e">
        <f t="shared" ca="1" si="113"/>
        <v>#N/A</v>
      </c>
      <c r="AE242" s="324" t="e">
        <f t="shared" ca="1" si="92"/>
        <v>#N/A</v>
      </c>
      <c r="AG242" s="306">
        <f t="shared" ca="1" si="114"/>
        <v>7.2848114522793139</v>
      </c>
      <c r="AH242" s="304">
        <f t="shared" ca="1" si="115"/>
        <v>-1.2026407581708158</v>
      </c>
    </row>
    <row r="243" spans="1:34" x14ac:dyDescent="0.2">
      <c r="A243" s="347">
        <f t="shared" ca="1" si="93"/>
        <v>0.1</v>
      </c>
      <c r="B243" s="304">
        <f t="shared" ca="1" si="94"/>
        <v>14.899999999999965</v>
      </c>
      <c r="D243" s="306">
        <f t="shared" ca="1" si="95"/>
        <v>-0.61188799473427724</v>
      </c>
      <c r="E243" s="307">
        <f t="shared" ca="1" si="96"/>
        <v>-8.7262089640573581</v>
      </c>
      <c r="F243" s="304">
        <f t="shared" ca="1" si="97"/>
        <v>8.7476356692820101</v>
      </c>
      <c r="G243" s="306">
        <f t="shared" ca="1" si="98"/>
        <v>21.321618886729958</v>
      </c>
      <c r="H243" s="307">
        <f t="shared" ca="1" si="99"/>
        <v>-38.746374741922182</v>
      </c>
      <c r="I243" s="304">
        <f t="shared" ca="1" si="100"/>
        <v>44.225478941357153</v>
      </c>
      <c r="J243" s="306">
        <f t="shared" ca="1" si="101"/>
        <v>527.22333829240097</v>
      </c>
      <c r="K243" s="307">
        <f t="shared" ca="1" si="102"/>
        <v>1169.8766281382507</v>
      </c>
      <c r="L243" s="304">
        <f t="shared" ca="1" si="87"/>
        <v>1283.1896872654122</v>
      </c>
      <c r="M243" s="306">
        <f t="shared" ca="1" si="103"/>
        <v>-1.0677329442877919</v>
      </c>
      <c r="N243" s="304">
        <f t="shared" ca="1" si="104"/>
        <v>-61.176591354767531</v>
      </c>
      <c r="P243" s="310">
        <f t="shared" ca="1" si="105"/>
        <v>23</v>
      </c>
      <c r="Q243" s="304">
        <f t="shared" ca="1" si="106"/>
        <v>0</v>
      </c>
      <c r="R243" s="306">
        <f t="shared" ca="1" si="107"/>
        <v>0</v>
      </c>
      <c r="S243" s="307">
        <f t="shared" ca="1" si="108"/>
        <v>5.083000000000002</v>
      </c>
      <c r="T243" s="304">
        <f t="shared" ca="1" si="88"/>
        <v>49.86423000000002</v>
      </c>
      <c r="U243" s="311">
        <f t="shared" ca="1" si="89"/>
        <v>0</v>
      </c>
      <c r="V243" s="306">
        <f t="shared" ca="1" si="90"/>
        <v>1.0896096153848591</v>
      </c>
      <c r="W243" s="304">
        <f t="shared" ca="1" si="91"/>
        <v>6.5436408537757673</v>
      </c>
      <c r="Y243" s="314" t="str">
        <f t="shared" ca="1" si="109"/>
        <v/>
      </c>
      <c r="Z243" s="315" t="str">
        <f t="shared" ca="1" si="110"/>
        <v/>
      </c>
      <c r="AA243" s="316" t="str">
        <f t="shared" ca="1" si="111"/>
        <v/>
      </c>
      <c r="AC243" s="310" t="e">
        <f t="shared" ca="1" si="112"/>
        <v>#N/A</v>
      </c>
      <c r="AD243" s="323" t="e">
        <f t="shared" ca="1" si="113"/>
        <v>#N/A</v>
      </c>
      <c r="AE243" s="324" t="e">
        <f t="shared" ca="1" si="92"/>
        <v>#N/A</v>
      </c>
      <c r="AG243" s="306">
        <f t="shared" ca="1" si="114"/>
        <v>7.2979563886359946</v>
      </c>
      <c r="AH243" s="304">
        <f t="shared" ca="1" si="115"/>
        <v>-1.244592273674219</v>
      </c>
    </row>
    <row r="244" spans="1:34" x14ac:dyDescent="0.2">
      <c r="A244" s="347">
        <f t="shared" ca="1" si="93"/>
        <v>0.1</v>
      </c>
      <c r="B244" s="304">
        <f t="shared" ca="1" si="94"/>
        <v>14.999999999999964</v>
      </c>
      <c r="D244" s="306">
        <f t="shared" ca="1" si="95"/>
        <v>-0.62065031041259877</v>
      </c>
      <c r="E244" s="307">
        <f t="shared" ca="1" si="96"/>
        <v>-8.6821330383640003</v>
      </c>
      <c r="F244" s="304">
        <f t="shared" ca="1" si="97"/>
        <v>8.7042886500659531</v>
      </c>
      <c r="G244" s="306">
        <f t="shared" ca="1" si="98"/>
        <v>21.259553855688697</v>
      </c>
      <c r="H244" s="307">
        <f t="shared" ca="1" si="99"/>
        <v>-39.61458804575858</v>
      </c>
      <c r="I244" s="304">
        <f t="shared" ca="1" si="100"/>
        <v>44.958694555982014</v>
      </c>
      <c r="J244" s="306">
        <f t="shared" ca="1" si="101"/>
        <v>529.35239692952189</v>
      </c>
      <c r="K244" s="307">
        <f t="shared" ca="1" si="102"/>
        <v>1165.9585799988668</v>
      </c>
      <c r="L244" s="304">
        <f t="shared" ca="1" si="87"/>
        <v>1280.4973137058914</v>
      </c>
      <c r="M244" s="306">
        <f t="shared" ca="1" si="103"/>
        <v>-1.0782528284321546</v>
      </c>
      <c r="N244" s="304">
        <f t="shared" ca="1" si="104"/>
        <v>-61.779336317206116</v>
      </c>
      <c r="P244" s="310">
        <f t="shared" ca="1" si="105"/>
        <v>23</v>
      </c>
      <c r="Q244" s="304">
        <f t="shared" ca="1" si="106"/>
        <v>0</v>
      </c>
      <c r="R244" s="306">
        <f t="shared" ca="1" si="107"/>
        <v>0</v>
      </c>
      <c r="S244" s="307">
        <f t="shared" ca="1" si="108"/>
        <v>5.083000000000002</v>
      </c>
      <c r="T244" s="304">
        <f t="shared" ca="1" si="88"/>
        <v>49.86423000000002</v>
      </c>
      <c r="U244" s="311">
        <f t="shared" ca="1" si="89"/>
        <v>0</v>
      </c>
      <c r="V244" s="306">
        <f t="shared" ca="1" si="90"/>
        <v>1.0900380746895812</v>
      </c>
      <c r="W244" s="304">
        <f t="shared" ca="1" si="91"/>
        <v>6.765073059568671</v>
      </c>
      <c r="Y244" s="314" t="str">
        <f t="shared" ca="1" si="109"/>
        <v/>
      </c>
      <c r="Z244" s="315" t="str">
        <f t="shared" ca="1" si="110"/>
        <v/>
      </c>
      <c r="AA244" s="316" t="str">
        <f t="shared" ca="1" si="111"/>
        <v/>
      </c>
      <c r="AC244" s="310">
        <f t="shared" ca="1" si="112"/>
        <v>14.999999999999964</v>
      </c>
      <c r="AD244" s="323">
        <f t="shared" ca="1" si="113"/>
        <v>529.35239692952189</v>
      </c>
      <c r="AE244" s="324" t="e">
        <f t="shared" ca="1" si="92"/>
        <v>#N/A</v>
      </c>
      <c r="AG244" s="306">
        <f t="shared" ca="1" si="114"/>
        <v>7.3072789400799163</v>
      </c>
      <c r="AH244" s="304">
        <f t="shared" ca="1" si="115"/>
        <v>-1.2873580274986749</v>
      </c>
    </row>
    <row r="245" spans="1:34" x14ac:dyDescent="0.2">
      <c r="A245" s="347">
        <f t="shared" ca="1" si="93"/>
        <v>0.1</v>
      </c>
      <c r="B245" s="304">
        <f t="shared" ca="1" si="94"/>
        <v>15.099999999999964</v>
      </c>
      <c r="D245" s="306">
        <f t="shared" ca="1" si="95"/>
        <v>-0.62935086789949835</v>
      </c>
      <c r="E245" s="307">
        <f t="shared" ca="1" si="96"/>
        <v>-8.6372813466681482</v>
      </c>
      <c r="F245" s="304">
        <f t="shared" ca="1" si="97"/>
        <v>8.6601796503552624</v>
      </c>
      <c r="G245" s="306">
        <f t="shared" ca="1" si="98"/>
        <v>21.196618768898748</v>
      </c>
      <c r="H245" s="307">
        <f t="shared" ca="1" si="99"/>
        <v>-40.478316180425395</v>
      </c>
      <c r="I245" s="304">
        <f t="shared" ca="1" si="100"/>
        <v>45.692348681551913</v>
      </c>
      <c r="J245" s="306">
        <f t="shared" ca="1" si="101"/>
        <v>531.47520556075131</v>
      </c>
      <c r="K245" s="307">
        <f t="shared" ca="1" si="102"/>
        <v>1161.9539347875575</v>
      </c>
      <c r="L245" s="304">
        <f t="shared" ca="1" si="87"/>
        <v>1277.733477957798</v>
      </c>
      <c r="M245" s="306">
        <f t="shared" ca="1" si="103"/>
        <v>-1.0884053387576644</v>
      </c>
      <c r="N245" s="304">
        <f t="shared" ca="1" si="104"/>
        <v>-62.361032310320816</v>
      </c>
      <c r="P245" s="310">
        <f t="shared" ca="1" si="105"/>
        <v>23</v>
      </c>
      <c r="Q245" s="304">
        <f t="shared" ca="1" si="106"/>
        <v>0</v>
      </c>
      <c r="R245" s="306">
        <f t="shared" ca="1" si="107"/>
        <v>0</v>
      </c>
      <c r="S245" s="307">
        <f t="shared" ca="1" si="108"/>
        <v>5.083000000000002</v>
      </c>
      <c r="T245" s="304">
        <f t="shared" ca="1" si="88"/>
        <v>49.86423000000002</v>
      </c>
      <c r="U245" s="311">
        <f t="shared" ca="1" si="89"/>
        <v>0</v>
      </c>
      <c r="V245" s="306">
        <f t="shared" ca="1" si="90"/>
        <v>1.0904761677961239</v>
      </c>
      <c r="W245" s="304">
        <f t="shared" ca="1" si="91"/>
        <v>6.9904733049227881</v>
      </c>
      <c r="Y245" s="314" t="str">
        <f t="shared" ca="1" si="109"/>
        <v/>
      </c>
      <c r="Z245" s="315" t="str">
        <f t="shared" ca="1" si="110"/>
        <v/>
      </c>
      <c r="AA245" s="316" t="str">
        <f t="shared" ca="1" si="111"/>
        <v/>
      </c>
      <c r="AC245" s="310" t="e">
        <f t="shared" ca="1" si="112"/>
        <v>#N/A</v>
      </c>
      <c r="AD245" s="323" t="e">
        <f t="shared" ca="1" si="113"/>
        <v>#N/A</v>
      </c>
      <c r="AE245" s="324" t="e">
        <f t="shared" ca="1" si="92"/>
        <v>#N/A</v>
      </c>
      <c r="AG245" s="306">
        <f t="shared" ca="1" si="114"/>
        <v>7.3129931142449802</v>
      </c>
      <c r="AH245" s="304">
        <f t="shared" ca="1" si="115"/>
        <v>-1.3309213180343633</v>
      </c>
    </row>
    <row r="246" spans="1:34" x14ac:dyDescent="0.2">
      <c r="A246" s="347">
        <f t="shared" ca="1" si="93"/>
        <v>0.1</v>
      </c>
      <c r="B246" s="304">
        <f t="shared" ca="1" si="94"/>
        <v>15.199999999999964</v>
      </c>
      <c r="D246" s="306">
        <f t="shared" ca="1" si="95"/>
        <v>-0.63798369343811479</v>
      </c>
      <c r="E246" s="307">
        <f t="shared" ca="1" si="96"/>
        <v>-8.5916686263737869</v>
      </c>
      <c r="F246" s="304">
        <f t="shared" ca="1" si="97"/>
        <v>8.6153231499757776</v>
      </c>
      <c r="G246" s="306">
        <f t="shared" ca="1" si="98"/>
        <v>21.132820399554937</v>
      </c>
      <c r="H246" s="307">
        <f t="shared" ca="1" si="99"/>
        <v>-41.337483043062775</v>
      </c>
      <c r="I246" s="304">
        <f t="shared" ca="1" si="100"/>
        <v>46.426109059185087</v>
      </c>
      <c r="J246" s="306">
        <f t="shared" ca="1" si="101"/>
        <v>533.59167751917403</v>
      </c>
      <c r="K246" s="307">
        <f t="shared" ca="1" si="102"/>
        <v>1157.8631448263832</v>
      </c>
      <c r="L246" s="304">
        <f t="shared" ca="1" si="87"/>
        <v>1274.8988746033813</v>
      </c>
      <c r="M246" s="306">
        <f t="shared" ca="1" si="103"/>
        <v>-1.0982078371990172</v>
      </c>
      <c r="N246" s="304">
        <f t="shared" ca="1" si="104"/>
        <v>-62.922674099693893</v>
      </c>
      <c r="P246" s="310">
        <f t="shared" ca="1" si="105"/>
        <v>23</v>
      </c>
      <c r="Q246" s="304">
        <f t="shared" ca="1" si="106"/>
        <v>0</v>
      </c>
      <c r="R246" s="306">
        <f t="shared" ca="1" si="107"/>
        <v>0</v>
      </c>
      <c r="S246" s="307">
        <f t="shared" ca="1" si="108"/>
        <v>5.083000000000002</v>
      </c>
      <c r="T246" s="304">
        <f t="shared" ca="1" si="88"/>
        <v>49.86423000000002</v>
      </c>
      <c r="U246" s="311">
        <f t="shared" ca="1" si="89"/>
        <v>0</v>
      </c>
      <c r="V246" s="306">
        <f t="shared" ca="1" si="90"/>
        <v>1.0909238560431704</v>
      </c>
      <c r="W246" s="304">
        <f t="shared" ca="1" si="91"/>
        <v>7.2197548622769601</v>
      </c>
      <c r="Y246" s="314" t="str">
        <f t="shared" ca="1" si="109"/>
        <v/>
      </c>
      <c r="Z246" s="315" t="str">
        <f t="shared" ca="1" si="110"/>
        <v/>
      </c>
      <c r="AA246" s="316" t="str">
        <f t="shared" ca="1" si="111"/>
        <v/>
      </c>
      <c r="AC246" s="310" t="e">
        <f t="shared" ca="1" si="112"/>
        <v>#N/A</v>
      </c>
      <c r="AD246" s="323" t="e">
        <f t="shared" ca="1" si="113"/>
        <v>#N/A</v>
      </c>
      <c r="AE246" s="324" t="e">
        <f t="shared" ca="1" si="92"/>
        <v>#N/A</v>
      </c>
      <c r="AG246" s="306">
        <f t="shared" ca="1" si="114"/>
        <v>7.3152987686135473</v>
      </c>
      <c r="AH246" s="304">
        <f t="shared" ca="1" si="115"/>
        <v>-1.3752652577066271</v>
      </c>
    </row>
    <row r="247" spans="1:34" x14ac:dyDescent="0.2">
      <c r="A247" s="347">
        <f t="shared" ca="1" si="93"/>
        <v>0.1</v>
      </c>
      <c r="B247" s="304">
        <f t="shared" ca="1" si="94"/>
        <v>15.299999999999963</v>
      </c>
      <c r="D247" s="306">
        <f t="shared" ca="1" si="95"/>
        <v>-0.64654315336725265</v>
      </c>
      <c r="E247" s="307">
        <f t="shared" ca="1" si="96"/>
        <v>-8.5453099996302431</v>
      </c>
      <c r="F247" s="304">
        <f t="shared" ca="1" si="97"/>
        <v>8.5697340121468581</v>
      </c>
      <c r="G247" s="306">
        <f t="shared" ca="1" si="98"/>
        <v>21.068166084218213</v>
      </c>
      <c r="H247" s="307">
        <f t="shared" ca="1" si="99"/>
        <v>-42.1920140430258</v>
      </c>
      <c r="I247" s="304">
        <f t="shared" ca="1" si="100"/>
        <v>47.159661482660042</v>
      </c>
      <c r="J247" s="306">
        <f t="shared" ca="1" si="101"/>
        <v>535.70172684336274</v>
      </c>
      <c r="K247" s="307">
        <f t="shared" ca="1" si="102"/>
        <v>1153.6866699720788</v>
      </c>
      <c r="L247" s="304">
        <f t="shared" ca="1" si="87"/>
        <v>1271.9942109200911</v>
      </c>
      <c r="M247" s="306">
        <f t="shared" ca="1" si="103"/>
        <v>-1.1076767472945908</v>
      </c>
      <c r="N247" s="304">
        <f t="shared" ca="1" si="104"/>
        <v>-63.465202684759078</v>
      </c>
      <c r="P247" s="310">
        <f t="shared" ca="1" si="105"/>
        <v>23</v>
      </c>
      <c r="Q247" s="304">
        <f t="shared" ca="1" si="106"/>
        <v>0</v>
      </c>
      <c r="R247" s="306">
        <f t="shared" ca="1" si="107"/>
        <v>0</v>
      </c>
      <c r="S247" s="307">
        <f t="shared" ca="1" si="108"/>
        <v>5.083000000000002</v>
      </c>
      <c r="T247" s="304">
        <f t="shared" ca="1" si="88"/>
        <v>49.86423000000002</v>
      </c>
      <c r="U247" s="311">
        <f t="shared" ca="1" si="89"/>
        <v>0</v>
      </c>
      <c r="V247" s="306">
        <f t="shared" ca="1" si="90"/>
        <v>1.0913811001113161</v>
      </c>
      <c r="W247" s="304">
        <f t="shared" ca="1" si="91"/>
        <v>7.4528301739437177</v>
      </c>
      <c r="Y247" s="314" t="str">
        <f t="shared" ca="1" si="109"/>
        <v/>
      </c>
      <c r="Z247" s="315" t="str">
        <f t="shared" ca="1" si="110"/>
        <v/>
      </c>
      <c r="AA247" s="316" t="str">
        <f t="shared" ca="1" si="111"/>
        <v/>
      </c>
      <c r="AC247" s="310" t="e">
        <f t="shared" ca="1" si="112"/>
        <v>#N/A</v>
      </c>
      <c r="AD247" s="323" t="e">
        <f t="shared" ca="1" si="113"/>
        <v>#N/A</v>
      </c>
      <c r="AE247" s="324" t="e">
        <f t="shared" ca="1" si="92"/>
        <v>#N/A</v>
      </c>
      <c r="AG247" s="306">
        <f t="shared" ca="1" si="114"/>
        <v>7.3143826555409905</v>
      </c>
      <c r="AH247" s="304">
        <f t="shared" ca="1" si="115"/>
        <v>-1.4203727842370564</v>
      </c>
    </row>
    <row r="248" spans="1:34" x14ac:dyDescent="0.2">
      <c r="A248" s="347">
        <f t="shared" ca="1" si="93"/>
        <v>0.1</v>
      </c>
      <c r="B248" s="304">
        <f t="shared" ca="1" si="94"/>
        <v>15.399999999999963</v>
      </c>
      <c r="D248" s="306">
        <f t="shared" ca="1" si="95"/>
        <v>-0.65502393512429657</v>
      </c>
      <c r="E248" s="307">
        <f t="shared" ca="1" si="96"/>
        <v>-8.4982209415472312</v>
      </c>
      <c r="F248" s="304">
        <f t="shared" ca="1" si="97"/>
        <v>8.5234274518492636</v>
      </c>
      <c r="G248" s="306">
        <f t="shared" ca="1" si="98"/>
        <v>21.002663690705784</v>
      </c>
      <c r="H248" s="307">
        <f t="shared" ca="1" si="99"/>
        <v>-43.041836137180525</v>
      </c>
      <c r="I248" s="304">
        <f t="shared" ca="1" si="100"/>
        <v>47.892708632575697</v>
      </c>
      <c r="J248" s="306">
        <f t="shared" ca="1" si="101"/>
        <v>537.80526833210888</v>
      </c>
      <c r="K248" s="307">
        <f t="shared" ca="1" si="102"/>
        <v>1149.4249774630684</v>
      </c>
      <c r="L248" s="304">
        <f t="shared" ca="1" si="87"/>
        <v>1269.0202068768438</v>
      </c>
      <c r="M248" s="306">
        <f t="shared" ca="1" si="103"/>
        <v>-1.1168276033328242</v>
      </c>
      <c r="N248" s="304">
        <f t="shared" ca="1" si="104"/>
        <v>-63.989508114681655</v>
      </c>
      <c r="P248" s="310">
        <f t="shared" ca="1" si="105"/>
        <v>23</v>
      </c>
      <c r="Q248" s="304">
        <f t="shared" ca="1" si="106"/>
        <v>0</v>
      </c>
      <c r="R248" s="306">
        <f t="shared" ca="1" si="107"/>
        <v>0</v>
      </c>
      <c r="S248" s="307">
        <f t="shared" ca="1" si="108"/>
        <v>5.083000000000002</v>
      </c>
      <c r="T248" s="304">
        <f t="shared" ca="1" si="88"/>
        <v>49.86423000000002</v>
      </c>
      <c r="U248" s="311">
        <f t="shared" ca="1" si="89"/>
        <v>0</v>
      </c>
      <c r="V248" s="306">
        <f t="shared" ca="1" si="90"/>
        <v>1.0918478600347121</v>
      </c>
      <c r="W248" s="304">
        <f t="shared" ca="1" si="91"/>
        <v>7.6896109105283621</v>
      </c>
      <c r="Y248" s="314" t="str">
        <f t="shared" ca="1" si="109"/>
        <v/>
      </c>
      <c r="Z248" s="315" t="str">
        <f t="shared" ca="1" si="110"/>
        <v/>
      </c>
      <c r="AA248" s="316" t="str">
        <f t="shared" ca="1" si="111"/>
        <v/>
      </c>
      <c r="AC248" s="310" t="e">
        <f t="shared" ca="1" si="112"/>
        <v>#N/A</v>
      </c>
      <c r="AD248" s="323" t="e">
        <f t="shared" ca="1" si="113"/>
        <v>#N/A</v>
      </c>
      <c r="AE248" s="324" t="e">
        <f t="shared" ca="1" si="92"/>
        <v>#N/A</v>
      </c>
      <c r="AG248" s="306">
        <f t="shared" ca="1" si="114"/>
        <v>7.310419401100285</v>
      </c>
      <c r="AH248" s="304">
        <f t="shared" ca="1" si="115"/>
        <v>-1.4662266720329953</v>
      </c>
    </row>
    <row r="249" spans="1:34" x14ac:dyDescent="0.2">
      <c r="A249" s="347">
        <f t="shared" ca="1" si="93"/>
        <v>0.1</v>
      </c>
      <c r="B249" s="304">
        <f t="shared" ca="1" si="94"/>
        <v>15.499999999999963</v>
      </c>
      <c r="D249" s="306">
        <f t="shared" ca="1" si="95"/>
        <v>-0.66342102965547833</v>
      </c>
      <c r="E249" s="307">
        <f t="shared" ca="1" si="96"/>
        <v>-8.4504172504544304</v>
      </c>
      <c r="F249" s="304">
        <f t="shared" ca="1" si="97"/>
        <v>8.4764190062411942</v>
      </c>
      <c r="G249" s="306">
        <f t="shared" ca="1" si="98"/>
        <v>20.936321587740235</v>
      </c>
      <c r="H249" s="307">
        <f t="shared" ca="1" si="99"/>
        <v>-43.886877862225965</v>
      </c>
      <c r="I249" s="304">
        <f t="shared" ca="1" si="100"/>
        <v>48.624968998645308</v>
      </c>
      <c r="J249" s="306">
        <f t="shared" ca="1" si="101"/>
        <v>539.90221759603116</v>
      </c>
      <c r="K249" s="307">
        <f t="shared" ca="1" si="102"/>
        <v>1145.0785417630982</v>
      </c>
      <c r="L249" s="304">
        <f t="shared" ca="1" si="87"/>
        <v>1265.9775951301096</v>
      </c>
      <c r="M249" s="306">
        <f t="shared" ca="1" si="103"/>
        <v>-1.1256750980970736</v>
      </c>
      <c r="N249" s="304">
        <f t="shared" ca="1" si="104"/>
        <v>-64.496432223937248</v>
      </c>
      <c r="P249" s="310">
        <f t="shared" ca="1" si="105"/>
        <v>23</v>
      </c>
      <c r="Q249" s="304">
        <f t="shared" ca="1" si="106"/>
        <v>0</v>
      </c>
      <c r="R249" s="306">
        <f t="shared" ca="1" si="107"/>
        <v>0</v>
      </c>
      <c r="S249" s="307">
        <f t="shared" ca="1" si="108"/>
        <v>5.083000000000002</v>
      </c>
      <c r="T249" s="304">
        <f t="shared" ca="1" si="88"/>
        <v>49.86423000000002</v>
      </c>
      <c r="U249" s="311">
        <f t="shared" ca="1" si="89"/>
        <v>0</v>
      </c>
      <c r="V249" s="306">
        <f t="shared" ca="1" si="90"/>
        <v>1.0923240952130477</v>
      </c>
      <c r="W249" s="304">
        <f t="shared" ca="1" si="91"/>
        <v>7.9300080297543385</v>
      </c>
      <c r="Y249" s="314" t="str">
        <f t="shared" ca="1" si="109"/>
        <v/>
      </c>
      <c r="Z249" s="315" t="str">
        <f t="shared" ca="1" si="110"/>
        <v/>
      </c>
      <c r="AA249" s="316" t="str">
        <f t="shared" ca="1" si="111"/>
        <v/>
      </c>
      <c r="AC249" s="310" t="e">
        <f t="shared" ca="1" si="112"/>
        <v>#N/A</v>
      </c>
      <c r="AD249" s="323" t="e">
        <f t="shared" ca="1" si="113"/>
        <v>#N/A</v>
      </c>
      <c r="AE249" s="324" t="e">
        <f t="shared" ca="1" si="92"/>
        <v>#N/A</v>
      </c>
      <c r="AG249" s="306">
        <f t="shared" ca="1" si="114"/>
        <v>7.3035724184484421</v>
      </c>
      <c r="AH249" s="304">
        <f t="shared" ca="1" si="115"/>
        <v>-1.5128095436805742</v>
      </c>
    </row>
    <row r="250" spans="1:34" x14ac:dyDescent="0.2">
      <c r="A250" s="347">
        <f t="shared" ca="1" si="93"/>
        <v>0.1</v>
      </c>
      <c r="B250" s="304">
        <f t="shared" ca="1" si="94"/>
        <v>15.599999999999962</v>
      </c>
      <c r="D250" s="306">
        <f t="shared" ca="1" si="95"/>
        <v>-0.67172971513145441</v>
      </c>
      <c r="E250" s="307">
        <f t="shared" ca="1" si="96"/>
        <v>-8.4019150199878112</v>
      </c>
      <c r="F250" s="304">
        <f t="shared" ca="1" si="97"/>
        <v>8.4287245069041958</v>
      </c>
      <c r="G250" s="306">
        <f t="shared" ca="1" si="98"/>
        <v>20.86914861622709</v>
      </c>
      <c r="H250" s="307">
        <f t="shared" ca="1" si="99"/>
        <v>-44.727069364224747</v>
      </c>
      <c r="I250" s="304">
        <f t="shared" ca="1" si="100"/>
        <v>49.356175883858192</v>
      </c>
      <c r="J250" s="306">
        <f t="shared" ca="1" si="101"/>
        <v>541.99249110622952</v>
      </c>
      <c r="K250" s="307">
        <f t="shared" ca="1" si="102"/>
        <v>1140.6478444017757</v>
      </c>
      <c r="L250" s="304">
        <f t="shared" ca="1" si="87"/>
        <v>1262.8671210202417</v>
      </c>
      <c r="M250" s="306">
        <f t="shared" ca="1" si="103"/>
        <v>-1.1342331289648913</v>
      </c>
      <c r="N250" s="304">
        <f t="shared" ca="1" si="104"/>
        <v>-64.986771273605882</v>
      </c>
      <c r="P250" s="310">
        <f t="shared" ca="1" si="105"/>
        <v>23</v>
      </c>
      <c r="Q250" s="304">
        <f t="shared" ca="1" si="106"/>
        <v>0</v>
      </c>
      <c r="R250" s="306">
        <f t="shared" ca="1" si="107"/>
        <v>0</v>
      </c>
      <c r="S250" s="307">
        <f t="shared" ca="1" si="108"/>
        <v>5.083000000000002</v>
      </c>
      <c r="T250" s="304">
        <f t="shared" ca="1" si="88"/>
        <v>49.86423000000002</v>
      </c>
      <c r="U250" s="311">
        <f t="shared" ca="1" si="89"/>
        <v>0</v>
      </c>
      <c r="V250" s="306">
        <f t="shared" ca="1" si="90"/>
        <v>1.0928097644238286</v>
      </c>
      <c r="W250" s="304">
        <f t="shared" ca="1" si="91"/>
        <v>8.1739318355810315</v>
      </c>
      <c r="Y250" s="314" t="str">
        <f t="shared" ca="1" si="109"/>
        <v/>
      </c>
      <c r="Z250" s="315" t="str">
        <f t="shared" ca="1" si="110"/>
        <v/>
      </c>
      <c r="AA250" s="316" t="str">
        <f t="shared" ca="1" si="111"/>
        <v/>
      </c>
      <c r="AC250" s="310" t="e">
        <f t="shared" ca="1" si="112"/>
        <v>#N/A</v>
      </c>
      <c r="AD250" s="323" t="e">
        <f t="shared" ca="1" si="113"/>
        <v>#N/A</v>
      </c>
      <c r="AE250" s="324" t="e">
        <f t="shared" ca="1" si="92"/>
        <v>#N/A</v>
      </c>
      <c r="AG250" s="306">
        <f t="shared" ca="1" si="114"/>
        <v>7.2939947574024098</v>
      </c>
      <c r="AH250" s="304">
        <f t="shared" ca="1" si="115"/>
        <v>-1.5601038815176738</v>
      </c>
    </row>
    <row r="251" spans="1:34" x14ac:dyDescent="0.2">
      <c r="A251" s="347">
        <f t="shared" ca="1" si="93"/>
        <v>0.1</v>
      </c>
      <c r="B251" s="304">
        <f t="shared" ca="1" si="94"/>
        <v>15.699999999999962</v>
      </c>
      <c r="D251" s="306">
        <f t="shared" ca="1" si="95"/>
        <v>-0.67994554186999601</v>
      </c>
      <c r="E251" s="307">
        <f t="shared" ca="1" si="96"/>
        <v>-8.3527306128115146</v>
      </c>
      <c r="F251" s="304">
        <f t="shared" ca="1" si="97"/>
        <v>8.3803600537272551</v>
      </c>
      <c r="G251" s="306">
        <f t="shared" ca="1" si="98"/>
        <v>20.801154062040091</v>
      </c>
      <c r="H251" s="307">
        <f t="shared" ca="1" si="99"/>
        <v>-45.562342425505896</v>
      </c>
      <c r="I251" s="304">
        <f t="shared" ca="1" si="100"/>
        <v>50.086076484505966</v>
      </c>
      <c r="J251" s="306">
        <f t="shared" ca="1" si="101"/>
        <v>544.07600624014287</v>
      </c>
      <c r="K251" s="307">
        <f t="shared" ca="1" si="102"/>
        <v>1136.1333738122892</v>
      </c>
      <c r="L251" s="304">
        <f t="shared" ca="1" si="87"/>
        <v>1259.6895425684531</v>
      </c>
      <c r="M251" s="306">
        <f t="shared" ca="1" si="103"/>
        <v>-1.1425148421943514</v>
      </c>
      <c r="N251" s="304">
        <f t="shared" ca="1" si="104"/>
        <v>-65.461278488791606</v>
      </c>
      <c r="P251" s="310">
        <f t="shared" ca="1" si="105"/>
        <v>23</v>
      </c>
      <c r="Q251" s="304">
        <f t="shared" ca="1" si="106"/>
        <v>0</v>
      </c>
      <c r="R251" s="306">
        <f t="shared" ca="1" si="107"/>
        <v>0</v>
      </c>
      <c r="S251" s="307">
        <f t="shared" ca="1" si="108"/>
        <v>5.083000000000002</v>
      </c>
      <c r="T251" s="304">
        <f t="shared" ca="1" si="88"/>
        <v>49.86423000000002</v>
      </c>
      <c r="U251" s="311">
        <f t="shared" ca="1" si="89"/>
        <v>0</v>
      </c>
      <c r="V251" s="306">
        <f t="shared" ca="1" si="90"/>
        <v>1.0933048258349418</v>
      </c>
      <c r="W251" s="304">
        <f t="shared" ca="1" si="91"/>
        <v>8.4212920375058431</v>
      </c>
      <c r="Y251" s="314" t="str">
        <f t="shared" ca="1" si="109"/>
        <v/>
      </c>
      <c r="Z251" s="315" t="str">
        <f t="shared" ca="1" si="110"/>
        <v/>
      </c>
      <c r="AA251" s="316" t="str">
        <f t="shared" ca="1" si="111"/>
        <v/>
      </c>
      <c r="AC251" s="310" t="e">
        <f t="shared" ca="1" si="112"/>
        <v>#N/A</v>
      </c>
      <c r="AD251" s="323" t="e">
        <f t="shared" ca="1" si="113"/>
        <v>#N/A</v>
      </c>
      <c r="AE251" s="324" t="e">
        <f t="shared" ca="1" si="92"/>
        <v>#N/A</v>
      </c>
      <c r="AG251" s="306">
        <f t="shared" ca="1" si="114"/>
        <v>7.2818298926035716</v>
      </c>
      <c r="AH251" s="304">
        <f t="shared" ca="1" si="115"/>
        <v>-1.6080920392644165</v>
      </c>
    </row>
    <row r="252" spans="1:34" x14ac:dyDescent="0.2">
      <c r="A252" s="347">
        <f t="shared" ca="1" si="93"/>
        <v>0.1</v>
      </c>
      <c r="B252" s="304">
        <f t="shared" ca="1" si="94"/>
        <v>15.799999999999962</v>
      </c>
      <c r="D252" s="306">
        <f t="shared" ca="1" si="95"/>
        <v>-0.68806431837225657</v>
      </c>
      <c r="E252" s="307">
        <f t="shared" ca="1" si="96"/>
        <v>-8.3028806358076466</v>
      </c>
      <c r="F252" s="304">
        <f t="shared" ca="1" si="97"/>
        <v>8.3313419902610324</v>
      </c>
      <c r="G252" s="306">
        <f t="shared" ca="1" si="98"/>
        <v>20.732347630202867</v>
      </c>
      <c r="H252" s="307">
        <f t="shared" ca="1" si="99"/>
        <v>-46.392630489086663</v>
      </c>
      <c r="I252" s="304">
        <f t="shared" ca="1" si="100"/>
        <v>50.814431040369939</v>
      </c>
      <c r="J252" s="306">
        <f t="shared" ca="1" si="101"/>
        <v>546.15268132475501</v>
      </c>
      <c r="K252" s="307">
        <f t="shared" ca="1" si="102"/>
        <v>1131.5356251665596</v>
      </c>
      <c r="L252" s="304">
        <f t="shared" ca="1" si="87"/>
        <v>1256.4456304748312</v>
      </c>
      <c r="M252" s="306">
        <f t="shared" ca="1" si="103"/>
        <v>-1.1505326752912972</v>
      </c>
      <c r="N252" s="304">
        <f t="shared" ca="1" si="104"/>
        <v>-65.920666486086901</v>
      </c>
      <c r="P252" s="310">
        <f t="shared" ca="1" si="105"/>
        <v>23</v>
      </c>
      <c r="Q252" s="304">
        <f t="shared" ca="1" si="106"/>
        <v>0</v>
      </c>
      <c r="R252" s="306">
        <f t="shared" ca="1" si="107"/>
        <v>0</v>
      </c>
      <c r="S252" s="307">
        <f t="shared" ca="1" si="108"/>
        <v>5.083000000000002</v>
      </c>
      <c r="T252" s="304">
        <f t="shared" ca="1" si="88"/>
        <v>49.86423000000002</v>
      </c>
      <c r="U252" s="311">
        <f t="shared" ca="1" si="89"/>
        <v>0</v>
      </c>
      <c r="V252" s="306">
        <f t="shared" ca="1" si="90"/>
        <v>1.0938092370174723</v>
      </c>
      <c r="W252" s="304">
        <f t="shared" ca="1" si="91"/>
        <v>8.6719978099477064</v>
      </c>
      <c r="Y252" s="314" t="str">
        <f t="shared" ca="1" si="109"/>
        <v/>
      </c>
      <c r="Z252" s="315" t="str">
        <f t="shared" ca="1" si="110"/>
        <v/>
      </c>
      <c r="AA252" s="316" t="str">
        <f t="shared" ca="1" si="111"/>
        <v/>
      </c>
      <c r="AC252" s="310" t="e">
        <f t="shared" ca="1" si="112"/>
        <v>#N/A</v>
      </c>
      <c r="AD252" s="323" t="e">
        <f t="shared" ca="1" si="113"/>
        <v>#N/A</v>
      </c>
      <c r="AE252" s="324" t="e">
        <f t="shared" ca="1" si="92"/>
        <v>#N/A</v>
      </c>
      <c r="AG252" s="306">
        <f t="shared" ca="1" si="114"/>
        <v>7.2672124531118865</v>
      </c>
      <c r="AH252" s="304">
        <f t="shared" ca="1" si="115"/>
        <v>-1.6567562536899154</v>
      </c>
    </row>
    <row r="253" spans="1:34" x14ac:dyDescent="0.2">
      <c r="A253" s="347">
        <f t="shared" ca="1" si="93"/>
        <v>0.1</v>
      </c>
      <c r="B253" s="304">
        <f t="shared" ca="1" si="94"/>
        <v>15.899999999999961</v>
      </c>
      <c r="D253" s="306">
        <f t="shared" ca="1" si="95"/>
        <v>-0.69608209838416657</v>
      </c>
      <c r="E253" s="307">
        <f t="shared" ca="1" si="96"/>
        <v>-8.2523819165871899</v>
      </c>
      <c r="F253" s="304">
        <f t="shared" ca="1" si="97"/>
        <v>8.2816868803949699</v>
      </c>
      <c r="G253" s="306">
        <f t="shared" ca="1" si="98"/>
        <v>20.662739420364449</v>
      </c>
      <c r="H253" s="307">
        <f t="shared" ca="1" si="99"/>
        <v>-47.217868680745383</v>
      </c>
      <c r="I253" s="304">
        <f t="shared" ca="1" si="100"/>
        <v>51.541012049687176</v>
      </c>
      <c r="J253" s="306">
        <f t="shared" ca="1" si="101"/>
        <v>548.22243567728333</v>
      </c>
      <c r="K253" s="307">
        <f t="shared" ca="1" si="102"/>
        <v>1126.8551002080681</v>
      </c>
      <c r="L253" s="304">
        <f t="shared" ca="1" si="87"/>
        <v>1253.1361681177621</v>
      </c>
      <c r="M253" s="306">
        <f t="shared" ca="1" si="103"/>
        <v>-1.1582983973998529</v>
      </c>
      <c r="N253" s="304">
        <f t="shared" ca="1" si="104"/>
        <v>-66.365609587778579</v>
      </c>
      <c r="P253" s="310">
        <f t="shared" ca="1" si="105"/>
        <v>23</v>
      </c>
      <c r="Q253" s="304">
        <f t="shared" ca="1" si="106"/>
        <v>0</v>
      </c>
      <c r="R253" s="306">
        <f t="shared" ca="1" si="107"/>
        <v>0</v>
      </c>
      <c r="S253" s="307">
        <f t="shared" ca="1" si="108"/>
        <v>5.083000000000002</v>
      </c>
      <c r="T253" s="304">
        <f t="shared" ca="1" si="88"/>
        <v>49.86423000000002</v>
      </c>
      <c r="U253" s="311">
        <f t="shared" ca="1" si="89"/>
        <v>0</v>
      </c>
      <c r="V253" s="306">
        <f t="shared" ca="1" si="90"/>
        <v>1.0943229549587541</v>
      </c>
      <c r="W253" s="304">
        <f t="shared" ca="1" si="91"/>
        <v>8.9259578516140117</v>
      </c>
      <c r="Y253" s="314" t="str">
        <f t="shared" ca="1" si="109"/>
        <v/>
      </c>
      <c r="Z253" s="315" t="str">
        <f t="shared" ca="1" si="110"/>
        <v/>
      </c>
      <c r="AA253" s="316" t="str">
        <f t="shared" ca="1" si="111"/>
        <v/>
      </c>
      <c r="AC253" s="310" t="e">
        <f t="shared" ca="1" si="112"/>
        <v>#N/A</v>
      </c>
      <c r="AD253" s="323" t="e">
        <f t="shared" ca="1" si="113"/>
        <v>#N/A</v>
      </c>
      <c r="AE253" s="324" t="e">
        <f t="shared" ca="1" si="92"/>
        <v>#N/A</v>
      </c>
      <c r="AG253" s="306">
        <f t="shared" ca="1" si="114"/>
        <v>7.2502688965560953</v>
      </c>
      <c r="AH253" s="304">
        <f t="shared" ca="1" si="115"/>
        <v>-1.706078656295043</v>
      </c>
    </row>
    <row r="254" spans="1:34" x14ac:dyDescent="0.2">
      <c r="A254" s="347">
        <f t="shared" ca="1" si="93"/>
        <v>0.1</v>
      </c>
      <c r="B254" s="304">
        <f t="shared" ca="1" si="94"/>
        <v>15.999999999999961</v>
      </c>
      <c r="D254" s="306">
        <f t="shared" ca="1" si="95"/>
        <v>-0.70399516889988067</v>
      </c>
      <c r="E254" s="307">
        <f t="shared" ca="1" si="96"/>
        <v>-8.2012514811936104</v>
      </c>
      <c r="F254" s="304">
        <f t="shared" ca="1" si="97"/>
        <v>8.2314114862285166</v>
      </c>
      <c r="G254" s="306">
        <f t="shared" ca="1" si="98"/>
        <v>20.592339903474461</v>
      </c>
      <c r="H254" s="307">
        <f t="shared" ca="1" si="99"/>
        <v>-48.037993828864742</v>
      </c>
      <c r="I254" s="304">
        <f t="shared" ca="1" si="100"/>
        <v>52.265603543843952</v>
      </c>
      <c r="J254" s="306">
        <f t="shared" ca="1" si="101"/>
        <v>550.28518964347529</v>
      </c>
      <c r="K254" s="307">
        <f t="shared" ca="1" si="102"/>
        <v>1122.0923070825875</v>
      </c>
      <c r="L254" s="304">
        <f t="shared" ca="1" si="87"/>
        <v>1249.7619515551269</v>
      </c>
      <c r="M254" s="306">
        <f t="shared" ca="1" si="103"/>
        <v>-1.1658231476965564</v>
      </c>
      <c r="N254" s="304">
        <f t="shared" ca="1" si="104"/>
        <v>-66.796746021669506</v>
      </c>
      <c r="P254" s="310">
        <f t="shared" ca="1" si="105"/>
        <v>23</v>
      </c>
      <c r="Q254" s="304">
        <f t="shared" ca="1" si="106"/>
        <v>0</v>
      </c>
      <c r="R254" s="306">
        <f t="shared" ca="1" si="107"/>
        <v>0</v>
      </c>
      <c r="S254" s="307">
        <f t="shared" ca="1" si="108"/>
        <v>5.083000000000002</v>
      </c>
      <c r="T254" s="304">
        <f t="shared" ca="1" si="88"/>
        <v>49.86423000000002</v>
      </c>
      <c r="U254" s="311">
        <f t="shared" ca="1" si="89"/>
        <v>0</v>
      </c>
      <c r="V254" s="306">
        <f t="shared" ca="1" si="90"/>
        <v>1.0948459360756362</v>
      </c>
      <c r="W254" s="304">
        <f t="shared" ca="1" si="91"/>
        <v>9.1830804447577314</v>
      </c>
      <c r="Y254" s="314" t="str">
        <f t="shared" ca="1" si="109"/>
        <v/>
      </c>
      <c r="Z254" s="315" t="str">
        <f t="shared" ca="1" si="110"/>
        <v/>
      </c>
      <c r="AA254" s="316" t="str">
        <f t="shared" ca="1" si="111"/>
        <v/>
      </c>
      <c r="AC254" s="310">
        <f t="shared" ca="1" si="112"/>
        <v>15.999999999999961</v>
      </c>
      <c r="AD254" s="323">
        <f t="shared" ca="1" si="113"/>
        <v>550.28518964347529</v>
      </c>
      <c r="AE254" s="324" t="e">
        <f t="shared" ca="1" si="92"/>
        <v>#N/A</v>
      </c>
      <c r="AG254" s="306">
        <f t="shared" ca="1" si="114"/>
        <v>7.2311181311166504</v>
      </c>
      <c r="AH254" s="304">
        <f t="shared" ca="1" si="115"/>
        <v>-1.7560412849919356</v>
      </c>
    </row>
    <row r="255" spans="1:34" x14ac:dyDescent="0.2">
      <c r="A255" s="347">
        <f t="shared" ca="1" si="93"/>
        <v>0.1</v>
      </c>
      <c r="B255" s="304">
        <f t="shared" ca="1" si="94"/>
        <v>16.099999999999962</v>
      </c>
      <c r="D255" s="306">
        <f t="shared" ca="1" si="95"/>
        <v>-0.71180003902964373</v>
      </c>
      <c r="E255" s="307">
        <f t="shared" ca="1" si="96"/>
        <v>-8.1495065328869032</v>
      </c>
      <c r="F255" s="304">
        <f t="shared" ca="1" si="97"/>
        <v>8.1805327470238094</v>
      </c>
      <c r="G255" s="306">
        <f t="shared" ca="1" si="98"/>
        <v>20.521159899571497</v>
      </c>
      <c r="H255" s="307">
        <f t="shared" ca="1" si="99"/>
        <v>-48.852944482153433</v>
      </c>
      <c r="I255" s="304">
        <f t="shared" ca="1" si="100"/>
        <v>52.988000417076947</v>
      </c>
      <c r="J255" s="306">
        <f t="shared" ca="1" si="101"/>
        <v>552.34086463362758</v>
      </c>
      <c r="K255" s="307">
        <f t="shared" ca="1" si="102"/>
        <v>1117.2477601670366</v>
      </c>
      <c r="L255" s="304">
        <f t="shared" ca="1" si="87"/>
        <v>1246.3237895276186</v>
      </c>
      <c r="M255" s="306">
        <f t="shared" ca="1" si="103"/>
        <v>-1.1731174717978941</v>
      </c>
      <c r="N255" s="304">
        <f t="shared" ca="1" si="104"/>
        <v>-67.214680007076709</v>
      </c>
      <c r="P255" s="310">
        <f t="shared" ca="1" si="105"/>
        <v>23</v>
      </c>
      <c r="Q255" s="304">
        <f t="shared" ca="1" si="106"/>
        <v>0</v>
      </c>
      <c r="R255" s="306">
        <f t="shared" ca="1" si="107"/>
        <v>0</v>
      </c>
      <c r="S255" s="307">
        <f t="shared" ca="1" si="108"/>
        <v>5.083000000000002</v>
      </c>
      <c r="T255" s="304">
        <f t="shared" ca="1" si="88"/>
        <v>49.86423000000002</v>
      </c>
      <c r="U255" s="311">
        <f t="shared" ca="1" si="89"/>
        <v>0</v>
      </c>
      <c r="V255" s="306">
        <f t="shared" ca="1" si="90"/>
        <v>1.0953781362279387</v>
      </c>
      <c r="W255" s="304">
        <f t="shared" ca="1" si="91"/>
        <v>9.4432735142357327</v>
      </c>
      <c r="Y255" s="314" t="str">
        <f t="shared" ca="1" si="109"/>
        <v/>
      </c>
      <c r="Z255" s="315" t="str">
        <f t="shared" ca="1" si="110"/>
        <v/>
      </c>
      <c r="AA255" s="316" t="str">
        <f t="shared" ca="1" si="111"/>
        <v/>
      </c>
      <c r="AC255" s="310" t="e">
        <f t="shared" ca="1" si="112"/>
        <v>#N/A</v>
      </c>
      <c r="AD255" s="323" t="e">
        <f t="shared" ca="1" si="113"/>
        <v>#N/A</v>
      </c>
      <c r="AE255" s="324" t="e">
        <f t="shared" ca="1" si="92"/>
        <v>#N/A</v>
      </c>
      <c r="AG255" s="306">
        <f t="shared" ca="1" si="114"/>
        <v>7.2098720886672591</v>
      </c>
      <c r="AH255" s="304">
        <f t="shared" ca="1" si="115"/>
        <v>-1.806626095761898</v>
      </c>
    </row>
    <row r="256" spans="1:34" x14ac:dyDescent="0.2">
      <c r="A256" s="347">
        <f t="shared" ca="1" si="93"/>
        <v>0.1</v>
      </c>
      <c r="B256" s="304">
        <f t="shared" ca="1" si="94"/>
        <v>16.199999999999964</v>
      </c>
      <c r="D256" s="306">
        <f t="shared" ca="1" si="95"/>
        <v>-0.71949342965982732</v>
      </c>
      <c r="E256" s="307">
        <f t="shared" ca="1" si="96"/>
        <v>-8.0971644319101266</v>
      </c>
      <c r="F256" s="304">
        <f t="shared" ca="1" si="97"/>
        <v>8.1290677591415186</v>
      </c>
      <c r="G256" s="306">
        <f t="shared" ca="1" si="98"/>
        <v>20.449210556605514</v>
      </c>
      <c r="H256" s="307">
        <f t="shared" ca="1" si="99"/>
        <v>-49.662660925344447</v>
      </c>
      <c r="I256" s="304">
        <f t="shared" ca="1" si="100"/>
        <v>53.708007806789112</v>
      </c>
      <c r="J256" s="306">
        <f t="shared" ca="1" si="101"/>
        <v>554.38938315643645</v>
      </c>
      <c r="K256" s="307">
        <f t="shared" ca="1" si="102"/>
        <v>1112.3219798966618</v>
      </c>
      <c r="L256" s="304">
        <f t="shared" ca="1" si="87"/>
        <v>1242.8225034645147</v>
      </c>
      <c r="M256" s="306">
        <f t="shared" ca="1" si="103"/>
        <v>-1.1801913562134627</v>
      </c>
      <c r="N256" s="304">
        <f t="shared" ca="1" si="104"/>
        <v>-67.619983728852162</v>
      </c>
      <c r="P256" s="310">
        <f t="shared" ca="1" si="105"/>
        <v>23</v>
      </c>
      <c r="Q256" s="304">
        <f t="shared" ca="1" si="106"/>
        <v>0</v>
      </c>
      <c r="R256" s="306">
        <f t="shared" ca="1" si="107"/>
        <v>0</v>
      </c>
      <c r="S256" s="307">
        <f t="shared" ca="1" si="108"/>
        <v>5.083000000000002</v>
      </c>
      <c r="T256" s="304">
        <f t="shared" ca="1" si="88"/>
        <v>49.86423000000002</v>
      </c>
      <c r="U256" s="311">
        <f t="shared" ca="1" si="89"/>
        <v>0</v>
      </c>
      <c r="V256" s="306">
        <f t="shared" ca="1" si="90"/>
        <v>1.0959195107320849</v>
      </c>
      <c r="W256" s="304">
        <f t="shared" ca="1" si="91"/>
        <v>9.7064446862835627</v>
      </c>
      <c r="Y256" s="314" t="str">
        <f t="shared" ca="1" si="109"/>
        <v/>
      </c>
      <c r="Z256" s="315" t="str">
        <f t="shared" ca="1" si="110"/>
        <v/>
      </c>
      <c r="AA256" s="316" t="str">
        <f t="shared" ca="1" si="111"/>
        <v/>
      </c>
      <c r="AC256" s="310" t="e">
        <f t="shared" ca="1" si="112"/>
        <v>#N/A</v>
      </c>
      <c r="AD256" s="323" t="e">
        <f t="shared" ca="1" si="113"/>
        <v>#N/A</v>
      </c>
      <c r="AE256" s="324" t="e">
        <f t="shared" ca="1" si="92"/>
        <v>#N/A</v>
      </c>
      <c r="AG256" s="306">
        <f t="shared" ca="1" si="114"/>
        <v>7.1866362523751048</v>
      </c>
      <c r="AH256" s="304">
        <f t="shared" ca="1" si="115"/>
        <v>-1.8578149742741943</v>
      </c>
    </row>
    <row r="257" spans="1:34" x14ac:dyDescent="0.2">
      <c r="A257" s="347">
        <f t="shared" ca="1" si="93"/>
        <v>0.1</v>
      </c>
      <c r="B257" s="304">
        <f t="shared" ca="1" si="94"/>
        <v>16.299999999999965</v>
      </c>
      <c r="D257" s="306">
        <f t="shared" ca="1" si="95"/>
        <v>-0.72707226383818235</v>
      </c>
      <c r="E257" s="307">
        <f t="shared" ca="1" si="96"/>
        <v>-8.0442426761528711</v>
      </c>
      <c r="F257" s="304">
        <f t="shared" ca="1" si="97"/>
        <v>8.0770337568739858</v>
      </c>
      <c r="G257" s="306">
        <f t="shared" ca="1" si="98"/>
        <v>20.376503330221695</v>
      </c>
      <c r="H257" s="307">
        <f t="shared" ca="1" si="99"/>
        <v>-50.467085192959736</v>
      </c>
      <c r="I257" s="304">
        <f t="shared" ca="1" si="100"/>
        <v>54.425440520403612</v>
      </c>
      <c r="J257" s="306">
        <f t="shared" ca="1" si="101"/>
        <v>556.43066885077781</v>
      </c>
      <c r="K257" s="307">
        <f t="shared" ca="1" si="102"/>
        <v>1107.3154925907465</v>
      </c>
      <c r="L257" s="304">
        <f t="shared" ca="1" si="87"/>
        <v>1239.2589274922379</v>
      </c>
      <c r="M257" s="306">
        <f t="shared" ca="1" si="103"/>
        <v>-1.1870542608937784</v>
      </c>
      <c r="N257" s="304">
        <f t="shared" ca="1" si="104"/>
        <v>-68.01319920223483</v>
      </c>
      <c r="P257" s="310">
        <f t="shared" ca="1" si="105"/>
        <v>23</v>
      </c>
      <c r="Q257" s="304">
        <f t="shared" ca="1" si="106"/>
        <v>0</v>
      </c>
      <c r="R257" s="306">
        <f t="shared" ca="1" si="107"/>
        <v>0</v>
      </c>
      <c r="S257" s="307">
        <f t="shared" ca="1" si="108"/>
        <v>5.083000000000002</v>
      </c>
      <c r="T257" s="304">
        <f t="shared" ca="1" si="88"/>
        <v>49.86423000000002</v>
      </c>
      <c r="U257" s="311">
        <f t="shared" ca="1" si="89"/>
        <v>0</v>
      </c>
      <c r="V257" s="306">
        <f t="shared" ca="1" si="90"/>
        <v>1.0964700143748909</v>
      </c>
      <c r="W257" s="304">
        <f t="shared" ca="1" si="91"/>
        <v>9.9725013469259114</v>
      </c>
      <c r="Y257" s="314" t="str">
        <f t="shared" ca="1" si="109"/>
        <v/>
      </c>
      <c r="Z257" s="315" t="str">
        <f t="shared" ca="1" si="110"/>
        <v/>
      </c>
      <c r="AA257" s="316" t="str">
        <f t="shared" ca="1" si="111"/>
        <v/>
      </c>
      <c r="AC257" s="310" t="e">
        <f t="shared" ca="1" si="112"/>
        <v>#N/A</v>
      </c>
      <c r="AD257" s="323" t="e">
        <f t="shared" ca="1" si="113"/>
        <v>#N/A</v>
      </c>
      <c r="AE257" s="324" t="e">
        <f t="shared" ca="1" si="92"/>
        <v>#N/A</v>
      </c>
      <c r="AG257" s="306">
        <f t="shared" ca="1" si="114"/>
        <v>7.1615101419801732</v>
      </c>
      <c r="AH257" s="304">
        <f t="shared" ca="1" si="115"/>
        <v>-1.9095897474490575</v>
      </c>
    </row>
    <row r="258" spans="1:34" x14ac:dyDescent="0.2">
      <c r="A258" s="347">
        <f t="shared" ca="1" si="93"/>
        <v>0.1</v>
      </c>
      <c r="B258" s="304">
        <f t="shared" ca="1" si="94"/>
        <v>16.399999999999967</v>
      </c>
      <c r="D258" s="306">
        <f t="shared" ca="1" si="95"/>
        <v>-0.73453365782240909</v>
      </c>
      <c r="E258" s="307">
        <f t="shared" ca="1" si="96"/>
        <v>-7.9907588826371754</v>
      </c>
      <c r="F258" s="304">
        <f t="shared" ca="1" si="97"/>
        <v>8.0244480941008582</v>
      </c>
      <c r="G258" s="306">
        <f t="shared" ca="1" si="98"/>
        <v>20.303049964439452</v>
      </c>
      <c r="H258" s="307">
        <f t="shared" ca="1" si="99"/>
        <v>-51.266161081223451</v>
      </c>
      <c r="I258" s="304">
        <f t="shared" ca="1" si="100"/>
        <v>55.140122504982479</v>
      </c>
      <c r="J258" s="306">
        <f t="shared" ca="1" si="101"/>
        <v>558.46464651551082</v>
      </c>
      <c r="K258" s="307">
        <f t="shared" ca="1" si="102"/>
        <v>1102.2288302770373</v>
      </c>
      <c r="L258" s="304">
        <f t="shared" ca="1" si="87"/>
        <v>1235.6339084460171</v>
      </c>
      <c r="M258" s="306">
        <f t="shared" ca="1" si="103"/>
        <v>-1.1937151499339766</v>
      </c>
      <c r="N258" s="304">
        <f t="shared" ca="1" si="104"/>
        <v>-68.394840032043135</v>
      </c>
      <c r="P258" s="310">
        <f t="shared" ca="1" si="105"/>
        <v>23</v>
      </c>
      <c r="Q258" s="304">
        <f t="shared" ca="1" si="106"/>
        <v>0</v>
      </c>
      <c r="R258" s="306">
        <f t="shared" ca="1" si="107"/>
        <v>0</v>
      </c>
      <c r="S258" s="307">
        <f t="shared" ca="1" si="108"/>
        <v>5.083000000000002</v>
      </c>
      <c r="T258" s="304">
        <f t="shared" ca="1" si="88"/>
        <v>49.86423000000002</v>
      </c>
      <c r="U258" s="311">
        <f t="shared" ca="1" si="89"/>
        <v>0</v>
      </c>
      <c r="V258" s="306">
        <f t="shared" ca="1" si="90"/>
        <v>1.0970296014274961</v>
      </c>
      <c r="W258" s="304">
        <f t="shared" ca="1" si="91"/>
        <v>10.241350699945819</v>
      </c>
      <c r="Y258" s="314" t="str">
        <f t="shared" ca="1" si="109"/>
        <v/>
      </c>
      <c r="Z258" s="315" t="str">
        <f t="shared" ca="1" si="110"/>
        <v/>
      </c>
      <c r="AA258" s="316" t="str">
        <f t="shared" ca="1" si="111"/>
        <v/>
      </c>
      <c r="AC258" s="310" t="e">
        <f t="shared" ca="1" si="112"/>
        <v>#N/A</v>
      </c>
      <c r="AD258" s="323" t="e">
        <f t="shared" ca="1" si="113"/>
        <v>#N/A</v>
      </c>
      <c r="AE258" s="324" t="e">
        <f t="shared" ca="1" si="92"/>
        <v>#N/A</v>
      </c>
      <c r="AG258" s="306">
        <f t="shared" ca="1" si="114"/>
        <v>7.1345877598565393</v>
      </c>
      <c r="AH258" s="304">
        <f t="shared" ca="1" si="115"/>
        <v>-1.9619321949490276</v>
      </c>
    </row>
    <row r="259" spans="1:34" x14ac:dyDescent="0.2">
      <c r="A259" s="347">
        <f t="shared" ca="1" si="93"/>
        <v>0.1</v>
      </c>
      <c r="B259" s="304">
        <f t="shared" ca="1" si="94"/>
        <v>16.499999999999968</v>
      </c>
      <c r="D259" s="306">
        <f t="shared" ca="1" si="95"/>
        <v>-0.74187491273500084</v>
      </c>
      <c r="E259" s="307">
        <f t="shared" ca="1" si="96"/>
        <v>-7.9367307697609171</v>
      </c>
      <c r="F259" s="304">
        <f t="shared" ca="1" si="97"/>
        <v>7.9713282267019521</v>
      </c>
      <c r="G259" s="306">
        <f t="shared" ca="1" si="98"/>
        <v>20.228862473165954</v>
      </c>
      <c r="H259" s="307">
        <f t="shared" ca="1" si="99"/>
        <v>-52.059834158199543</v>
      </c>
      <c r="I259" s="304">
        <f t="shared" ca="1" si="100"/>
        <v>55.851886356125</v>
      </c>
      <c r="J259" s="306">
        <f t="shared" ca="1" si="101"/>
        <v>560.49124213739105</v>
      </c>
      <c r="K259" s="307">
        <f t="shared" ca="1" si="102"/>
        <v>1097.0625305150661</v>
      </c>
      <c r="L259" s="304">
        <f t="shared" ca="1" si="87"/>
        <v>1231.9483058849651</v>
      </c>
      <c r="M259" s="306">
        <f t="shared" ca="1" si="103"/>
        <v>-1.2001825205032197</v>
      </c>
      <c r="N259" s="304">
        <f t="shared" ca="1" si="104"/>
        <v>-68.765393070207878</v>
      </c>
      <c r="P259" s="310">
        <f t="shared" ca="1" si="105"/>
        <v>23</v>
      </c>
      <c r="Q259" s="304">
        <f t="shared" ca="1" si="106"/>
        <v>0</v>
      </c>
      <c r="R259" s="306">
        <f t="shared" ca="1" si="107"/>
        <v>0</v>
      </c>
      <c r="S259" s="307">
        <f t="shared" ca="1" si="108"/>
        <v>5.083000000000002</v>
      </c>
      <c r="T259" s="304">
        <f t="shared" ca="1" si="88"/>
        <v>49.86423000000002</v>
      </c>
      <c r="U259" s="311">
        <f t="shared" ca="1" si="89"/>
        <v>0</v>
      </c>
      <c r="V259" s="306">
        <f t="shared" ca="1" si="90"/>
        <v>1.0975982256594139</v>
      </c>
      <c r="W259" s="304">
        <f t="shared" ca="1" si="91"/>
        <v>10.512899824339232</v>
      </c>
      <c r="Y259" s="314" t="str">
        <f t="shared" ca="1" si="109"/>
        <v/>
      </c>
      <c r="Z259" s="315" t="str">
        <f t="shared" ca="1" si="110"/>
        <v/>
      </c>
      <c r="AA259" s="316" t="str">
        <f t="shared" ca="1" si="111"/>
        <v/>
      </c>
      <c r="AC259" s="310" t="e">
        <f t="shared" ca="1" si="112"/>
        <v>#N/A</v>
      </c>
      <c r="AD259" s="323" t="e">
        <f t="shared" ca="1" si="113"/>
        <v>#N/A</v>
      </c>
      <c r="AE259" s="324" t="e">
        <f t="shared" ca="1" si="92"/>
        <v>#N/A</v>
      </c>
      <c r="AG259" s="306">
        <f t="shared" ca="1" si="114"/>
        <v>7.1059580008157877</v>
      </c>
      <c r="AH259" s="304">
        <f t="shared" ca="1" si="115"/>
        <v>-2.0148240605834773</v>
      </c>
    </row>
    <row r="260" spans="1:34" x14ac:dyDescent="0.2">
      <c r="A260" s="347">
        <f t="shared" ca="1" si="93"/>
        <v>0.1</v>
      </c>
      <c r="B260" s="304">
        <f t="shared" ca="1" si="94"/>
        <v>16.599999999999969</v>
      </c>
      <c r="D260" s="306">
        <f t="shared" ca="1" si="95"/>
        <v>-0.74909350677188025</v>
      </c>
      <c r="E260" s="307">
        <f t="shared" ca="1" si="96"/>
        <v>-7.8821761402422155</v>
      </c>
      <c r="F260" s="304">
        <f t="shared" ca="1" si="97"/>
        <v>7.9176916956706176</v>
      </c>
      <c r="G260" s="306">
        <f t="shared" ca="1" si="98"/>
        <v>20.153953122488765</v>
      </c>
      <c r="H260" s="307">
        <f t="shared" ca="1" si="99"/>
        <v>-52.848051772223762</v>
      </c>
      <c r="I260" s="304">
        <f t="shared" ca="1" si="100"/>
        <v>56.560572862932688</v>
      </c>
      <c r="J260" s="306">
        <f t="shared" ca="1" si="101"/>
        <v>562.51038291717384</v>
      </c>
      <c r="K260" s="307">
        <f t="shared" ca="1" si="102"/>
        <v>1091.8171362185449</v>
      </c>
      <c r="L260" s="304">
        <f t="shared" ref="L260:L323" ca="1" si="116">SQRT(pos_x^2+pos_z^2)</f>
        <v>1228.2029921108685</v>
      </c>
      <c r="M260" s="306">
        <f t="shared" ca="1" si="103"/>
        <v>-1.2064644300752794</v>
      </c>
      <c r="N260" s="304">
        <f t="shared" ca="1" si="104"/>
        <v>-69.125319975969731</v>
      </c>
      <c r="P260" s="310">
        <f t="shared" ca="1" si="105"/>
        <v>23</v>
      </c>
      <c r="Q260" s="304">
        <f t="shared" ca="1" si="106"/>
        <v>0</v>
      </c>
      <c r="R260" s="306">
        <f t="shared" ca="1" si="107"/>
        <v>0</v>
      </c>
      <c r="S260" s="307">
        <f t="shared" ca="1" si="108"/>
        <v>5.083000000000002</v>
      </c>
      <c r="T260" s="304">
        <f t="shared" ref="T260:T323" ca="1" si="117">m*g</f>
        <v>49.86423000000002</v>
      </c>
      <c r="U260" s="311">
        <f t="shared" ref="U260:U323" ca="1" si="118">IF(pos_xz&lt;L_rampe,Poids*COS(Beta),0)</f>
        <v>0</v>
      </c>
      <c r="V260" s="306">
        <f t="shared" ref="V260:V323" ca="1" si="119">Rho_moyen*(20000-Alt_rampe-pos_z)/(20000+Alt_rampe+pos_z)</f>
        <v>1.0981758403527002</v>
      </c>
      <c r="W260" s="304">
        <f t="shared" ref="W260:W323" ca="1" si="120">1/2*Rho*Sref*Cx*vit_xz^2</f>
        <v>10.787055731185312</v>
      </c>
      <c r="Y260" s="314" t="str">
        <f t="shared" ca="1" si="109"/>
        <v/>
      </c>
      <c r="Z260" s="315" t="str">
        <f t="shared" ca="1" si="110"/>
        <v/>
      </c>
      <c r="AA260" s="316" t="str">
        <f t="shared" ca="1" si="111"/>
        <v/>
      </c>
      <c r="AC260" s="310" t="e">
        <f t="shared" ca="1" si="112"/>
        <v>#N/A</v>
      </c>
      <c r="AD260" s="323" t="e">
        <f t="shared" ca="1" si="113"/>
        <v>#N/A</v>
      </c>
      <c r="AE260" s="324" t="e">
        <f t="shared" ref="AE260:AE323" ca="1" si="121">IF(t&lt;T_para, pos_z, NA())</f>
        <v>#N/A</v>
      </c>
      <c r="AG260" s="306">
        <f t="shared" ca="1" si="114"/>
        <v>7.0757050284543972</v>
      </c>
      <c r="AH260" s="304">
        <f t="shared" ca="1" si="115"/>
        <v>-2.0682470636118881</v>
      </c>
    </row>
    <row r="261" spans="1:34" x14ac:dyDescent="0.2">
      <c r="A261" s="347">
        <f t="shared" ref="A261:A324" ca="1" si="122">IF(B260+0.01&lt;=T_ini+ROUNDUP(Temps_fin_propu,0), 0.01, IF(K260&gt;0, 0.1, 0.0001))</f>
        <v>0.1</v>
      </c>
      <c r="B261" s="304">
        <f t="shared" ref="B261:B324" ca="1" si="123">B260+pas</f>
        <v>16.699999999999971</v>
      </c>
      <c r="D261" s="306">
        <f t="shared" ref="D261:D324" ca="1" si="124">IF(AND(L260&lt;L_rampe,Poussee&lt;Poids*SIN(M260)),0,(-W260+Poussee)/m*COS(M260)-U260/m*SIN(M260))</f>
        <v>-0.75618708791667721</v>
      </c>
      <c r="E261" s="307">
        <f t="shared" ref="E261:E324" ca="1" si="125">IF(AND(L260&lt;L_rampe,Poussee&lt;Poids*SIN(M260)),0,(-W260+Poussee)/m*SIN(M260)+U260/m*COS(M260)-Poids/m)</f>
        <v>-7.827112864715609</v>
      </c>
      <c r="F261" s="304">
        <f t="shared" ref="F261:F324" ca="1" si="126">SQRT(acc_x^2+acc_z^2)</f>
        <v>7.863556110878112</v>
      </c>
      <c r="G261" s="306">
        <f t="shared" ref="G261:G324" ca="1" si="127">G260+acc_x*pas</f>
        <v>20.078334413697096</v>
      </c>
      <c r="H261" s="307">
        <f t="shared" ref="H261:H324" ca="1" si="128">H260+acc_z*pas</f>
        <v>-53.630763058695322</v>
      </c>
      <c r="I261" s="304">
        <f t="shared" ref="I261:I324" ca="1" si="129">SQRT(vit_x^2+vit_z^2)</f>
        <v>57.266030586082813</v>
      </c>
      <c r="J261" s="306">
        <f t="shared" ref="J261:J324" ca="1" si="130">J260+0.5*(vit_x+G260)*pas*(K260&gt;=0)</f>
        <v>564.52199729398319</v>
      </c>
      <c r="K261" s="307">
        <f t="shared" ref="K261:K324" ca="1" si="131">K260+0.5*(vit_z+H260)*pas</f>
        <v>1086.4931954769988</v>
      </c>
      <c r="L261" s="304">
        <f t="shared" ca="1" si="116"/>
        <v>1224.3988521909876</v>
      </c>
      <c r="M261" s="306">
        <f t="shared" ref="M261:M324" ca="1" si="132">IF(AND(L260&gt;L_rampe,G261&gt;0),ATAN2(G261,H261),$M$4)</f>
        <v>-1.2125685220391194</v>
      </c>
      <c r="N261" s="304">
        <f t="shared" ref="N261:N324" ca="1" si="133">DEGREES(Beta)</f>
        <v>-69.475058683257487</v>
      </c>
      <c r="P261" s="310">
        <f t="shared" ref="P261:P324" ca="1" si="134">MATCH(t-pas/2-T_ini,CdP_t)</f>
        <v>23</v>
      </c>
      <c r="Q261" s="304">
        <f t="shared" ref="Q261:Q324" ca="1" si="135">(INDEX(CdP,2,i_P+1)-INDEX(CdP,2,i_P+0))/(INDEX(CdP,1,i_P+1)-INDEX(CdP,1,i_P+0))*(t-pas/2-T_ini-INDEX(CdP,1,i_P+0))+INDEX(CdP,2,i_P+0)</f>
        <v>0</v>
      </c>
      <c r="R261" s="306">
        <f t="shared" ref="R261:R324" ca="1" si="136">Poussee/(g*ISP)</f>
        <v>0</v>
      </c>
      <c r="S261" s="307">
        <f t="shared" ref="S261:S324" ca="1" si="137">S260-Débit*pas</f>
        <v>5.083000000000002</v>
      </c>
      <c r="T261" s="304">
        <f t="shared" ca="1" si="117"/>
        <v>49.86423000000002</v>
      </c>
      <c r="U261" s="311">
        <f t="shared" ca="1" si="118"/>
        <v>0</v>
      </c>
      <c r="V261" s="306">
        <f t="shared" ca="1" si="119"/>
        <v>1.0987623983162065</v>
      </c>
      <c r="W261" s="304">
        <f t="shared" ca="1" si="120"/>
        <v>11.063725419866023</v>
      </c>
      <c r="Y261" s="314" t="str">
        <f t="shared" ref="Y261:Y324" ca="1" si="138">IF(AND(pos_z&lt;=0,K260&gt;0),"Impact balistique","") &amp; IF(AND(H262&lt;0,vit_z&gt;=0),"Apogée","") &amp; IF(AND(Poussee=0,Q260&gt;0),"Fin de propulsion","") &amp; IF(AND(L262&gt;L_rampe,pos_xz&lt;=L_rampe),"Sortie de rampe","")</f>
        <v/>
      </c>
      <c r="Z261" s="315" t="str">
        <f t="shared" ref="Z261:Z324" ca="1" si="139">IF(ABS(t-T_para)&lt;pas/2,"Para","")</f>
        <v/>
      </c>
      <c r="AA261" s="316" t="str">
        <f t="shared" ref="AA261:AA324" ca="1" si="140">IF(ABS(t-T_satellite)&lt;pas/2,"Satellite","")</f>
        <v/>
      </c>
      <c r="AC261" s="310" t="e">
        <f t="shared" ref="AC261:AC324" ca="1" si="141">IF(ABS(t-ROUND(t,0))&lt;0.001,t,NA())</f>
        <v>#N/A</v>
      </c>
      <c r="AD261" s="323" t="e">
        <f t="shared" ref="AD261:AD324" ca="1" si="142">IF(ABS(t-ROUND(t,0))&lt;0.001,pos_x,NA())</f>
        <v>#N/A</v>
      </c>
      <c r="AE261" s="324" t="e">
        <f t="shared" ca="1" si="121"/>
        <v>#N/A</v>
      </c>
      <c r="AG261" s="306">
        <f t="shared" ref="AG261:AG324" ca="1" si="143">IF(AND(L260&lt;L_rampe,Poussee&lt;Poids*SIN(M260)),0,(-W260+Poussee)/m-Poids*SIN(M260)/m)</f>
        <v>7.0439086206802521</v>
      </c>
      <c r="AH261" s="304">
        <f t="shared" ref="AH261:AH324" ca="1" si="144">IF(AND(L260&lt;L_rampe,Poussee&lt;Poids*SIN(M260)), g*SIN(M260), (-W260+Poussee)/m)</f>
        <v>-2.1221829099321874</v>
      </c>
    </row>
    <row r="262" spans="1:34" x14ac:dyDescent="0.2">
      <c r="A262" s="347">
        <f t="shared" ca="1" si="122"/>
        <v>0.1</v>
      </c>
      <c r="B262" s="304">
        <f t="shared" ca="1" si="123"/>
        <v>16.799999999999972</v>
      </c>
      <c r="D262" s="306">
        <f t="shared" ca="1" si="124"/>
        <v>-0.76315346711649079</v>
      </c>
      <c r="E262" s="307">
        <f t="shared" ca="1" si="125"/>
        <v>-7.771558865937326</v>
      </c>
      <c r="F262" s="304">
        <f t="shared" ca="1" si="126"/>
        <v>7.8089391354460549</v>
      </c>
      <c r="G262" s="306">
        <f t="shared" ca="1" si="127"/>
        <v>20.002019066985447</v>
      </c>
      <c r="H262" s="307">
        <f t="shared" ca="1" si="128"/>
        <v>-54.407918945289055</v>
      </c>
      <c r="I262" s="304">
        <f t="shared" ca="1" si="129"/>
        <v>57.968115466290541</v>
      </c>
      <c r="J262" s="306">
        <f t="shared" ca="1" si="130"/>
        <v>566.52601496801731</v>
      </c>
      <c r="K262" s="307">
        <f t="shared" ca="1" si="131"/>
        <v>1081.0912613767996</v>
      </c>
      <c r="L262" s="304">
        <f t="shared" ca="1" si="116"/>
        <v>1220.5367839851538</v>
      </c>
      <c r="M262" s="306">
        <f t="shared" ca="1" si="132"/>
        <v>-1.2185020497698436</v>
      </c>
      <c r="N262" s="304">
        <f t="shared" ca="1" si="133"/>
        <v>-69.815024779851825</v>
      </c>
      <c r="P262" s="310">
        <f t="shared" ca="1" si="134"/>
        <v>23</v>
      </c>
      <c r="Q262" s="304">
        <f t="shared" ca="1" si="135"/>
        <v>0</v>
      </c>
      <c r="R262" s="306">
        <f t="shared" ca="1" si="136"/>
        <v>0</v>
      </c>
      <c r="S262" s="307">
        <f t="shared" ca="1" si="137"/>
        <v>5.083000000000002</v>
      </c>
      <c r="T262" s="304">
        <f t="shared" ca="1" si="117"/>
        <v>49.86423000000002</v>
      </c>
      <c r="U262" s="311">
        <f t="shared" ca="1" si="118"/>
        <v>0</v>
      </c>
      <c r="V262" s="306">
        <f t="shared" ca="1" si="119"/>
        <v>1.0993578518999221</v>
      </c>
      <c r="W262" s="304">
        <f t="shared" ca="1" si="120"/>
        <v>11.342815933572156</v>
      </c>
      <c r="Y262" s="314" t="str">
        <f t="shared" ca="1" si="138"/>
        <v/>
      </c>
      <c r="Z262" s="315" t="str">
        <f t="shared" ca="1" si="139"/>
        <v/>
      </c>
      <c r="AA262" s="316" t="str">
        <f t="shared" ca="1" si="140"/>
        <v/>
      </c>
      <c r="AC262" s="310" t="e">
        <f t="shared" ca="1" si="141"/>
        <v>#N/A</v>
      </c>
      <c r="AD262" s="323" t="e">
        <f t="shared" ca="1" si="142"/>
        <v>#N/A</v>
      </c>
      <c r="AE262" s="324" t="e">
        <f t="shared" ca="1" si="121"/>
        <v>#N/A</v>
      </c>
      <c r="AG262" s="306">
        <f t="shared" ca="1" si="143"/>
        <v>7.0106444868839706</v>
      </c>
      <c r="AH262" s="304">
        <f t="shared" ca="1" si="144"/>
        <v>-2.1766133031410622</v>
      </c>
    </row>
    <row r="263" spans="1:34" x14ac:dyDescent="0.2">
      <c r="A263" s="347">
        <f t="shared" ca="1" si="122"/>
        <v>0.1</v>
      </c>
      <c r="B263" s="304">
        <f t="shared" ca="1" si="123"/>
        <v>16.899999999999974</v>
      </c>
      <c r="D263" s="306">
        <f t="shared" ca="1" si="124"/>
        <v>-0.76999061187875417</v>
      </c>
      <c r="E263" s="307">
        <f t="shared" ca="1" si="125"/>
        <v>-7.7155321035624498</v>
      </c>
      <c r="F263" s="304">
        <f t="shared" ca="1" si="126"/>
        <v>7.7538584706895586</v>
      </c>
      <c r="G263" s="306">
        <f t="shared" ca="1" si="127"/>
        <v>19.92502000579757</v>
      </c>
      <c r="H263" s="307">
        <f t="shared" ca="1" si="128"/>
        <v>-55.1794721556453</v>
      </c>
      <c r="I263" s="304">
        <f t="shared" ca="1" si="129"/>
        <v>58.666690460661478</v>
      </c>
      <c r="J263" s="306">
        <f t="shared" ca="1" si="130"/>
        <v>568.5223669216565</v>
      </c>
      <c r="K263" s="307">
        <f t="shared" ca="1" si="131"/>
        <v>1075.6118918217528</v>
      </c>
      <c r="L263" s="304">
        <f t="shared" ca="1" si="116"/>
        <v>1216.6176981774402</v>
      </c>
      <c r="M263" s="306">
        <f t="shared" ca="1" si="132"/>
        <v>-1.224271899240523</v>
      </c>
      <c r="N263" s="304">
        <f t="shared" ca="1" si="133"/>
        <v>-70.145612802947539</v>
      </c>
      <c r="P263" s="310">
        <f t="shared" ca="1" si="134"/>
        <v>23</v>
      </c>
      <c r="Q263" s="304">
        <f t="shared" ca="1" si="135"/>
        <v>0</v>
      </c>
      <c r="R263" s="306">
        <f t="shared" ca="1" si="136"/>
        <v>0</v>
      </c>
      <c r="S263" s="307">
        <f t="shared" ca="1" si="137"/>
        <v>5.083000000000002</v>
      </c>
      <c r="T263" s="304">
        <f t="shared" ca="1" si="117"/>
        <v>49.86423000000002</v>
      </c>
      <c r="U263" s="311">
        <f t="shared" ca="1" si="118"/>
        <v>0</v>
      </c>
      <c r="V263" s="306">
        <f t="shared" ca="1" si="119"/>
        <v>1.0999621530093802</v>
      </c>
      <c r="W263" s="304">
        <f t="shared" ca="1" si="120"/>
        <v>11.624234414036058</v>
      </c>
      <c r="Y263" s="314" t="str">
        <f t="shared" ca="1" si="138"/>
        <v/>
      </c>
      <c r="Z263" s="315" t="str">
        <f t="shared" ca="1" si="139"/>
        <v/>
      </c>
      <c r="AA263" s="316" t="str">
        <f t="shared" ca="1" si="140"/>
        <v/>
      </c>
      <c r="AC263" s="310" t="e">
        <f t="shared" ca="1" si="141"/>
        <v>#N/A</v>
      </c>
      <c r="AD263" s="323" t="e">
        <f t="shared" ca="1" si="142"/>
        <v>#N/A</v>
      </c>
      <c r="AE263" s="324" t="e">
        <f t="shared" ca="1" si="121"/>
        <v>#N/A</v>
      </c>
      <c r="AG263" s="306">
        <f t="shared" ca="1" si="143"/>
        <v>6.975984559052284</v>
      </c>
      <c r="AH263" s="304">
        <f t="shared" ca="1" si="144"/>
        <v>-2.2315199554538956</v>
      </c>
    </row>
    <row r="264" spans="1:34" x14ac:dyDescent="0.2">
      <c r="A264" s="347">
        <f t="shared" ca="1" si="122"/>
        <v>0.1</v>
      </c>
      <c r="B264" s="304">
        <f t="shared" ca="1" si="123"/>
        <v>16.999999999999975</v>
      </c>
      <c r="D264" s="306">
        <f t="shared" ca="1" si="124"/>
        <v>-0.77669664025227936</v>
      </c>
      <c r="E264" s="307">
        <f t="shared" ca="1" si="125"/>
        <v>-7.6590505594617415</v>
      </c>
      <c r="F264" s="304">
        <f t="shared" ca="1" si="126"/>
        <v>7.6983318415985673</v>
      </c>
      <c r="G264" s="306">
        <f t="shared" ca="1" si="127"/>
        <v>19.847350341772341</v>
      </c>
      <c r="H264" s="307">
        <f t="shared" ca="1" si="128"/>
        <v>-55.945377211591477</v>
      </c>
      <c r="I264" s="304">
        <f t="shared" ca="1" si="129"/>
        <v>59.361625204641335</v>
      </c>
      <c r="J264" s="306">
        <f t="shared" ca="1" si="130"/>
        <v>570.51098543903504</v>
      </c>
      <c r="K264" s="307">
        <f t="shared" ca="1" si="131"/>
        <v>1070.0556493533909</v>
      </c>
      <c r="L264" s="304">
        <f t="shared" ca="1" si="116"/>
        <v>1212.642518312683</v>
      </c>
      <c r="M264" s="306">
        <f t="shared" ca="1" si="132"/>
        <v>-1.2298846102544869</v>
      </c>
      <c r="N264" s="304">
        <f t="shared" ca="1" si="133"/>
        <v>-70.467197455674267</v>
      </c>
      <c r="P264" s="310">
        <f t="shared" ca="1" si="134"/>
        <v>23</v>
      </c>
      <c r="Q264" s="304">
        <f t="shared" ca="1" si="135"/>
        <v>0</v>
      </c>
      <c r="R264" s="306">
        <f t="shared" ca="1" si="136"/>
        <v>0</v>
      </c>
      <c r="S264" s="307">
        <f t="shared" ca="1" si="137"/>
        <v>5.083000000000002</v>
      </c>
      <c r="T264" s="304">
        <f t="shared" ca="1" si="117"/>
        <v>49.86423000000002</v>
      </c>
      <c r="U264" s="311">
        <f t="shared" ca="1" si="118"/>
        <v>0</v>
      </c>
      <c r="V264" s="306">
        <f t="shared" ca="1" si="119"/>
        <v>1.1005752531201187</v>
      </c>
      <c r="W264" s="304">
        <f t="shared" ca="1" si="120"/>
        <v>11.907888155434504</v>
      </c>
      <c r="Y264" s="314" t="str">
        <f t="shared" ca="1" si="138"/>
        <v/>
      </c>
      <c r="Z264" s="315" t="str">
        <f t="shared" ca="1" si="139"/>
        <v/>
      </c>
      <c r="AA264" s="316" t="str">
        <f t="shared" ca="1" si="140"/>
        <v/>
      </c>
      <c r="AC264" s="310">
        <f t="shared" ca="1" si="141"/>
        <v>16.999999999999975</v>
      </c>
      <c r="AD264" s="323">
        <f t="shared" ca="1" si="142"/>
        <v>570.51098543903504</v>
      </c>
      <c r="AE264" s="324" t="e">
        <f t="shared" ca="1" si="121"/>
        <v>#N/A</v>
      </c>
      <c r="AG264" s="306">
        <f t="shared" ca="1" si="143"/>
        <v>6.9399972589564349</v>
      </c>
      <c r="AH264" s="304">
        <f t="shared" ca="1" si="144"/>
        <v>-2.2868845984725663</v>
      </c>
    </row>
    <row r="265" spans="1:34" x14ac:dyDescent="0.2">
      <c r="A265" s="347">
        <f t="shared" ca="1" si="122"/>
        <v>0.1</v>
      </c>
      <c r="B265" s="304">
        <f t="shared" ca="1" si="123"/>
        <v>17.099999999999977</v>
      </c>
      <c r="D265" s="306">
        <f t="shared" ca="1" si="124"/>
        <v>-0.78326981515877658</v>
      </c>
      <c r="E265" s="307">
        <f t="shared" ca="1" si="125"/>
        <v>-7.6021322235500897</v>
      </c>
      <c r="F265" s="304">
        <f t="shared" ca="1" si="126"/>
        <v>7.6423769828291963</v>
      </c>
      <c r="G265" s="306">
        <f t="shared" ca="1" si="127"/>
        <v>19.769023360256462</v>
      </c>
      <c r="H265" s="307">
        <f t="shared" ca="1" si="128"/>
        <v>-56.705590433946483</v>
      </c>
      <c r="I265" s="304">
        <f t="shared" ca="1" si="129"/>
        <v>60.052795697459814</v>
      </c>
      <c r="J265" s="306">
        <f t="shared" ca="1" si="130"/>
        <v>572.49180412413648</v>
      </c>
      <c r="K265" s="307">
        <f t="shared" ca="1" si="131"/>
        <v>1064.4231009711141</v>
      </c>
      <c r="L265" s="304">
        <f t="shared" ca="1" si="116"/>
        <v>1208.6121808381179</v>
      </c>
      <c r="M265" s="306">
        <f t="shared" ca="1" si="132"/>
        <v>-1.2353463963759301</v>
      </c>
      <c r="N265" s="304">
        <f t="shared" ca="1" si="133"/>
        <v>-70.780134749036094</v>
      </c>
      <c r="P265" s="310">
        <f t="shared" ca="1" si="134"/>
        <v>23</v>
      </c>
      <c r="Q265" s="304">
        <f t="shared" ca="1" si="135"/>
        <v>0</v>
      </c>
      <c r="R265" s="306">
        <f t="shared" ca="1" si="136"/>
        <v>0</v>
      </c>
      <c r="S265" s="307">
        <f t="shared" ca="1" si="137"/>
        <v>5.083000000000002</v>
      </c>
      <c r="T265" s="304">
        <f t="shared" ca="1" si="117"/>
        <v>49.86423000000002</v>
      </c>
      <c r="U265" s="311">
        <f t="shared" ca="1" si="118"/>
        <v>0</v>
      </c>
      <c r="V265" s="306">
        <f t="shared" ca="1" si="119"/>
        <v>1.1011971032921855</v>
      </c>
      <c r="W265" s="304">
        <f t="shared" ca="1" si="120"/>
        <v>12.193684657408443</v>
      </c>
      <c r="Y265" s="314" t="str">
        <f t="shared" ca="1" si="138"/>
        <v/>
      </c>
      <c r="Z265" s="315" t="str">
        <f t="shared" ca="1" si="139"/>
        <v/>
      </c>
      <c r="AA265" s="316" t="str">
        <f t="shared" ca="1" si="140"/>
        <v/>
      </c>
      <c r="AC265" s="310" t="e">
        <f t="shared" ca="1" si="141"/>
        <v>#N/A</v>
      </c>
      <c r="AD265" s="323" t="e">
        <f t="shared" ca="1" si="142"/>
        <v>#N/A</v>
      </c>
      <c r="AE265" s="324" t="e">
        <f t="shared" ca="1" si="121"/>
        <v>#N/A</v>
      </c>
      <c r="AG265" s="306">
        <f t="shared" ca="1" si="143"/>
        <v>6.9027477433902025</v>
      </c>
      <c r="AH265" s="304">
        <f t="shared" ca="1" si="144"/>
        <v>-2.3426889937899862</v>
      </c>
    </row>
    <row r="266" spans="1:34" x14ac:dyDescent="0.2">
      <c r="A266" s="347">
        <f t="shared" ca="1" si="122"/>
        <v>0.1</v>
      </c>
      <c r="B266" s="304">
        <f t="shared" ca="1" si="123"/>
        <v>17.199999999999978</v>
      </c>
      <c r="D266" s="306">
        <f t="shared" ca="1" si="124"/>
        <v>-0.78970853904412175</v>
      </c>
      <c r="E266" s="307">
        <f t="shared" ca="1" si="125"/>
        <v>-7.5447950801022658</v>
      </c>
      <c r="F266" s="304">
        <f t="shared" ca="1" si="126"/>
        <v>7.5860116251805572</v>
      </c>
      <c r="G266" s="306">
        <f t="shared" ca="1" si="127"/>
        <v>19.69005250635205</v>
      </c>
      <c r="H266" s="307">
        <f t="shared" ca="1" si="128"/>
        <v>-57.460069941956711</v>
      </c>
      <c r="I266" s="304">
        <f t="shared" ca="1" si="129"/>
        <v>60.740084009140602</v>
      </c>
      <c r="J266" s="306">
        <f t="shared" ca="1" si="130"/>
        <v>574.46475791746695</v>
      </c>
      <c r="K266" s="307">
        <f t="shared" ca="1" si="131"/>
        <v>1058.714817952319</v>
      </c>
      <c r="L266" s="304">
        <f t="shared" ca="1" si="116"/>
        <v>1204.5276351503878</v>
      </c>
      <c r="M266" s="306">
        <f t="shared" ca="1" si="132"/>
        <v>-1.2406631636343655</v>
      </c>
      <c r="N266" s="304">
        <f t="shared" ca="1" si="133"/>
        <v>-71.084763073597784</v>
      </c>
      <c r="P266" s="310">
        <f t="shared" ca="1" si="134"/>
        <v>23</v>
      </c>
      <c r="Q266" s="304">
        <f t="shared" ca="1" si="135"/>
        <v>0</v>
      </c>
      <c r="R266" s="306">
        <f t="shared" ca="1" si="136"/>
        <v>0</v>
      </c>
      <c r="S266" s="307">
        <f t="shared" ca="1" si="137"/>
        <v>5.083000000000002</v>
      </c>
      <c r="T266" s="304">
        <f t="shared" ca="1" si="117"/>
        <v>49.86423000000002</v>
      </c>
      <c r="U266" s="311">
        <f t="shared" ca="1" si="118"/>
        <v>0</v>
      </c>
      <c r="V266" s="306">
        <f t="shared" ca="1" si="119"/>
        <v>1.101827654184673</v>
      </c>
      <c r="W266" s="304">
        <f t="shared" ca="1" si="120"/>
        <v>12.481531677149182</v>
      </c>
      <c r="Y266" s="314" t="str">
        <f t="shared" ca="1" si="138"/>
        <v/>
      </c>
      <c r="Z266" s="315" t="str">
        <f t="shared" ca="1" si="139"/>
        <v/>
      </c>
      <c r="AA266" s="316" t="str">
        <f t="shared" ca="1" si="140"/>
        <v/>
      </c>
      <c r="AC266" s="310" t="e">
        <f t="shared" ca="1" si="141"/>
        <v>#N/A</v>
      </c>
      <c r="AD266" s="323" t="e">
        <f t="shared" ca="1" si="142"/>
        <v>#N/A</v>
      </c>
      <c r="AE266" s="324" t="e">
        <f t="shared" ca="1" si="121"/>
        <v>#N/A</v>
      </c>
      <c r="AG266" s="306">
        <f t="shared" ca="1" si="143"/>
        <v>6.8642981292811447</v>
      </c>
      <c r="AH266" s="304">
        <f t="shared" ca="1" si="144"/>
        <v>-2.3989149434209009</v>
      </c>
    </row>
    <row r="267" spans="1:34" x14ac:dyDescent="0.2">
      <c r="A267" s="347">
        <f t="shared" ca="1" si="122"/>
        <v>0.1</v>
      </c>
      <c r="B267" s="304">
        <f t="shared" ca="1" si="123"/>
        <v>17.299999999999979</v>
      </c>
      <c r="D267" s="306">
        <f t="shared" ca="1" si="124"/>
        <v>-0.79601134882135993</v>
      </c>
      <c r="E267" s="307">
        <f t="shared" ca="1" si="125"/>
        <v>-7.4870570945348582</v>
      </c>
      <c r="F267" s="304">
        <f t="shared" ca="1" si="126"/>
        <v>7.5292534825357782</v>
      </c>
      <c r="G267" s="306">
        <f t="shared" ca="1" si="127"/>
        <v>19.610451371469914</v>
      </c>
      <c r="H267" s="307">
        <f t="shared" ca="1" si="128"/>
        <v>-58.2087756514102</v>
      </c>
      <c r="I267" s="304">
        <f t="shared" ca="1" si="129"/>
        <v>61.423378007310795</v>
      </c>
      <c r="J267" s="306">
        <f t="shared" ca="1" si="130"/>
        <v>576.42978311135801</v>
      </c>
      <c r="K267" s="307">
        <f t="shared" ca="1" si="131"/>
        <v>1052.9313756726506</v>
      </c>
      <c r="L267" s="304">
        <f t="shared" ca="1" si="116"/>
        <v>1200.3898436481823</v>
      </c>
      <c r="M267" s="306">
        <f t="shared" ca="1" si="132"/>
        <v>-1.2458405280757026</v>
      </c>
      <c r="N267" s="304">
        <f t="shared" ca="1" si="133"/>
        <v>-71.381404205087506</v>
      </c>
      <c r="P267" s="310">
        <f t="shared" ca="1" si="134"/>
        <v>23</v>
      </c>
      <c r="Q267" s="304">
        <f t="shared" ca="1" si="135"/>
        <v>0</v>
      </c>
      <c r="R267" s="306">
        <f t="shared" ca="1" si="136"/>
        <v>0</v>
      </c>
      <c r="S267" s="307">
        <f t="shared" ca="1" si="137"/>
        <v>5.083000000000002</v>
      </c>
      <c r="T267" s="304">
        <f t="shared" ca="1" si="117"/>
        <v>49.86423000000002</v>
      </c>
      <c r="U267" s="311">
        <f t="shared" ca="1" si="118"/>
        <v>0</v>
      </c>
      <c r="V267" s="306">
        <f t="shared" ca="1" si="119"/>
        <v>1.1024668560702715</v>
      </c>
      <c r="W267" s="304">
        <f t="shared" ca="1" si="120"/>
        <v>12.771337280503699</v>
      </c>
      <c r="Y267" s="314" t="str">
        <f t="shared" ca="1" si="138"/>
        <v/>
      </c>
      <c r="Z267" s="315" t="str">
        <f t="shared" ca="1" si="139"/>
        <v/>
      </c>
      <c r="AA267" s="316" t="str">
        <f t="shared" ca="1" si="140"/>
        <v/>
      </c>
      <c r="AC267" s="310" t="e">
        <f t="shared" ca="1" si="141"/>
        <v>#N/A</v>
      </c>
      <c r="AD267" s="323" t="e">
        <f t="shared" ca="1" si="142"/>
        <v>#N/A</v>
      </c>
      <c r="AE267" s="324" t="e">
        <f t="shared" ca="1" si="121"/>
        <v>#N/A</v>
      </c>
      <c r="AG267" s="306">
        <f t="shared" ca="1" si="143"/>
        <v>6.8247077003559866</v>
      </c>
      <c r="AH267" s="304">
        <f t="shared" ca="1" si="144"/>
        <v>-2.4555443000490218</v>
      </c>
    </row>
    <row r="268" spans="1:34" x14ac:dyDescent="0.2">
      <c r="A268" s="347">
        <f t="shared" ca="1" si="122"/>
        <v>0.1</v>
      </c>
      <c r="B268" s="304">
        <f t="shared" ca="1" si="123"/>
        <v>17.399999999999981</v>
      </c>
      <c r="D268" s="306">
        <f t="shared" ca="1" si="124"/>
        <v>-0.80217691107995293</v>
      </c>
      <c r="E268" s="307">
        <f t="shared" ca="1" si="125"/>
        <v>-7.4289362006360466</v>
      </c>
      <c r="F268" s="304">
        <f t="shared" ca="1" si="126"/>
        <v>7.4721202392487305</v>
      </c>
      <c r="G268" s="306">
        <f t="shared" ca="1" si="127"/>
        <v>19.530233680361917</v>
      </c>
      <c r="H268" s="307">
        <f t="shared" ca="1" si="128"/>
        <v>-58.951669271473804</v>
      </c>
      <c r="I268" s="304">
        <f t="shared" ca="1" si="129"/>
        <v>62.102571102191675</v>
      </c>
      <c r="J268" s="306">
        <f t="shared" ca="1" si="130"/>
        <v>578.3868173639496</v>
      </c>
      <c r="K268" s="307">
        <f t="shared" ca="1" si="131"/>
        <v>1047.0733534265064</v>
      </c>
      <c r="L268" s="304">
        <f t="shared" ca="1" si="116"/>
        <v>1196.1997817907461</v>
      </c>
      <c r="M268" s="306">
        <f t="shared" ca="1" si="132"/>
        <v>-1.2508838322297082</v>
      </c>
      <c r="N268" s="304">
        <f t="shared" ca="1" si="133"/>
        <v>-71.670364247912829</v>
      </c>
      <c r="P268" s="310">
        <f t="shared" ca="1" si="134"/>
        <v>23</v>
      </c>
      <c r="Q268" s="304">
        <f t="shared" ca="1" si="135"/>
        <v>0</v>
      </c>
      <c r="R268" s="306">
        <f t="shared" ca="1" si="136"/>
        <v>0</v>
      </c>
      <c r="S268" s="307">
        <f t="shared" ca="1" si="137"/>
        <v>5.083000000000002</v>
      </c>
      <c r="T268" s="304">
        <f t="shared" ca="1" si="117"/>
        <v>49.86423000000002</v>
      </c>
      <c r="U268" s="311">
        <f t="shared" ca="1" si="118"/>
        <v>0</v>
      </c>
      <c r="V268" s="306">
        <f t="shared" ca="1" si="119"/>
        <v>1.1031146588498351</v>
      </c>
      <c r="W268" s="304">
        <f t="shared" ca="1" si="120"/>
        <v>13.063009892054859</v>
      </c>
      <c r="Y268" s="314" t="str">
        <f t="shared" ca="1" si="138"/>
        <v/>
      </c>
      <c r="Z268" s="315" t="str">
        <f t="shared" ca="1" si="139"/>
        <v/>
      </c>
      <c r="AA268" s="316" t="str">
        <f t="shared" ca="1" si="140"/>
        <v/>
      </c>
      <c r="AC268" s="310" t="e">
        <f t="shared" ca="1" si="141"/>
        <v>#N/A</v>
      </c>
      <c r="AD268" s="323" t="e">
        <f t="shared" ca="1" si="142"/>
        <v>#N/A</v>
      </c>
      <c r="AE268" s="324" t="e">
        <f t="shared" ca="1" si="121"/>
        <v>#N/A</v>
      </c>
      <c r="AG268" s="306">
        <f t="shared" ca="1" si="143"/>
        <v>6.7840330969068035</v>
      </c>
      <c r="AH268" s="304">
        <f t="shared" ca="1" si="144"/>
        <v>-2.5125589770811909</v>
      </c>
    </row>
    <row r="269" spans="1:34" x14ac:dyDescent="0.2">
      <c r="A269" s="347">
        <f t="shared" ca="1" si="122"/>
        <v>0.1</v>
      </c>
      <c r="B269" s="304">
        <f t="shared" ca="1" si="123"/>
        <v>17.499999999999982</v>
      </c>
      <c r="D269" s="306">
        <f t="shared" ca="1" si="124"/>
        <v>-0.80820401753808369</v>
      </c>
      <c r="E269" s="307">
        <f t="shared" ca="1" si="125"/>
        <v>-7.3704502882272429</v>
      </c>
      <c r="F269" s="304">
        <f t="shared" ca="1" si="126"/>
        <v>7.4146295379603258</v>
      </c>
      <c r="G269" s="306">
        <f t="shared" ca="1" si="127"/>
        <v>19.449413278608109</v>
      </c>
      <c r="H269" s="307">
        <f t="shared" ca="1" si="128"/>
        <v>-59.688714300296532</v>
      </c>
      <c r="I269" s="304">
        <f t="shared" ca="1" si="129"/>
        <v>62.777562008288605</v>
      </c>
      <c r="J269" s="306">
        <f t="shared" ca="1" si="130"/>
        <v>580.33579971189806</v>
      </c>
      <c r="K269" s="307">
        <f t="shared" ca="1" si="131"/>
        <v>1041.1413342479179</v>
      </c>
      <c r="L269" s="304">
        <f t="shared" ca="1" si="116"/>
        <v>1191.9584381624986</v>
      </c>
      <c r="M269" s="306">
        <f t="shared" ca="1" si="132"/>
        <v>-1.2557981605603894</v>
      </c>
      <c r="N269" s="304">
        <f t="shared" ca="1" si="133"/>
        <v>-71.951934520402418</v>
      </c>
      <c r="P269" s="310">
        <f t="shared" ca="1" si="134"/>
        <v>23</v>
      </c>
      <c r="Q269" s="304">
        <f t="shared" ca="1" si="135"/>
        <v>0</v>
      </c>
      <c r="R269" s="306">
        <f t="shared" ca="1" si="136"/>
        <v>0</v>
      </c>
      <c r="S269" s="307">
        <f t="shared" ca="1" si="137"/>
        <v>5.083000000000002</v>
      </c>
      <c r="T269" s="304">
        <f t="shared" ca="1" si="117"/>
        <v>49.86423000000002</v>
      </c>
      <c r="U269" s="311">
        <f t="shared" ca="1" si="118"/>
        <v>0</v>
      </c>
      <c r="V269" s="306">
        <f t="shared" ca="1" si="119"/>
        <v>1.1037710120669377</v>
      </c>
      <c r="W269" s="304">
        <f t="shared" ca="1" si="120"/>
        <v>13.356458344134824</v>
      </c>
      <c r="Y269" s="314" t="str">
        <f t="shared" ca="1" si="138"/>
        <v/>
      </c>
      <c r="Z269" s="315" t="str">
        <f t="shared" ca="1" si="139"/>
        <v/>
      </c>
      <c r="AA269" s="316" t="str">
        <f t="shared" ca="1" si="140"/>
        <v/>
      </c>
      <c r="AC269" s="310" t="e">
        <f t="shared" ca="1" si="141"/>
        <v>#N/A</v>
      </c>
      <c r="AD269" s="323" t="e">
        <f t="shared" ca="1" si="142"/>
        <v>#N/A</v>
      </c>
      <c r="AE269" s="324" t="e">
        <f t="shared" ca="1" si="121"/>
        <v>#N/A</v>
      </c>
      <c r="AG269" s="306">
        <f t="shared" ca="1" si="143"/>
        <v>6.7423284900793439</v>
      </c>
      <c r="AH269" s="304">
        <f t="shared" ca="1" si="144"/>
        <v>-2.5699409584998731</v>
      </c>
    </row>
    <row r="270" spans="1:34" x14ac:dyDescent="0.2">
      <c r="A270" s="347">
        <f t="shared" ca="1" si="122"/>
        <v>0.1</v>
      </c>
      <c r="B270" s="304">
        <f t="shared" ca="1" si="123"/>
        <v>17.599999999999984</v>
      </c>
      <c r="D270" s="306">
        <f t="shared" ca="1" si="124"/>
        <v>-0.81409158071693244</v>
      </c>
      <c r="E270" s="307">
        <f t="shared" ca="1" si="125"/>
        <v>-7.3116171912427355</v>
      </c>
      <c r="F270" s="304">
        <f t="shared" ca="1" si="126"/>
        <v>7.3567989678304047</v>
      </c>
      <c r="G270" s="306">
        <f t="shared" ca="1" si="127"/>
        <v>19.368004120536416</v>
      </c>
      <c r="H270" s="307">
        <f t="shared" ca="1" si="128"/>
        <v>-60.419876019420805</v>
      </c>
      <c r="I270" s="304">
        <f t="shared" ca="1" si="129"/>
        <v>63.448254521423181</v>
      </c>
      <c r="J270" s="306">
        <f t="shared" ca="1" si="130"/>
        <v>582.27667058185534</v>
      </c>
      <c r="K270" s="307">
        <f t="shared" ca="1" si="131"/>
        <v>1035.135904731932</v>
      </c>
      <c r="L270" s="304">
        <f t="shared" ca="1" si="116"/>
        <v>1187.6668145439974</v>
      </c>
      <c r="M270" s="306">
        <f t="shared" ca="1" si="132"/>
        <v>-1.2605883539625486</v>
      </c>
      <c r="N270" s="304">
        <f t="shared" ca="1" si="133"/>
        <v>-72.22639238539756</v>
      </c>
      <c r="P270" s="310">
        <f t="shared" ca="1" si="134"/>
        <v>23</v>
      </c>
      <c r="Q270" s="304">
        <f t="shared" ca="1" si="135"/>
        <v>0</v>
      </c>
      <c r="R270" s="306">
        <f t="shared" ca="1" si="136"/>
        <v>0</v>
      </c>
      <c r="S270" s="307">
        <f t="shared" ca="1" si="137"/>
        <v>5.083000000000002</v>
      </c>
      <c r="T270" s="304">
        <f t="shared" ca="1" si="117"/>
        <v>49.86423000000002</v>
      </c>
      <c r="U270" s="311">
        <f t="shared" ca="1" si="118"/>
        <v>0</v>
      </c>
      <c r="V270" s="306">
        <f t="shared" ca="1" si="119"/>
        <v>1.104435864922426</v>
      </c>
      <c r="W270" s="304">
        <f t="shared" ca="1" si="120"/>
        <v>13.651591924733305</v>
      </c>
      <c r="Y270" s="314" t="str">
        <f t="shared" ca="1" si="138"/>
        <v/>
      </c>
      <c r="Z270" s="315" t="str">
        <f t="shared" ca="1" si="139"/>
        <v/>
      </c>
      <c r="AA270" s="316" t="str">
        <f t="shared" ca="1" si="140"/>
        <v/>
      </c>
      <c r="AC270" s="310" t="e">
        <f t="shared" ca="1" si="141"/>
        <v>#N/A</v>
      </c>
      <c r="AD270" s="323" t="e">
        <f t="shared" ca="1" si="142"/>
        <v>#N/A</v>
      </c>
      <c r="AE270" s="324" t="e">
        <f t="shared" ca="1" si="121"/>
        <v>#N/A</v>
      </c>
      <c r="AG270" s="306">
        <f t="shared" ca="1" si="143"/>
        <v>6.6996457419881095</v>
      </c>
      <c r="AH270" s="304">
        <f t="shared" ca="1" si="144"/>
        <v>-2.6276723085057681</v>
      </c>
    </row>
    <row r="271" spans="1:34" x14ac:dyDescent="0.2">
      <c r="A271" s="347">
        <f t="shared" ca="1" si="122"/>
        <v>0.1</v>
      </c>
      <c r="B271" s="304">
        <f t="shared" ca="1" si="123"/>
        <v>17.699999999999985</v>
      </c>
      <c r="D271" s="306">
        <f t="shared" ca="1" si="124"/>
        <v>-0.81983862981778666</v>
      </c>
      <c r="E271" s="307">
        <f t="shared" ca="1" si="125"/>
        <v>-7.2524546762152085</v>
      </c>
      <c r="F271" s="304">
        <f t="shared" ca="1" si="126"/>
        <v>7.298646053172968</v>
      </c>
      <c r="G271" s="306">
        <f t="shared" ca="1" si="127"/>
        <v>19.286020257554636</v>
      </c>
      <c r="H271" s="307">
        <f t="shared" ca="1" si="128"/>
        <v>-61.145121487042324</v>
      </c>
      <c r="I271" s="304">
        <f t="shared" ca="1" si="129"/>
        <v>64.114557309865077</v>
      </c>
      <c r="J271" s="306">
        <f t="shared" ca="1" si="130"/>
        <v>584.20937180075987</v>
      </c>
      <c r="K271" s="307">
        <f t="shared" ca="1" si="131"/>
        <v>1029.0576548566089</v>
      </c>
      <c r="L271" s="304">
        <f t="shared" ca="1" si="116"/>
        <v>1183.3259259894639</v>
      </c>
      <c r="M271" s="306">
        <f t="shared" ca="1" si="132"/>
        <v>-1.2652590233644292</v>
      </c>
      <c r="N271" s="304">
        <f t="shared" ca="1" si="133"/>
        <v>-72.494002029626216</v>
      </c>
      <c r="P271" s="310">
        <f t="shared" ca="1" si="134"/>
        <v>23</v>
      </c>
      <c r="Q271" s="304">
        <f t="shared" ca="1" si="135"/>
        <v>0</v>
      </c>
      <c r="R271" s="306">
        <f t="shared" ca="1" si="136"/>
        <v>0</v>
      </c>
      <c r="S271" s="307">
        <f t="shared" ca="1" si="137"/>
        <v>5.083000000000002</v>
      </c>
      <c r="T271" s="304">
        <f t="shared" ca="1" si="117"/>
        <v>49.86423000000002</v>
      </c>
      <c r="U271" s="311">
        <f t="shared" ca="1" si="118"/>
        <v>0</v>
      </c>
      <c r="V271" s="306">
        <f t="shared" ca="1" si="119"/>
        <v>1.1051091662889407</v>
      </c>
      <c r="W271" s="304">
        <f t="shared" ca="1" si="120"/>
        <v>13.948320424264573</v>
      </c>
      <c r="Y271" s="314" t="str">
        <f t="shared" ca="1" si="138"/>
        <v/>
      </c>
      <c r="Z271" s="315" t="str">
        <f t="shared" ca="1" si="139"/>
        <v/>
      </c>
      <c r="AA271" s="316" t="str">
        <f t="shared" ca="1" si="140"/>
        <v/>
      </c>
      <c r="AC271" s="310" t="e">
        <f t="shared" ca="1" si="141"/>
        <v>#N/A</v>
      </c>
      <c r="AD271" s="323" t="e">
        <f t="shared" ca="1" si="142"/>
        <v>#N/A</v>
      </c>
      <c r="AE271" s="324" t="e">
        <f t="shared" ca="1" si="121"/>
        <v>#N/A</v>
      </c>
      <c r="AG271" s="306">
        <f t="shared" ca="1" si="143"/>
        <v>6.6560345528545994</v>
      </c>
      <c r="AH271" s="304">
        <f t="shared" ca="1" si="144"/>
        <v>-2.6857351809430061</v>
      </c>
    </row>
    <row r="272" spans="1:34" x14ac:dyDescent="0.2">
      <c r="A272" s="347">
        <f t="shared" ca="1" si="122"/>
        <v>0.1</v>
      </c>
      <c r="B272" s="304">
        <f t="shared" ca="1" si="123"/>
        <v>17.799999999999986</v>
      </c>
      <c r="D272" s="306">
        <f t="shared" ca="1" si="124"/>
        <v>-0.82544430678459457</v>
      </c>
      <c r="E272" s="307">
        <f t="shared" ca="1" si="125"/>
        <v>-7.1929804311565597</v>
      </c>
      <c r="F272" s="304">
        <f t="shared" ca="1" si="126"/>
        <v>7.2401882424840522</v>
      </c>
      <c r="G272" s="306">
        <f t="shared" ca="1" si="127"/>
        <v>19.203475826876176</v>
      </c>
      <c r="H272" s="307">
        <f t="shared" ca="1" si="128"/>
        <v>-61.864419530157981</v>
      </c>
      <c r="I272" s="304">
        <f t="shared" ca="1" si="129"/>
        <v>64.776383718426345</v>
      </c>
      <c r="J272" s="306">
        <f t="shared" ca="1" si="130"/>
        <v>586.13384660498139</v>
      </c>
      <c r="K272" s="307">
        <f t="shared" ca="1" si="131"/>
        <v>1022.9071778057489</v>
      </c>
      <c r="L272" s="304">
        <f t="shared" ca="1" si="116"/>
        <v>1178.9368009110894</v>
      </c>
      <c r="M272" s="306">
        <f t="shared" ca="1" si="132"/>
        <v>-1.2698145624930668</v>
      </c>
      <c r="N272" s="304">
        <f t="shared" ca="1" si="133"/>
        <v>-72.755015195103852</v>
      </c>
      <c r="P272" s="310">
        <f t="shared" ca="1" si="134"/>
        <v>23</v>
      </c>
      <c r="Q272" s="304">
        <f t="shared" ca="1" si="135"/>
        <v>0</v>
      </c>
      <c r="R272" s="306">
        <f t="shared" ca="1" si="136"/>
        <v>0</v>
      </c>
      <c r="S272" s="307">
        <f t="shared" ca="1" si="137"/>
        <v>5.083000000000002</v>
      </c>
      <c r="T272" s="304">
        <f t="shared" ca="1" si="117"/>
        <v>49.86423000000002</v>
      </c>
      <c r="U272" s="311">
        <f t="shared" ca="1" si="118"/>
        <v>0</v>
      </c>
      <c r="V272" s="306">
        <f t="shared" ca="1" si="119"/>
        <v>1.1057908647254155</v>
      </c>
      <c r="W272" s="304">
        <f t="shared" ca="1" si="120"/>
        <v>14.246554181160475</v>
      </c>
      <c r="Y272" s="314" t="str">
        <f t="shared" ca="1" si="138"/>
        <v/>
      </c>
      <c r="Z272" s="315" t="str">
        <f t="shared" ca="1" si="139"/>
        <v/>
      </c>
      <c r="AA272" s="316" t="str">
        <f t="shared" ca="1" si="140"/>
        <v/>
      </c>
      <c r="AC272" s="310" t="e">
        <f t="shared" ca="1" si="141"/>
        <v>#N/A</v>
      </c>
      <c r="AD272" s="323" t="e">
        <f t="shared" ca="1" si="142"/>
        <v>#N/A</v>
      </c>
      <c r="AE272" s="324" t="e">
        <f t="shared" ca="1" si="121"/>
        <v>#N/A</v>
      </c>
      <c r="AG272" s="306">
        <f t="shared" ca="1" si="143"/>
        <v>6.6115425962651351</v>
      </c>
      <c r="AH272" s="304">
        <f t="shared" ca="1" si="144"/>
        <v>-2.7441118284998165</v>
      </c>
    </row>
    <row r="273" spans="1:34" x14ac:dyDescent="0.2">
      <c r="A273" s="347">
        <f t="shared" ca="1" si="122"/>
        <v>0.1</v>
      </c>
      <c r="B273" s="304">
        <f t="shared" ca="1" si="123"/>
        <v>17.899999999999988</v>
      </c>
      <c r="D273" s="306">
        <f t="shared" ca="1" si="124"/>
        <v>-0.83090786253621829</v>
      </c>
      <c r="E273" s="307">
        <f t="shared" ca="1" si="125"/>
        <v>-7.1332120548246998</v>
      </c>
      <c r="F273" s="304">
        <f t="shared" ca="1" si="126"/>
        <v>7.1814428978528353</v>
      </c>
      <c r="G273" s="306">
        <f t="shared" ca="1" si="127"/>
        <v>19.120385040622555</v>
      </c>
      <c r="H273" s="307">
        <f t="shared" ca="1" si="128"/>
        <v>-62.577740735640454</v>
      </c>
      <c r="I273" s="304">
        <f t="shared" ca="1" si="129"/>
        <v>65.433651584476749</v>
      </c>
      <c r="J273" s="306">
        <f t="shared" ca="1" si="130"/>
        <v>588.05003964835635</v>
      </c>
      <c r="K273" s="307">
        <f t="shared" ca="1" si="131"/>
        <v>1016.685069792459</v>
      </c>
      <c r="L273" s="304">
        <f t="shared" ca="1" si="116"/>
        <v>1174.5004811703275</v>
      </c>
      <c r="M273" s="306">
        <f t="shared" ca="1" si="132"/>
        <v>-1.2742591598557271</v>
      </c>
      <c r="N273" s="304">
        <f t="shared" ca="1" si="133"/>
        <v>-73.009671865619268</v>
      </c>
      <c r="P273" s="310">
        <f t="shared" ca="1" si="134"/>
        <v>23</v>
      </c>
      <c r="Q273" s="304">
        <f t="shared" ca="1" si="135"/>
        <v>0</v>
      </c>
      <c r="R273" s="306">
        <f t="shared" ca="1" si="136"/>
        <v>0</v>
      </c>
      <c r="S273" s="307">
        <f t="shared" ca="1" si="137"/>
        <v>5.083000000000002</v>
      </c>
      <c r="T273" s="304">
        <f t="shared" ca="1" si="117"/>
        <v>49.86423000000002</v>
      </c>
      <c r="U273" s="311">
        <f t="shared" ca="1" si="118"/>
        <v>0</v>
      </c>
      <c r="V273" s="306">
        <f t="shared" ca="1" si="119"/>
        <v>1.1064809084915253</v>
      </c>
      <c r="W273" s="304">
        <f t="shared" ca="1" si="120"/>
        <v>14.546204126258827</v>
      </c>
      <c r="Y273" s="314" t="str">
        <f t="shared" ca="1" si="138"/>
        <v/>
      </c>
      <c r="Z273" s="315" t="str">
        <f t="shared" ca="1" si="139"/>
        <v/>
      </c>
      <c r="AA273" s="316" t="str">
        <f t="shared" ca="1" si="140"/>
        <v/>
      </c>
      <c r="AC273" s="310" t="e">
        <f t="shared" ca="1" si="141"/>
        <v>#N/A</v>
      </c>
      <c r="AD273" s="323" t="e">
        <f t="shared" ca="1" si="142"/>
        <v>#N/A</v>
      </c>
      <c r="AE273" s="324" t="e">
        <f t="shared" ca="1" si="121"/>
        <v>#N/A</v>
      </c>
      <c r="AG273" s="306">
        <f t="shared" ca="1" si="143"/>
        <v>6.5662156435523356</v>
      </c>
      <c r="AH273" s="304">
        <f t="shared" ca="1" si="144"/>
        <v>-2.8027846116782351</v>
      </c>
    </row>
    <row r="274" spans="1:34" x14ac:dyDescent="0.2">
      <c r="A274" s="347">
        <f t="shared" ca="1" si="122"/>
        <v>0.1</v>
      </c>
      <c r="B274" s="304">
        <f t="shared" ca="1" si="123"/>
        <v>17.999999999999989</v>
      </c>
      <c r="D274" s="306">
        <f t="shared" ca="1" si="124"/>
        <v>-0.83622865335407481</v>
      </c>
      <c r="E274" s="307">
        <f t="shared" ca="1" si="125"/>
        <v>-7.0731670463681624</v>
      </c>
      <c r="F274" s="304">
        <f t="shared" ca="1" si="126"/>
        <v>7.1224272847477277</v>
      </c>
      <c r="G274" s="306">
        <f t="shared" ca="1" si="127"/>
        <v>19.036762175287148</v>
      </c>
      <c r="H274" s="307">
        <f t="shared" ca="1" si="128"/>
        <v>-63.285057440277271</v>
      </c>
      <c r="I274" s="304">
        <f t="shared" ca="1" si="129"/>
        <v>66.086283064926846</v>
      </c>
      <c r="J274" s="306">
        <f t="shared" ca="1" si="130"/>
        <v>589.95789700915179</v>
      </c>
      <c r="K274" s="307">
        <f t="shared" ca="1" si="131"/>
        <v>1010.3919298836631</v>
      </c>
      <c r="L274" s="304">
        <f t="shared" ca="1" si="116"/>
        <v>1170.0180221763655</v>
      </c>
      <c r="M274" s="306">
        <f t="shared" ca="1" si="132"/>
        <v>-1.2785968099876479</v>
      </c>
      <c r="N274" s="304">
        <f t="shared" ca="1" si="133"/>
        <v>-73.258200911182684</v>
      </c>
      <c r="P274" s="310">
        <f t="shared" ca="1" si="134"/>
        <v>23</v>
      </c>
      <c r="Q274" s="304">
        <f t="shared" ca="1" si="135"/>
        <v>0</v>
      </c>
      <c r="R274" s="306">
        <f t="shared" ca="1" si="136"/>
        <v>0</v>
      </c>
      <c r="S274" s="307">
        <f t="shared" ca="1" si="137"/>
        <v>5.083000000000002</v>
      </c>
      <c r="T274" s="304">
        <f t="shared" ca="1" si="117"/>
        <v>49.86423000000002</v>
      </c>
      <c r="U274" s="311">
        <f t="shared" ca="1" si="118"/>
        <v>0</v>
      </c>
      <c r="V274" s="306">
        <f t="shared" ca="1" si="119"/>
        <v>1.1071792455620946</v>
      </c>
      <c r="W274" s="304">
        <f t="shared" ca="1" si="120"/>
        <v>14.847181825959725</v>
      </c>
      <c r="Y274" s="314" t="str">
        <f t="shared" ca="1" si="138"/>
        <v/>
      </c>
      <c r="Z274" s="315" t="str">
        <f t="shared" ca="1" si="139"/>
        <v/>
      </c>
      <c r="AA274" s="316" t="str">
        <f t="shared" ca="1" si="140"/>
        <v/>
      </c>
      <c r="AC274" s="310">
        <f t="shared" ca="1" si="141"/>
        <v>17.999999999999989</v>
      </c>
      <c r="AD274" s="323">
        <f t="shared" ca="1" si="142"/>
        <v>589.95789700915179</v>
      </c>
      <c r="AE274" s="324" t="e">
        <f t="shared" ca="1" si="121"/>
        <v>#N/A</v>
      </c>
      <c r="AG274" s="306">
        <f t="shared" ca="1" si="143"/>
        <v>6.5200976782195124</v>
      </c>
      <c r="AH274" s="304">
        <f t="shared" ca="1" si="144"/>
        <v>-2.8617360075268192</v>
      </c>
    </row>
    <row r="275" spans="1:34" x14ac:dyDescent="0.2">
      <c r="A275" s="347">
        <f t="shared" ca="1" si="122"/>
        <v>0.1</v>
      </c>
      <c r="B275" s="304">
        <f t="shared" ca="1" si="123"/>
        <v>18.099999999999991</v>
      </c>
      <c r="D275" s="306">
        <f t="shared" ca="1" si="124"/>
        <v>-0.84140613741225334</v>
      </c>
      <c r="E275" s="307">
        <f t="shared" ca="1" si="125"/>
        <v>-7.0128627953412419</v>
      </c>
      <c r="F275" s="304">
        <f t="shared" ca="1" si="126"/>
        <v>7.063158562170071</v>
      </c>
      <c r="G275" s="306">
        <f t="shared" ca="1" si="127"/>
        <v>18.952621561545921</v>
      </c>
      <c r="H275" s="307">
        <f t="shared" ca="1" si="128"/>
        <v>-63.986343719811394</v>
      </c>
      <c r="I275" s="304">
        <f t="shared" ca="1" si="129"/>
        <v>66.73420447330605</v>
      </c>
      <c r="J275" s="306">
        <f t="shared" ca="1" si="130"/>
        <v>591.85736619599345</v>
      </c>
      <c r="K275" s="307">
        <f t="shared" ca="1" si="131"/>
        <v>1004.0283598256586</v>
      </c>
      <c r="L275" s="304">
        <f t="shared" ca="1" si="116"/>
        <v>1165.490492991968</v>
      </c>
      <c r="M275" s="306">
        <f t="shared" ca="1" si="132"/>
        <v>-1.2828313240132736</v>
      </c>
      <c r="N275" s="304">
        <f t="shared" ca="1" si="133"/>
        <v>-73.50082069314</v>
      </c>
      <c r="P275" s="310">
        <f t="shared" ca="1" si="134"/>
        <v>23</v>
      </c>
      <c r="Q275" s="304">
        <f t="shared" ca="1" si="135"/>
        <v>0</v>
      </c>
      <c r="R275" s="306">
        <f t="shared" ca="1" si="136"/>
        <v>0</v>
      </c>
      <c r="S275" s="307">
        <f t="shared" ca="1" si="137"/>
        <v>5.083000000000002</v>
      </c>
      <c r="T275" s="304">
        <f t="shared" ca="1" si="117"/>
        <v>49.86423000000002</v>
      </c>
      <c r="U275" s="311">
        <f t="shared" ca="1" si="118"/>
        <v>0</v>
      </c>
      <c r="V275" s="306">
        <f t="shared" ca="1" si="119"/>
        <v>1.107885823641438</v>
      </c>
      <c r="W275" s="304">
        <f t="shared" ca="1" si="120"/>
        <v>15.149399524124485</v>
      </c>
      <c r="Y275" s="314" t="str">
        <f t="shared" ca="1" si="138"/>
        <v/>
      </c>
      <c r="Z275" s="315" t="str">
        <f t="shared" ca="1" si="139"/>
        <v/>
      </c>
      <c r="AA275" s="316" t="str">
        <f t="shared" ca="1" si="140"/>
        <v/>
      </c>
      <c r="AC275" s="310" t="e">
        <f t="shared" ca="1" si="141"/>
        <v>#N/A</v>
      </c>
      <c r="AD275" s="323" t="e">
        <f t="shared" ca="1" si="142"/>
        <v>#N/A</v>
      </c>
      <c r="AE275" s="324" t="e">
        <f t="shared" ca="1" si="121"/>
        <v>#N/A</v>
      </c>
      <c r="AG275" s="306">
        <f t="shared" ca="1" si="143"/>
        <v>6.4732310012491308</v>
      </c>
      <c r="AH275" s="304">
        <f t="shared" ca="1" si="144"/>
        <v>-2.9209486181309696</v>
      </c>
    </row>
    <row r="276" spans="1:34" x14ac:dyDescent="0.2">
      <c r="A276" s="347">
        <f t="shared" ca="1" si="122"/>
        <v>0.1</v>
      </c>
      <c r="B276" s="304">
        <f t="shared" ca="1" si="123"/>
        <v>18.199999999999992</v>
      </c>
      <c r="D276" s="306">
        <f t="shared" ca="1" si="124"/>
        <v>-0.84643987143837218</v>
      </c>
      <c r="E276" s="307">
        <f t="shared" ca="1" si="125"/>
        <v>-6.9523165720831868</v>
      </c>
      <c r="F276" s="304">
        <f t="shared" ca="1" si="126"/>
        <v>7.003653773168911</v>
      </c>
      <c r="G276" s="306">
        <f t="shared" ca="1" si="127"/>
        <v>18.867977574402083</v>
      </c>
      <c r="H276" s="307">
        <f t="shared" ca="1" si="128"/>
        <v>-64.681575377019712</v>
      </c>
      <c r="I276" s="304">
        <f t="shared" ca="1" si="129"/>
        <v>67.377346126136658</v>
      </c>
      <c r="J276" s="306">
        <f t="shared" ca="1" si="130"/>
        <v>593.74839615279086</v>
      </c>
      <c r="K276" s="307">
        <f t="shared" ca="1" si="131"/>
        <v>997.59496387081708</v>
      </c>
      <c r="L276" s="304">
        <f t="shared" ca="1" si="116"/>
        <v>1160.9189764468613</v>
      </c>
      <c r="M276" s="306">
        <f t="shared" ca="1" si="132"/>
        <v>-1.2869663395652458</v>
      </c>
      <c r="N276" s="304">
        <f t="shared" ca="1" si="133"/>
        <v>-73.737739632488953</v>
      </c>
      <c r="P276" s="310">
        <f t="shared" ca="1" si="134"/>
        <v>23</v>
      </c>
      <c r="Q276" s="304">
        <f t="shared" ca="1" si="135"/>
        <v>0</v>
      </c>
      <c r="R276" s="306">
        <f t="shared" ca="1" si="136"/>
        <v>0</v>
      </c>
      <c r="S276" s="307">
        <f t="shared" ca="1" si="137"/>
        <v>5.083000000000002</v>
      </c>
      <c r="T276" s="304">
        <f t="shared" ca="1" si="117"/>
        <v>49.86423000000002</v>
      </c>
      <c r="U276" s="311">
        <f t="shared" ca="1" si="118"/>
        <v>0</v>
      </c>
      <c r="V276" s="306">
        <f t="shared" ca="1" si="119"/>
        <v>1.1086005901776408</v>
      </c>
      <c r="W276" s="304">
        <f t="shared" ca="1" si="120"/>
        <v>15.452770182695009</v>
      </c>
      <c r="Y276" s="314" t="str">
        <f t="shared" ca="1" si="138"/>
        <v/>
      </c>
      <c r="Z276" s="315" t="str">
        <f t="shared" ca="1" si="139"/>
        <v/>
      </c>
      <c r="AA276" s="316" t="str">
        <f t="shared" ca="1" si="140"/>
        <v/>
      </c>
      <c r="AC276" s="310" t="e">
        <f t="shared" ca="1" si="141"/>
        <v>#N/A</v>
      </c>
      <c r="AD276" s="323" t="e">
        <f t="shared" ca="1" si="142"/>
        <v>#N/A</v>
      </c>
      <c r="AE276" s="324" t="e">
        <f t="shared" ca="1" si="121"/>
        <v>#N/A</v>
      </c>
      <c r="AG276" s="306">
        <f t="shared" ca="1" si="143"/>
        <v>6.4256563280649708</v>
      </c>
      <c r="AH276" s="304">
        <f t="shared" ca="1" si="144"/>
        <v>-2.9804051788558881</v>
      </c>
    </row>
    <row r="277" spans="1:34" x14ac:dyDescent="0.2">
      <c r="A277" s="347">
        <f t="shared" ca="1" si="122"/>
        <v>0.1</v>
      </c>
      <c r="B277" s="304">
        <f t="shared" ca="1" si="123"/>
        <v>18.299999999999994</v>
      </c>
      <c r="D277" s="306">
        <f t="shared" ca="1" si="124"/>
        <v>-0.85132950749460823</v>
      </c>
      <c r="E277" s="307">
        <f t="shared" ca="1" si="125"/>
        <v>-6.8915455184555707</v>
      </c>
      <c r="F277" s="304">
        <f t="shared" ca="1" si="126"/>
        <v>6.9439298357109047</v>
      </c>
      <c r="G277" s="306">
        <f t="shared" ca="1" si="127"/>
        <v>18.782844623652622</v>
      </c>
      <c r="H277" s="307">
        <f t="shared" ca="1" si="128"/>
        <v>-65.370729928865273</v>
      </c>
      <c r="I277" s="304">
        <f t="shared" ca="1" si="129"/>
        <v>68.015642197871799</v>
      </c>
      <c r="J277" s="306">
        <f t="shared" ca="1" si="130"/>
        <v>595.63093726269358</v>
      </c>
      <c r="K277" s="307">
        <f t="shared" ca="1" si="131"/>
        <v>991.09234860552283</v>
      </c>
      <c r="L277" s="304">
        <f t="shared" ca="1" si="116"/>
        <v>1156.3045692588289</v>
      </c>
      <c r="M277" s="306">
        <f t="shared" ca="1" si="132"/>
        <v>-1.2910053301026305</v>
      </c>
      <c r="N277" s="304">
        <f t="shared" ca="1" si="133"/>
        <v>-73.969156743774377</v>
      </c>
      <c r="P277" s="310">
        <f t="shared" ca="1" si="134"/>
        <v>23</v>
      </c>
      <c r="Q277" s="304">
        <f t="shared" ca="1" si="135"/>
        <v>0</v>
      </c>
      <c r="R277" s="306">
        <f t="shared" ca="1" si="136"/>
        <v>0</v>
      </c>
      <c r="S277" s="307">
        <f t="shared" ca="1" si="137"/>
        <v>5.083000000000002</v>
      </c>
      <c r="T277" s="304">
        <f t="shared" ca="1" si="117"/>
        <v>49.86423000000002</v>
      </c>
      <c r="U277" s="311">
        <f t="shared" ca="1" si="118"/>
        <v>0</v>
      </c>
      <c r="V277" s="306">
        <f t="shared" ca="1" si="119"/>
        <v>1.1093234923767636</v>
      </c>
      <c r="W277" s="304">
        <f t="shared" ca="1" si="120"/>
        <v>15.757207521013237</v>
      </c>
      <c r="Y277" s="314" t="str">
        <f t="shared" ca="1" si="138"/>
        <v/>
      </c>
      <c r="Z277" s="315" t="str">
        <f t="shared" ca="1" si="139"/>
        <v/>
      </c>
      <c r="AA277" s="316" t="str">
        <f t="shared" ca="1" si="140"/>
        <v/>
      </c>
      <c r="AC277" s="310" t="e">
        <f t="shared" ca="1" si="141"/>
        <v>#N/A</v>
      </c>
      <c r="AD277" s="323" t="e">
        <f t="shared" ca="1" si="142"/>
        <v>#N/A</v>
      </c>
      <c r="AE277" s="324" t="e">
        <f t="shared" ca="1" si="121"/>
        <v>#N/A</v>
      </c>
      <c r="AG277" s="306">
        <f t="shared" ca="1" si="143"/>
        <v>6.3774128778519383</v>
      </c>
      <c r="AH277" s="304">
        <f t="shared" ca="1" si="144"/>
        <v>-3.040088566337793</v>
      </c>
    </row>
    <row r="278" spans="1:34" x14ac:dyDescent="0.2">
      <c r="A278" s="347">
        <f t="shared" ca="1" si="122"/>
        <v>0.1</v>
      </c>
      <c r="B278" s="304">
        <f t="shared" ca="1" si="123"/>
        <v>18.399999999999995</v>
      </c>
      <c r="D278" s="306">
        <f t="shared" ca="1" si="124"/>
        <v>-0.85607478986930718</v>
      </c>
      <c r="E278" s="307">
        <f t="shared" ca="1" si="125"/>
        <v>-6.8305666389325737</v>
      </c>
      <c r="F278" s="304">
        <f t="shared" ca="1" si="126"/>
        <v>6.8840035339000529</v>
      </c>
      <c r="G278" s="306">
        <f t="shared" ca="1" si="127"/>
        <v>18.697237144665692</v>
      </c>
      <c r="H278" s="307">
        <f t="shared" ca="1" si="128"/>
        <v>-66.053786592758527</v>
      </c>
      <c r="I278" s="304">
        <f t="shared" ca="1" si="129"/>
        <v>68.649030583727495</v>
      </c>
      <c r="J278" s="306">
        <f t="shared" ca="1" si="130"/>
        <v>597.50494135110944</v>
      </c>
      <c r="K278" s="307">
        <f t="shared" ca="1" si="131"/>
        <v>984.52112277944161</v>
      </c>
      <c r="L278" s="304">
        <f t="shared" ca="1" si="116"/>
        <v>1151.6483821626657</v>
      </c>
      <c r="M278" s="306">
        <f t="shared" ca="1" si="132"/>
        <v>-1.2949516136672135</v>
      </c>
      <c r="N278" s="304">
        <f t="shared" ca="1" si="133"/>
        <v>-74.195262136786823</v>
      </c>
      <c r="P278" s="310">
        <f t="shared" ca="1" si="134"/>
        <v>23</v>
      </c>
      <c r="Q278" s="304">
        <f t="shared" ca="1" si="135"/>
        <v>0</v>
      </c>
      <c r="R278" s="306">
        <f t="shared" ca="1" si="136"/>
        <v>0</v>
      </c>
      <c r="S278" s="307">
        <f t="shared" ca="1" si="137"/>
        <v>5.083000000000002</v>
      </c>
      <c r="T278" s="304">
        <f t="shared" ca="1" si="117"/>
        <v>49.86423000000002</v>
      </c>
      <c r="U278" s="311">
        <f t="shared" ca="1" si="118"/>
        <v>0</v>
      </c>
      <c r="V278" s="306">
        <f t="shared" ca="1" si="119"/>
        <v>1.1100544772169598</v>
      </c>
      <c r="W278" s="304">
        <f t="shared" ca="1" si="120"/>
        <v>16.062626053823383</v>
      </c>
      <c r="Y278" s="314" t="str">
        <f t="shared" ca="1" si="138"/>
        <v/>
      </c>
      <c r="Z278" s="315" t="str">
        <f t="shared" ca="1" si="139"/>
        <v/>
      </c>
      <c r="AA278" s="316" t="str">
        <f t="shared" ca="1" si="140"/>
        <v/>
      </c>
      <c r="AC278" s="310" t="e">
        <f t="shared" ca="1" si="141"/>
        <v>#N/A</v>
      </c>
      <c r="AD278" s="323" t="e">
        <f t="shared" ca="1" si="142"/>
        <v>#N/A</v>
      </c>
      <c r="AE278" s="324" t="e">
        <f t="shared" ca="1" si="121"/>
        <v>#N/A</v>
      </c>
      <c r="AG278" s="306">
        <f t="shared" ca="1" si="143"/>
        <v>6.3285384558775135</v>
      </c>
      <c r="AH278" s="304">
        <f t="shared" ca="1" si="144"/>
        <v>-3.0999818062194042</v>
      </c>
    </row>
    <row r="279" spans="1:34" x14ac:dyDescent="0.2">
      <c r="A279" s="347">
        <f t="shared" ca="1" si="122"/>
        <v>0.1</v>
      </c>
      <c r="B279" s="304">
        <f t="shared" ca="1" si="123"/>
        <v>18.499999999999996</v>
      </c>
      <c r="D279" s="306">
        <f t="shared" ca="1" si="124"/>
        <v>-0.86067555207055535</v>
      </c>
      <c r="E279" s="307">
        <f t="shared" ca="1" si="125"/>
        <v>-6.7693967920392675</v>
      </c>
      <c r="F279" s="304">
        <f t="shared" ca="1" si="126"/>
        <v>6.8238915095422996</v>
      </c>
      <c r="G279" s="306">
        <f t="shared" ca="1" si="127"/>
        <v>18.611169589458637</v>
      </c>
      <c r="H279" s="307">
        <f t="shared" ca="1" si="128"/>
        <v>-66.730726271962453</v>
      </c>
      <c r="I279" s="304">
        <f t="shared" ca="1" si="129"/>
        <v>69.277452769794948</v>
      </c>
      <c r="J279" s="306">
        <f t="shared" ca="1" si="130"/>
        <v>599.3703616878156</v>
      </c>
      <c r="K279" s="307">
        <f t="shared" ca="1" si="131"/>
        <v>977.88189713620557</v>
      </c>
      <c r="L279" s="304">
        <f t="shared" ca="1" si="116"/>
        <v>1146.9515400471319</v>
      </c>
      <c r="M279" s="306">
        <f t="shared" ca="1" si="132"/>
        <v>-1.2988083611141918</v>
      </c>
      <c r="N279" s="304">
        <f t="shared" ca="1" si="133"/>
        <v>-74.416237488146535</v>
      </c>
      <c r="P279" s="310">
        <f t="shared" ca="1" si="134"/>
        <v>23</v>
      </c>
      <c r="Q279" s="304">
        <f t="shared" ca="1" si="135"/>
        <v>0</v>
      </c>
      <c r="R279" s="306">
        <f t="shared" ca="1" si="136"/>
        <v>0</v>
      </c>
      <c r="S279" s="307">
        <f t="shared" ca="1" si="137"/>
        <v>5.083000000000002</v>
      </c>
      <c r="T279" s="304">
        <f t="shared" ca="1" si="117"/>
        <v>49.86423000000002</v>
      </c>
      <c r="U279" s="311">
        <f t="shared" ca="1" si="118"/>
        <v>0</v>
      </c>
      <c r="V279" s="306">
        <f t="shared" ca="1" si="119"/>
        <v>1.1107934914625119</v>
      </c>
      <c r="W279" s="304">
        <f t="shared" ca="1" si="120"/>
        <v>16.368941127941859</v>
      </c>
      <c r="Y279" s="314" t="str">
        <f t="shared" ca="1" si="138"/>
        <v/>
      </c>
      <c r="Z279" s="315" t="str">
        <f t="shared" ca="1" si="139"/>
        <v/>
      </c>
      <c r="AA279" s="316" t="str">
        <f t="shared" ca="1" si="140"/>
        <v/>
      </c>
      <c r="AC279" s="310" t="e">
        <f t="shared" ca="1" si="141"/>
        <v>#N/A</v>
      </c>
      <c r="AD279" s="323" t="e">
        <f t="shared" ca="1" si="142"/>
        <v>#N/A</v>
      </c>
      <c r="AE279" s="324" t="e">
        <f t="shared" ca="1" si="121"/>
        <v>#N/A</v>
      </c>
      <c r="AG279" s="306">
        <f t="shared" ca="1" si="143"/>
        <v>6.27906952940371</v>
      </c>
      <c r="AH279" s="304">
        <f t="shared" ca="1" si="144"/>
        <v>-3.1600680806262793</v>
      </c>
    </row>
    <row r="280" spans="1:34" x14ac:dyDescent="0.2">
      <c r="A280" s="347">
        <f t="shared" ca="1" si="122"/>
        <v>0.1</v>
      </c>
      <c r="B280" s="304">
        <f t="shared" ca="1" si="123"/>
        <v>18.599999999999998</v>
      </c>
      <c r="D280" s="306">
        <f t="shared" ca="1" si="124"/>
        <v>-0.86513171391391031</v>
      </c>
      <c r="E280" s="307">
        <f t="shared" ca="1" si="125"/>
        <v>-6.7080526821333351</v>
      </c>
      <c r="F280" s="304">
        <f t="shared" ca="1" si="126"/>
        <v>6.7636102540504099</v>
      </c>
      <c r="G280" s="306">
        <f t="shared" ca="1" si="127"/>
        <v>18.524656418067245</v>
      </c>
      <c r="H280" s="307">
        <f t="shared" ca="1" si="128"/>
        <v>-67.401531540175782</v>
      </c>
      <c r="I280" s="304">
        <f t="shared" ca="1" si="129"/>
        <v>69.900853709870745</v>
      </c>
      <c r="J280" s="306">
        <f t="shared" ca="1" si="130"/>
        <v>601.22715298819185</v>
      </c>
      <c r="K280" s="307">
        <f t="shared" ca="1" si="131"/>
        <v>971.17528424559862</v>
      </c>
      <c r="L280" s="304">
        <f t="shared" ca="1" si="116"/>
        <v>1142.2151821000305</v>
      </c>
      <c r="M280" s="306">
        <f t="shared" ca="1" si="132"/>
        <v>-1.3025786038512157</v>
      </c>
      <c r="N280" s="304">
        <f t="shared" ca="1" si="133"/>
        <v>-74.632256484717857</v>
      </c>
      <c r="P280" s="310">
        <f t="shared" ca="1" si="134"/>
        <v>23</v>
      </c>
      <c r="Q280" s="304">
        <f t="shared" ca="1" si="135"/>
        <v>0</v>
      </c>
      <c r="R280" s="306">
        <f t="shared" ca="1" si="136"/>
        <v>0</v>
      </c>
      <c r="S280" s="307">
        <f t="shared" ca="1" si="137"/>
        <v>5.083000000000002</v>
      </c>
      <c r="T280" s="304">
        <f t="shared" ca="1" si="117"/>
        <v>49.86423000000002</v>
      </c>
      <c r="U280" s="311">
        <f t="shared" ca="1" si="118"/>
        <v>0</v>
      </c>
      <c r="V280" s="306">
        <f t="shared" ca="1" si="119"/>
        <v>1.1115404816777628</v>
      </c>
      <c r="W280" s="304">
        <f t="shared" ca="1" si="120"/>
        <v>16.676068957581858</v>
      </c>
      <c r="Y280" s="314" t="str">
        <f t="shared" ca="1" si="138"/>
        <v/>
      </c>
      <c r="Z280" s="315" t="str">
        <f t="shared" ca="1" si="139"/>
        <v/>
      </c>
      <c r="AA280" s="316" t="str">
        <f t="shared" ca="1" si="140"/>
        <v/>
      </c>
      <c r="AC280" s="310" t="e">
        <f t="shared" ca="1" si="141"/>
        <v>#N/A</v>
      </c>
      <c r="AD280" s="323" t="e">
        <f t="shared" ca="1" si="142"/>
        <v>#N/A</v>
      </c>
      <c r="AE280" s="324" t="e">
        <f t="shared" ca="1" si="121"/>
        <v>#N/A</v>
      </c>
      <c r="AG280" s="306">
        <f t="shared" ca="1" si="143"/>
        <v>6.2290412977282674</v>
      </c>
      <c r="AH280" s="304">
        <f t="shared" ca="1" si="144"/>
        <v>-3.2203307353810451</v>
      </c>
    </row>
    <row r="281" spans="1:34" x14ac:dyDescent="0.2">
      <c r="A281" s="347">
        <f t="shared" ca="1" si="122"/>
        <v>0.1</v>
      </c>
      <c r="B281" s="304">
        <f t="shared" ca="1" si="123"/>
        <v>18.7</v>
      </c>
      <c r="D281" s="306">
        <f t="shared" ca="1" si="124"/>
        <v>-0.86944327869726901</v>
      </c>
      <c r="E281" s="307">
        <f t="shared" ca="1" si="125"/>
        <v>-6.6465508515260225</v>
      </c>
      <c r="F281" s="304">
        <f t="shared" ca="1" si="126"/>
        <v>6.7031761006848951</v>
      </c>
      <c r="G281" s="306">
        <f t="shared" ca="1" si="127"/>
        <v>18.437712090197518</v>
      </c>
      <c r="H281" s="307">
        <f t="shared" ca="1" si="128"/>
        <v>-68.066186625328385</v>
      </c>
      <c r="I281" s="304">
        <f t="shared" ca="1" si="129"/>
        <v>70.519181708490123</v>
      </c>
      <c r="J281" s="306">
        <f t="shared" ca="1" si="130"/>
        <v>603.07527141360504</v>
      </c>
      <c r="K281" s="307">
        <f t="shared" ca="1" si="131"/>
        <v>964.40189833732336</v>
      </c>
      <c r="L281" s="304">
        <f t="shared" ca="1" si="116"/>
        <v>1137.4404619615159</v>
      </c>
      <c r="M281" s="306">
        <f t="shared" ca="1" si="132"/>
        <v>-1.3062652411175069</v>
      </c>
      <c r="N281" s="304">
        <f t="shared" ca="1" si="133"/>
        <v>-74.843485240671995</v>
      </c>
      <c r="P281" s="310">
        <f t="shared" ca="1" si="134"/>
        <v>23</v>
      </c>
      <c r="Q281" s="304">
        <f t="shared" ca="1" si="135"/>
        <v>0</v>
      </c>
      <c r="R281" s="306">
        <f t="shared" ca="1" si="136"/>
        <v>0</v>
      </c>
      <c r="S281" s="307">
        <f t="shared" ca="1" si="137"/>
        <v>5.083000000000002</v>
      </c>
      <c r="T281" s="304">
        <f t="shared" ca="1" si="117"/>
        <v>49.86423000000002</v>
      </c>
      <c r="U281" s="311">
        <f t="shared" ca="1" si="118"/>
        <v>0</v>
      </c>
      <c r="V281" s="306">
        <f t="shared" ca="1" si="119"/>
        <v>1.1122953942409473</v>
      </c>
      <c r="W281" s="304">
        <f t="shared" ca="1" si="120"/>
        <v>16.983926658322449</v>
      </c>
      <c r="Y281" s="314" t="str">
        <f t="shared" ca="1" si="138"/>
        <v/>
      </c>
      <c r="Z281" s="315" t="str">
        <f t="shared" ca="1" si="139"/>
        <v/>
      </c>
      <c r="AA281" s="316" t="str">
        <f t="shared" ca="1" si="140"/>
        <v/>
      </c>
      <c r="AC281" s="310" t="e">
        <f t="shared" ca="1" si="141"/>
        <v>#N/A</v>
      </c>
      <c r="AD281" s="323" t="e">
        <f t="shared" ca="1" si="142"/>
        <v>#N/A</v>
      </c>
      <c r="AE281" s="324" t="e">
        <f t="shared" ca="1" si="121"/>
        <v>#N/A</v>
      </c>
      <c r="AG281" s="306">
        <f t="shared" ca="1" si="143"/>
        <v>6.1784877568478436</v>
      </c>
      <c r="AH281" s="304">
        <f t="shared" ca="1" si="144"/>
        <v>-3.2807532869529514</v>
      </c>
    </row>
    <row r="282" spans="1:34" x14ac:dyDescent="0.2">
      <c r="A282" s="347">
        <f t="shared" ca="1" si="122"/>
        <v>0.1</v>
      </c>
      <c r="B282" s="304">
        <f t="shared" ca="1" si="123"/>
        <v>18.8</v>
      </c>
      <c r="D282" s="306">
        <f t="shared" ca="1" si="124"/>
        <v>-0.87361033045656045</v>
      </c>
      <c r="E282" s="307">
        <f t="shared" ca="1" si="125"/>
        <v>-6.5849076729381748</v>
      </c>
      <c r="F282" s="304">
        <f t="shared" ca="1" si="126"/>
        <v>6.6426052171268219</v>
      </c>
      <c r="G282" s="306">
        <f t="shared" ca="1" si="127"/>
        <v>18.350351057151862</v>
      </c>
      <c r="H282" s="307">
        <f t="shared" ca="1" si="128"/>
        <v>-68.724677392622198</v>
      </c>
      <c r="I282" s="304">
        <f t="shared" ca="1" si="129"/>
        <v>71.132388309691322</v>
      </c>
      <c r="J282" s="306">
        <f t="shared" ca="1" si="130"/>
        <v>604.91467457097247</v>
      </c>
      <c r="K282" s="307">
        <f t="shared" ca="1" si="131"/>
        <v>957.56235513642582</v>
      </c>
      <c r="L282" s="304">
        <f t="shared" ca="1" si="116"/>
        <v>1132.6285478857242</v>
      </c>
      <c r="M282" s="306">
        <f t="shared" ca="1" si="132"/>
        <v>-1.3098710468326809</v>
      </c>
      <c r="N282" s="304">
        <f t="shared" ca="1" si="133"/>
        <v>-75.050082689895618</v>
      </c>
      <c r="P282" s="310">
        <f t="shared" ca="1" si="134"/>
        <v>23</v>
      </c>
      <c r="Q282" s="304">
        <f t="shared" ca="1" si="135"/>
        <v>0</v>
      </c>
      <c r="R282" s="306">
        <f t="shared" ca="1" si="136"/>
        <v>0</v>
      </c>
      <c r="S282" s="307">
        <f t="shared" ca="1" si="137"/>
        <v>5.083000000000002</v>
      </c>
      <c r="T282" s="304">
        <f t="shared" ca="1" si="117"/>
        <v>49.86423000000002</v>
      </c>
      <c r="U282" s="311">
        <f t="shared" ca="1" si="118"/>
        <v>0</v>
      </c>
      <c r="V282" s="306">
        <f t="shared" ca="1" si="119"/>
        <v>1.113058175357915</v>
      </c>
      <c r="W282" s="304">
        <f t="shared" ca="1" si="120"/>
        <v>17.292432279713722</v>
      </c>
      <c r="Y282" s="314" t="str">
        <f t="shared" ca="1" si="138"/>
        <v/>
      </c>
      <c r="Z282" s="315" t="str">
        <f t="shared" ca="1" si="139"/>
        <v/>
      </c>
      <c r="AA282" s="316" t="str">
        <f t="shared" ca="1" si="140"/>
        <v/>
      </c>
      <c r="AC282" s="310" t="e">
        <f t="shared" ca="1" si="141"/>
        <v>#N/A</v>
      </c>
      <c r="AD282" s="323" t="e">
        <f t="shared" ca="1" si="142"/>
        <v>#N/A</v>
      </c>
      <c r="AE282" s="324" t="e">
        <f t="shared" ca="1" si="121"/>
        <v>#N/A</v>
      </c>
      <c r="AG282" s="306">
        <f t="shared" ca="1" si="143"/>
        <v>6.1274417591939194</v>
      </c>
      <c r="AH282" s="304">
        <f t="shared" ca="1" si="144"/>
        <v>-3.3413194291407522</v>
      </c>
    </row>
    <row r="283" spans="1:34" x14ac:dyDescent="0.2">
      <c r="A283" s="347">
        <f t="shared" ca="1" si="122"/>
        <v>0.1</v>
      </c>
      <c r="B283" s="304">
        <f t="shared" ca="1" si="123"/>
        <v>18.900000000000002</v>
      </c>
      <c r="D283" s="306">
        <f t="shared" ca="1" si="124"/>
        <v>-0.87763303129657344</v>
      </c>
      <c r="E283" s="307">
        <f t="shared" ca="1" si="125"/>
        <v>-6.5231393422874628</v>
      </c>
      <c r="F283" s="304">
        <f t="shared" ca="1" si="126"/>
        <v>6.5819135983786143</v>
      </c>
      <c r="G283" s="306">
        <f t="shared" ca="1" si="127"/>
        <v>18.262587754022203</v>
      </c>
      <c r="H283" s="307">
        <f t="shared" ca="1" si="128"/>
        <v>-69.376991326850941</v>
      </c>
      <c r="I283" s="304">
        <f t="shared" ca="1" si="129"/>
        <v>71.740428191078649</v>
      </c>
      <c r="J283" s="306">
        <f t="shared" ca="1" si="130"/>
        <v>606.74532151153119</v>
      </c>
      <c r="K283" s="307">
        <f t="shared" ca="1" si="131"/>
        <v>950.65727170045216</v>
      </c>
      <c r="L283" s="304">
        <f t="shared" ca="1" si="116"/>
        <v>1127.780622910803</v>
      </c>
      <c r="M283" s="306">
        <f t="shared" ca="1" si="132"/>
        <v>-1.3133986760429304</v>
      </c>
      <c r="N283" s="304">
        <f t="shared" ca="1" si="133"/>
        <v>-75.252200955329982</v>
      </c>
      <c r="P283" s="310">
        <f t="shared" ca="1" si="134"/>
        <v>23</v>
      </c>
      <c r="Q283" s="304">
        <f t="shared" ca="1" si="135"/>
        <v>0</v>
      </c>
      <c r="R283" s="306">
        <f t="shared" ca="1" si="136"/>
        <v>0</v>
      </c>
      <c r="S283" s="307">
        <f t="shared" ca="1" si="137"/>
        <v>5.083000000000002</v>
      </c>
      <c r="T283" s="304">
        <f t="shared" ca="1" si="117"/>
        <v>49.86423000000002</v>
      </c>
      <c r="U283" s="311">
        <f t="shared" ca="1" si="118"/>
        <v>0</v>
      </c>
      <c r="V283" s="306">
        <f t="shared" ca="1" si="119"/>
        <v>1.1138287710757313</v>
      </c>
      <c r="W283" s="304">
        <f t="shared" ca="1" si="120"/>
        <v>17.601504836511999</v>
      </c>
      <c r="Y283" s="314" t="str">
        <f t="shared" ca="1" si="138"/>
        <v/>
      </c>
      <c r="Z283" s="315" t="str">
        <f t="shared" ca="1" si="139"/>
        <v/>
      </c>
      <c r="AA283" s="316" t="str">
        <f t="shared" ca="1" si="140"/>
        <v/>
      </c>
      <c r="AC283" s="310" t="e">
        <f t="shared" ca="1" si="141"/>
        <v>#N/A</v>
      </c>
      <c r="AD283" s="323" t="e">
        <f t="shared" ca="1" si="142"/>
        <v>#N/A</v>
      </c>
      <c r="AE283" s="324" t="e">
        <f t="shared" ca="1" si="121"/>
        <v>#N/A</v>
      </c>
      <c r="AG283" s="306">
        <f t="shared" ca="1" si="143"/>
        <v>6.07593506885385</v>
      </c>
      <c r="AH283" s="304">
        <f t="shared" ca="1" si="144"/>
        <v>-3.4020130394872545</v>
      </c>
    </row>
    <row r="284" spans="1:34" x14ac:dyDescent="0.2">
      <c r="A284" s="347">
        <f t="shared" ca="1" si="122"/>
        <v>0.1</v>
      </c>
      <c r="B284" s="304">
        <f t="shared" ca="1" si="123"/>
        <v>19.000000000000004</v>
      </c>
      <c r="D284" s="306">
        <f t="shared" ca="1" si="124"/>
        <v>-0.88151161879182205</v>
      </c>
      <c r="E284" s="307">
        <f t="shared" ca="1" si="125"/>
        <v>-6.4612618718029573</v>
      </c>
      <c r="F284" s="304">
        <f t="shared" ca="1" si="126"/>
        <v>6.5211170599890043</v>
      </c>
      <c r="G284" s="306">
        <f t="shared" ca="1" si="127"/>
        <v>18.174436592143021</v>
      </c>
      <c r="H284" s="307">
        <f t="shared" ca="1" si="128"/>
        <v>-70.023117514031242</v>
      </c>
      <c r="I284" s="304">
        <f t="shared" ca="1" si="129"/>
        <v>72.343259062787979</v>
      </c>
      <c r="J284" s="306">
        <f t="shared" ca="1" si="130"/>
        <v>608.56717272883941</v>
      </c>
      <c r="K284" s="307">
        <f t="shared" ca="1" si="131"/>
        <v>943.68726625840804</v>
      </c>
      <c r="L284" s="304">
        <f t="shared" ca="1" si="116"/>
        <v>1122.8978850373887</v>
      </c>
      <c r="M284" s="306">
        <f t="shared" ca="1" si="132"/>
        <v>-1.3168506709903829</v>
      </c>
      <c r="N284" s="304">
        <f t="shared" ca="1" si="133"/>
        <v>-75.449985696719494</v>
      </c>
      <c r="P284" s="310">
        <f t="shared" ca="1" si="134"/>
        <v>23</v>
      </c>
      <c r="Q284" s="304">
        <f t="shared" ca="1" si="135"/>
        <v>0</v>
      </c>
      <c r="R284" s="306">
        <f t="shared" ca="1" si="136"/>
        <v>0</v>
      </c>
      <c r="S284" s="307">
        <f t="shared" ca="1" si="137"/>
        <v>5.083000000000002</v>
      </c>
      <c r="T284" s="304">
        <f t="shared" ca="1" si="117"/>
        <v>49.86423000000002</v>
      </c>
      <c r="U284" s="311">
        <f t="shared" ca="1" si="118"/>
        <v>0</v>
      </c>
      <c r="V284" s="306">
        <f t="shared" ca="1" si="119"/>
        <v>1.1146071272961602</v>
      </c>
      <c r="W284" s="304">
        <f t="shared" ca="1" si="120"/>
        <v>17.911064338541223</v>
      </c>
      <c r="Y284" s="314" t="str">
        <f t="shared" ca="1" si="138"/>
        <v/>
      </c>
      <c r="Z284" s="315" t="str">
        <f t="shared" ca="1" si="139"/>
        <v/>
      </c>
      <c r="AA284" s="316" t="str">
        <f t="shared" ca="1" si="140"/>
        <v/>
      </c>
      <c r="AC284" s="310">
        <f t="shared" ca="1" si="141"/>
        <v>19.000000000000004</v>
      </c>
      <c r="AD284" s="323">
        <f t="shared" ca="1" si="142"/>
        <v>608.56717272883941</v>
      </c>
      <c r="AE284" s="324" t="e">
        <f t="shared" ca="1" si="121"/>
        <v>#N/A</v>
      </c>
      <c r="AG284" s="306">
        <f t="shared" ca="1" si="143"/>
        <v>6.0239984126544819</v>
      </c>
      <c r="AH284" s="304">
        <f t="shared" ca="1" si="144"/>
        <v>-3.462818185424354</v>
      </c>
    </row>
    <row r="285" spans="1:34" x14ac:dyDescent="0.2">
      <c r="A285" s="347">
        <f t="shared" ca="1" si="122"/>
        <v>0.1</v>
      </c>
      <c r="B285" s="304">
        <f t="shared" ca="1" si="123"/>
        <v>19.100000000000005</v>
      </c>
      <c r="D285" s="306">
        <f t="shared" ca="1" si="124"/>
        <v>-0.88524640345287098</v>
      </c>
      <c r="E285" s="307">
        <f t="shared" ca="1" si="125"/>
        <v>-6.3992910834632557</v>
      </c>
      <c r="F285" s="304">
        <f t="shared" ca="1" si="126"/>
        <v>6.4602312315983372</v>
      </c>
      <c r="G285" s="306">
        <f t="shared" ca="1" si="127"/>
        <v>18.085911951797733</v>
      </c>
      <c r="H285" s="307">
        <f t="shared" ca="1" si="128"/>
        <v>-70.663046622377564</v>
      </c>
      <c r="I285" s="304">
        <f t="shared" ca="1" si="129"/>
        <v>72.940841570991523</v>
      </c>
      <c r="J285" s="306">
        <f t="shared" ca="1" si="130"/>
        <v>610.38019015603641</v>
      </c>
      <c r="K285" s="307">
        <f t="shared" ca="1" si="131"/>
        <v>936.65295805158758</v>
      </c>
      <c r="L285" s="304">
        <f t="shared" ca="1" si="116"/>
        <v>1117.9815474155682</v>
      </c>
      <c r="M285" s="306">
        <f t="shared" ca="1" si="132"/>
        <v>-1.3202294668297179</v>
      </c>
      <c r="N285" s="304">
        <f t="shared" ca="1" si="133"/>
        <v>-75.643576438149751</v>
      </c>
      <c r="P285" s="310">
        <f t="shared" ca="1" si="134"/>
        <v>23</v>
      </c>
      <c r="Q285" s="304">
        <f t="shared" ca="1" si="135"/>
        <v>0</v>
      </c>
      <c r="R285" s="306">
        <f t="shared" ca="1" si="136"/>
        <v>0</v>
      </c>
      <c r="S285" s="307">
        <f t="shared" ca="1" si="137"/>
        <v>5.083000000000002</v>
      </c>
      <c r="T285" s="304">
        <f t="shared" ca="1" si="117"/>
        <v>49.86423000000002</v>
      </c>
      <c r="U285" s="311">
        <f t="shared" ca="1" si="118"/>
        <v>0</v>
      </c>
      <c r="V285" s="306">
        <f t="shared" ca="1" si="119"/>
        <v>1.1153931897890164</v>
      </c>
      <c r="W285" s="304">
        <f t="shared" ca="1" si="120"/>
        <v>18.221031819178556</v>
      </c>
      <c r="Y285" s="314" t="str">
        <f t="shared" ca="1" si="138"/>
        <v/>
      </c>
      <c r="Z285" s="315" t="str">
        <f t="shared" ca="1" si="139"/>
        <v/>
      </c>
      <c r="AA285" s="316" t="str">
        <f t="shared" ca="1" si="140"/>
        <v/>
      </c>
      <c r="AC285" s="310" t="e">
        <f t="shared" ca="1" si="141"/>
        <v>#N/A</v>
      </c>
      <c r="AD285" s="323" t="e">
        <f t="shared" ca="1" si="142"/>
        <v>#N/A</v>
      </c>
      <c r="AE285" s="324" t="e">
        <f t="shared" ca="1" si="121"/>
        <v>#N/A</v>
      </c>
      <c r="AG285" s="306">
        <f t="shared" ca="1" si="143"/>
        <v>5.97166152745364</v>
      </c>
      <c r="AH285" s="304">
        <f t="shared" ca="1" si="144"/>
        <v>-3.5237191301477901</v>
      </c>
    </row>
    <row r="286" spans="1:34" x14ac:dyDescent="0.2">
      <c r="A286" s="347">
        <f t="shared" ca="1" si="122"/>
        <v>0.1</v>
      </c>
      <c r="B286" s="304">
        <f t="shared" ca="1" si="123"/>
        <v>19.200000000000006</v>
      </c>
      <c r="D286" s="306">
        <f t="shared" ca="1" si="124"/>
        <v>-0.88883776625402555</v>
      </c>
      <c r="E286" s="307">
        <f t="shared" ca="1" si="125"/>
        <v>-6.3372426027544044</v>
      </c>
      <c r="F286" s="304">
        <f t="shared" ca="1" si="126"/>
        <v>6.3992715508005178</v>
      </c>
      <c r="G286" s="306">
        <f t="shared" ca="1" si="127"/>
        <v>17.997028175172332</v>
      </c>
      <c r="H286" s="307">
        <f t="shared" ca="1" si="128"/>
        <v>-71.296770882653007</v>
      </c>
      <c r="I286" s="304">
        <f t="shared" ca="1" si="129"/>
        <v>73.533139205608947</v>
      </c>
      <c r="J286" s="306">
        <f t="shared" ca="1" si="130"/>
        <v>612.18433716238496</v>
      </c>
      <c r="K286" s="307">
        <f t="shared" ca="1" si="131"/>
        <v>929.55496717633605</v>
      </c>
      <c r="L286" s="304">
        <f t="shared" ca="1" si="116"/>
        <v>1113.0328385403316</v>
      </c>
      <c r="M286" s="306">
        <f t="shared" ca="1" si="132"/>
        <v>-1.3235373970145163</v>
      </c>
      <c r="N286" s="304">
        <f t="shared" ca="1" si="133"/>
        <v>-75.833106876662626</v>
      </c>
      <c r="P286" s="310">
        <f t="shared" ca="1" si="134"/>
        <v>23</v>
      </c>
      <c r="Q286" s="304">
        <f t="shared" ca="1" si="135"/>
        <v>0</v>
      </c>
      <c r="R286" s="306">
        <f t="shared" ca="1" si="136"/>
        <v>0</v>
      </c>
      <c r="S286" s="307">
        <f t="shared" ca="1" si="137"/>
        <v>5.083000000000002</v>
      </c>
      <c r="T286" s="304">
        <f t="shared" ca="1" si="117"/>
        <v>49.86423000000002</v>
      </c>
      <c r="U286" s="311">
        <f t="shared" ca="1" si="118"/>
        <v>0</v>
      </c>
      <c r="V286" s="306">
        <f t="shared" ca="1" si="119"/>
        <v>1.1161869042053849</v>
      </c>
      <c r="W286" s="304">
        <f t="shared" ca="1" si="120"/>
        <v>18.531329362464412</v>
      </c>
      <c r="Y286" s="314" t="str">
        <f t="shared" ca="1" si="138"/>
        <v/>
      </c>
      <c r="Z286" s="315" t="str">
        <f t="shared" ca="1" si="139"/>
        <v/>
      </c>
      <c r="AA286" s="316" t="str">
        <f t="shared" ca="1" si="140"/>
        <v/>
      </c>
      <c r="AC286" s="310" t="e">
        <f t="shared" ca="1" si="141"/>
        <v>#N/A</v>
      </c>
      <c r="AD286" s="323" t="e">
        <f t="shared" ca="1" si="142"/>
        <v>#N/A</v>
      </c>
      <c r="AE286" s="324" t="e">
        <f t="shared" ca="1" si="121"/>
        <v>#N/A</v>
      </c>
      <c r="AG286" s="306">
        <f t="shared" ca="1" si="143"/>
        <v>5.9189532039557484</v>
      </c>
      <c r="AH286" s="304">
        <f t="shared" ca="1" si="144"/>
        <v>-3.5847003382212375</v>
      </c>
    </row>
    <row r="287" spans="1:34" x14ac:dyDescent="0.2">
      <c r="A287" s="347">
        <f t="shared" ca="1" si="122"/>
        <v>0.1</v>
      </c>
      <c r="B287" s="304">
        <f t="shared" ca="1" si="123"/>
        <v>19.300000000000008</v>
      </c>
      <c r="D287" s="306">
        <f t="shared" ca="1" si="124"/>
        <v>-0.89228615621871754</v>
      </c>
      <c r="E287" s="307">
        <f t="shared" ca="1" si="125"/>
        <v>-6.2751318527438027</v>
      </c>
      <c r="F287" s="304">
        <f t="shared" ca="1" si="126"/>
        <v>6.3382532573177794</v>
      </c>
      <c r="G287" s="306">
        <f t="shared" ca="1" si="127"/>
        <v>17.907799559550462</v>
      </c>
      <c r="H287" s="307">
        <f t="shared" ca="1" si="128"/>
        <v>-71.924284067927388</v>
      </c>
      <c r="I287" s="304">
        <f t="shared" ca="1" si="129"/>
        <v>74.120118211919689</v>
      </c>
      <c r="J287" s="306">
        <f t="shared" ca="1" si="130"/>
        <v>613.97957854912113</v>
      </c>
      <c r="K287" s="307">
        <f t="shared" ca="1" si="131"/>
        <v>922.39391442880708</v>
      </c>
      <c r="L287" s="304">
        <f t="shared" ca="1" si="116"/>
        <v>1108.0530024555026</v>
      </c>
      <c r="M287" s="306">
        <f t="shared" ca="1" si="132"/>
        <v>-1.3267766983743057</v>
      </c>
      <c r="N287" s="304">
        <f t="shared" ca="1" si="133"/>
        <v>-76.018705173149542</v>
      </c>
      <c r="P287" s="310">
        <f t="shared" ca="1" si="134"/>
        <v>23</v>
      </c>
      <c r="Q287" s="304">
        <f t="shared" ca="1" si="135"/>
        <v>0</v>
      </c>
      <c r="R287" s="306">
        <f t="shared" ca="1" si="136"/>
        <v>0</v>
      </c>
      <c r="S287" s="307">
        <f t="shared" ca="1" si="137"/>
        <v>5.083000000000002</v>
      </c>
      <c r="T287" s="304">
        <f t="shared" ca="1" si="117"/>
        <v>49.86423000000002</v>
      </c>
      <c r="U287" s="311">
        <f t="shared" ca="1" si="118"/>
        <v>0</v>
      </c>
      <c r="V287" s="306">
        <f t="shared" ca="1" si="119"/>
        <v>1.1169882160906981</v>
      </c>
      <c r="W287" s="304">
        <f t="shared" ca="1" si="120"/>
        <v>18.841880128838842</v>
      </c>
      <c r="Y287" s="314" t="str">
        <f t="shared" ca="1" si="138"/>
        <v/>
      </c>
      <c r="Z287" s="315" t="str">
        <f t="shared" ca="1" si="139"/>
        <v/>
      </c>
      <c r="AA287" s="316" t="str">
        <f t="shared" ca="1" si="140"/>
        <v/>
      </c>
      <c r="AC287" s="310" t="e">
        <f t="shared" ca="1" si="141"/>
        <v>#N/A</v>
      </c>
      <c r="AD287" s="323" t="e">
        <f t="shared" ca="1" si="142"/>
        <v>#N/A</v>
      </c>
      <c r="AE287" s="324" t="e">
        <f t="shared" ca="1" si="121"/>
        <v>#N/A</v>
      </c>
      <c r="AG287" s="306">
        <f t="shared" ca="1" si="143"/>
        <v>5.8659013273409482</v>
      </c>
      <c r="AH287" s="304">
        <f t="shared" ca="1" si="144"/>
        <v>-3.6457464809097786</v>
      </c>
    </row>
    <row r="288" spans="1:34" x14ac:dyDescent="0.2">
      <c r="A288" s="347">
        <f t="shared" ca="1" si="122"/>
        <v>0.1</v>
      </c>
      <c r="B288" s="304">
        <f t="shared" ca="1" si="123"/>
        <v>19.400000000000009</v>
      </c>
      <c r="D288" s="306">
        <f t="shared" ca="1" si="124"/>
        <v>-0.89559208805931834</v>
      </c>
      <c r="E288" s="307">
        <f t="shared" ca="1" si="125"/>
        <v>-6.2129740484663056</v>
      </c>
      <c r="F288" s="304">
        <f t="shared" ca="1" si="126"/>
        <v>6.2771913874845522</v>
      </c>
      <c r="G288" s="306">
        <f t="shared" ca="1" si="127"/>
        <v>17.818240350744531</v>
      </c>
      <c r="H288" s="307">
        <f t="shared" ca="1" si="128"/>
        <v>-72.545581472774018</v>
      </c>
      <c r="I288" s="304">
        <f t="shared" ca="1" si="129"/>
        <v>74.701747505796632</v>
      </c>
      <c r="J288" s="306">
        <f t="shared" ca="1" si="130"/>
        <v>615.76588054463593</v>
      </c>
      <c r="K288" s="307">
        <f t="shared" ca="1" si="131"/>
        <v>915.17042115177196</v>
      </c>
      <c r="L288" s="304">
        <f t="shared" ca="1" si="116"/>
        <v>1103.0432989661024</v>
      </c>
      <c r="M288" s="306">
        <f t="shared" ca="1" si="132"/>
        <v>-1.3299495159018551</v>
      </c>
      <c r="N288" s="304">
        <f t="shared" ca="1" si="133"/>
        <v>-76.200494226643258</v>
      </c>
      <c r="P288" s="310">
        <f t="shared" ca="1" si="134"/>
        <v>23</v>
      </c>
      <c r="Q288" s="304">
        <f t="shared" ca="1" si="135"/>
        <v>0</v>
      </c>
      <c r="R288" s="306">
        <f t="shared" ca="1" si="136"/>
        <v>0</v>
      </c>
      <c r="S288" s="307">
        <f t="shared" ca="1" si="137"/>
        <v>5.083000000000002</v>
      </c>
      <c r="T288" s="304">
        <f t="shared" ca="1" si="117"/>
        <v>49.86423000000002</v>
      </c>
      <c r="U288" s="311">
        <f t="shared" ca="1" si="118"/>
        <v>0</v>
      </c>
      <c r="V288" s="306">
        <f t="shared" ca="1" si="119"/>
        <v>1.1177970708976721</v>
      </c>
      <c r="W288" s="304">
        <f t="shared" ca="1" si="120"/>
        <v>19.152608379508301</v>
      </c>
      <c r="Y288" s="314" t="str">
        <f t="shared" ca="1" si="138"/>
        <v/>
      </c>
      <c r="Z288" s="315" t="str">
        <f t="shared" ca="1" si="139"/>
        <v/>
      </c>
      <c r="AA288" s="316" t="str">
        <f t="shared" ca="1" si="140"/>
        <v/>
      </c>
      <c r="AC288" s="310" t="e">
        <f t="shared" ca="1" si="141"/>
        <v>#N/A</v>
      </c>
      <c r="AD288" s="323" t="e">
        <f t="shared" ca="1" si="142"/>
        <v>#N/A</v>
      </c>
      <c r="AE288" s="324" t="e">
        <f t="shared" ca="1" si="121"/>
        <v>#N/A</v>
      </c>
      <c r="AG288" s="306">
        <f t="shared" ca="1" si="143"/>
        <v>5.8125329149729037</v>
      </c>
      <c r="AH288" s="304">
        <f t="shared" ca="1" si="144"/>
        <v>-3.7068424412431309</v>
      </c>
    </row>
    <row r="289" spans="1:34" x14ac:dyDescent="0.2">
      <c r="A289" s="347">
        <f t="shared" ca="1" si="122"/>
        <v>0.1</v>
      </c>
      <c r="B289" s="304">
        <f t="shared" ca="1" si="123"/>
        <v>19.500000000000011</v>
      </c>
      <c r="D289" s="306">
        <f t="shared" ca="1" si="124"/>
        <v>-0.89875613986846936</v>
      </c>
      <c r="E289" s="307">
        <f t="shared" ca="1" si="125"/>
        <v>-6.1507841916185892</v>
      </c>
      <c r="F289" s="304">
        <f t="shared" ca="1" si="126"/>
        <v>6.2161007690365198</v>
      </c>
      <c r="G289" s="306">
        <f t="shared" ca="1" si="127"/>
        <v>17.728364736757683</v>
      </c>
      <c r="H289" s="307">
        <f t="shared" ca="1" si="128"/>
        <v>-73.160659891935879</v>
      </c>
      <c r="I289" s="304">
        <f t="shared" ca="1" si="129"/>
        <v>75.277998592304698</v>
      </c>
      <c r="J289" s="306">
        <f t="shared" ca="1" si="130"/>
        <v>617.54321079901104</v>
      </c>
      <c r="K289" s="307">
        <f t="shared" ca="1" si="131"/>
        <v>907.88510908353646</v>
      </c>
      <c r="L289" s="304">
        <f t="shared" ca="1" si="116"/>
        <v>1098.0050038590794</v>
      </c>
      <c r="M289" s="306">
        <f t="shared" ca="1" si="132"/>
        <v>-1.3330579072689701</v>
      </c>
      <c r="N289" s="304">
        <f t="shared" ca="1" si="133"/>
        <v>-76.378591933053855</v>
      </c>
      <c r="P289" s="310">
        <f t="shared" ca="1" si="134"/>
        <v>23</v>
      </c>
      <c r="Q289" s="304">
        <f t="shared" ca="1" si="135"/>
        <v>0</v>
      </c>
      <c r="R289" s="306">
        <f t="shared" ca="1" si="136"/>
        <v>0</v>
      </c>
      <c r="S289" s="307">
        <f t="shared" ca="1" si="137"/>
        <v>5.083000000000002</v>
      </c>
      <c r="T289" s="304">
        <f t="shared" ca="1" si="117"/>
        <v>49.86423000000002</v>
      </c>
      <c r="U289" s="311">
        <f t="shared" ca="1" si="118"/>
        <v>0</v>
      </c>
      <c r="V289" s="306">
        <f t="shared" ca="1" si="119"/>
        <v>1.1186134139990898</v>
      </c>
      <c r="W289" s="304">
        <f t="shared" ca="1" si="120"/>
        <v>19.463439499448409</v>
      </c>
      <c r="Y289" s="314" t="str">
        <f t="shared" ca="1" si="138"/>
        <v/>
      </c>
      <c r="Z289" s="315" t="str">
        <f t="shared" ca="1" si="139"/>
        <v/>
      </c>
      <c r="AA289" s="316" t="str">
        <f t="shared" ca="1" si="140"/>
        <v/>
      </c>
      <c r="AC289" s="310" t="e">
        <f t="shared" ca="1" si="141"/>
        <v>#N/A</v>
      </c>
      <c r="AD289" s="323" t="e">
        <f t="shared" ca="1" si="142"/>
        <v>#N/A</v>
      </c>
      <c r="AE289" s="324" t="e">
        <f t="shared" ca="1" si="121"/>
        <v>#N/A</v>
      </c>
      <c r="AG289" s="306">
        <f t="shared" ca="1" si="143"/>
        <v>5.758874151427996</v>
      </c>
      <c r="AH289" s="304">
        <f t="shared" ca="1" si="144"/>
        <v>-3.7679733188094224</v>
      </c>
    </row>
    <row r="290" spans="1:34" x14ac:dyDescent="0.2">
      <c r="A290" s="347">
        <f t="shared" ca="1" si="122"/>
        <v>0.1</v>
      </c>
      <c r="B290" s="304">
        <f t="shared" ca="1" si="123"/>
        <v>19.600000000000012</v>
      </c>
      <c r="D290" s="306">
        <f t="shared" ca="1" si="124"/>
        <v>-0.90177895085931836</v>
      </c>
      <c r="E290" s="307">
        <f t="shared" ca="1" si="125"/>
        <v>-6.0885770655578586</v>
      </c>
      <c r="F290" s="304">
        <f t="shared" ca="1" si="126"/>
        <v>6.1549960162009913</v>
      </c>
      <c r="G290" s="306">
        <f t="shared" ca="1" si="127"/>
        <v>17.63818684167175</v>
      </c>
      <c r="H290" s="307">
        <f t="shared" ca="1" si="128"/>
        <v>-73.76951759849166</v>
      </c>
      <c r="I290" s="304">
        <f t="shared" ca="1" si="129"/>
        <v>75.848845487429102</v>
      </c>
      <c r="J290" s="306">
        <f t="shared" ca="1" si="130"/>
        <v>619.31153837793249</v>
      </c>
      <c r="K290" s="307">
        <f t="shared" ca="1" si="131"/>
        <v>900.53860020901504</v>
      </c>
      <c r="L290" s="304">
        <f t="shared" ca="1" si="116"/>
        <v>1092.9394091322965</v>
      </c>
      <c r="M290" s="306">
        <f t="shared" ca="1" si="132"/>
        <v>-1.3361038470878004</v>
      </c>
      <c r="N290" s="304">
        <f t="shared" ca="1" si="133"/>
        <v>-76.553111429323664</v>
      </c>
      <c r="P290" s="310">
        <f t="shared" ca="1" si="134"/>
        <v>23</v>
      </c>
      <c r="Q290" s="304">
        <f t="shared" ca="1" si="135"/>
        <v>0</v>
      </c>
      <c r="R290" s="306">
        <f t="shared" ca="1" si="136"/>
        <v>0</v>
      </c>
      <c r="S290" s="307">
        <f t="shared" ca="1" si="137"/>
        <v>5.083000000000002</v>
      </c>
      <c r="T290" s="304">
        <f t="shared" ca="1" si="117"/>
        <v>49.86423000000002</v>
      </c>
      <c r="U290" s="311">
        <f t="shared" ca="1" si="118"/>
        <v>0</v>
      </c>
      <c r="V290" s="306">
        <f t="shared" ca="1" si="119"/>
        <v>1.1194371907004337</v>
      </c>
      <c r="W290" s="304">
        <f t="shared" ca="1" si="120"/>
        <v>19.774300019050241</v>
      </c>
      <c r="Y290" s="314" t="str">
        <f t="shared" ca="1" si="138"/>
        <v/>
      </c>
      <c r="Z290" s="315" t="str">
        <f t="shared" ca="1" si="139"/>
        <v/>
      </c>
      <c r="AA290" s="316" t="str">
        <f t="shared" ca="1" si="140"/>
        <v/>
      </c>
      <c r="AC290" s="310" t="e">
        <f t="shared" ca="1" si="141"/>
        <v>#N/A</v>
      </c>
      <c r="AD290" s="323" t="e">
        <f t="shared" ca="1" si="142"/>
        <v>#N/A</v>
      </c>
      <c r="AE290" s="324" t="e">
        <f t="shared" ca="1" si="121"/>
        <v>#N/A</v>
      </c>
      <c r="AG290" s="306">
        <f t="shared" ca="1" si="143"/>
        <v>5.7049504210683946</v>
      </c>
      <c r="AH290" s="304">
        <f t="shared" ca="1" si="144"/>
        <v>-3.8291244342806219</v>
      </c>
    </row>
    <row r="291" spans="1:34" x14ac:dyDescent="0.2">
      <c r="A291" s="347">
        <f t="shared" ca="1" si="122"/>
        <v>0.1</v>
      </c>
      <c r="B291" s="304">
        <f t="shared" ca="1" si="123"/>
        <v>19.700000000000014</v>
      </c>
      <c r="D291" s="306">
        <f t="shared" ca="1" si="124"/>
        <v>-0.90466121915239117</v>
      </c>
      <c r="E291" s="307">
        <f t="shared" ca="1" si="125"/>
        <v>-6.0263672306007887</v>
      </c>
      <c r="F291" s="304">
        <f t="shared" ca="1" si="126"/>
        <v>6.0938915250845511</v>
      </c>
      <c r="G291" s="306">
        <f t="shared" ca="1" si="127"/>
        <v>17.547720719756512</v>
      </c>
      <c r="H291" s="307">
        <f t="shared" ca="1" si="128"/>
        <v>-74.372154321551733</v>
      </c>
      <c r="I291" s="304">
        <f t="shared" ca="1" si="129"/>
        <v>76.414264642717583</v>
      </c>
      <c r="J291" s="306">
        <f t="shared" ca="1" si="130"/>
        <v>621.07083375600394</v>
      </c>
      <c r="K291" s="307">
        <f t="shared" ca="1" si="131"/>
        <v>893.13151661301288</v>
      </c>
      <c r="L291" s="304">
        <f t="shared" ca="1" si="116"/>
        <v>1087.8478232316495</v>
      </c>
      <c r="M291" s="306">
        <f t="shared" ca="1" si="132"/>
        <v>-1.3390892309335485</v>
      </c>
      <c r="N291" s="304">
        <f t="shared" ca="1" si="133"/>
        <v>-76.724161323911574</v>
      </c>
      <c r="P291" s="310">
        <f t="shared" ca="1" si="134"/>
        <v>23</v>
      </c>
      <c r="Q291" s="304">
        <f t="shared" ca="1" si="135"/>
        <v>0</v>
      </c>
      <c r="R291" s="306">
        <f t="shared" ca="1" si="136"/>
        <v>0</v>
      </c>
      <c r="S291" s="307">
        <f t="shared" ca="1" si="137"/>
        <v>5.083000000000002</v>
      </c>
      <c r="T291" s="304">
        <f t="shared" ca="1" si="117"/>
        <v>49.86423000000002</v>
      </c>
      <c r="U291" s="311">
        <f t="shared" ca="1" si="118"/>
        <v>0</v>
      </c>
      <c r="V291" s="306">
        <f t="shared" ca="1" si="119"/>
        <v>1.1202683462523573</v>
      </c>
      <c r="W291" s="304">
        <f t="shared" ca="1" si="120"/>
        <v>20.085117634419078</v>
      </c>
      <c r="Y291" s="314" t="str">
        <f t="shared" ca="1" si="138"/>
        <v/>
      </c>
      <c r="Z291" s="315" t="str">
        <f t="shared" ca="1" si="139"/>
        <v/>
      </c>
      <c r="AA291" s="316" t="str">
        <f t="shared" ca="1" si="140"/>
        <v/>
      </c>
      <c r="AC291" s="310" t="e">
        <f t="shared" ca="1" si="141"/>
        <v>#N/A</v>
      </c>
      <c r="AD291" s="323" t="e">
        <f t="shared" ca="1" si="142"/>
        <v>#N/A</v>
      </c>
      <c r="AE291" s="324" t="e">
        <f t="shared" ca="1" si="121"/>
        <v>#N/A</v>
      </c>
      <c r="AG291" s="306">
        <f t="shared" ca="1" si="143"/>
        <v>5.6507863383627814</v>
      </c>
      <c r="AH291" s="304">
        <f t="shared" ca="1" si="144"/>
        <v>-3.8902813336711062</v>
      </c>
    </row>
    <row r="292" spans="1:34" x14ac:dyDescent="0.2">
      <c r="A292" s="347">
        <f t="shared" ca="1" si="122"/>
        <v>0.1</v>
      </c>
      <c r="B292" s="304">
        <f t="shared" ca="1" si="123"/>
        <v>19.800000000000015</v>
      </c>
      <c r="D292" s="306">
        <f t="shared" ca="1" si="124"/>
        <v>-0.90740369960702094</v>
      </c>
      <c r="E292" s="307">
        <f t="shared" ca="1" si="125"/>
        <v>-5.9641690196185912</v>
      </c>
      <c r="F292" s="304">
        <f t="shared" ca="1" si="126"/>
        <v>6.0328014693539105</v>
      </c>
      <c r="G292" s="306">
        <f t="shared" ca="1" si="127"/>
        <v>17.45698034979581</v>
      </c>
      <c r="H292" s="307">
        <f t="shared" ca="1" si="128"/>
        <v>-74.968571223513592</v>
      </c>
      <c r="I292" s="304">
        <f t="shared" ca="1" si="129"/>
        <v>76.974234872638959</v>
      </c>
      <c r="J292" s="306">
        <f t="shared" ca="1" si="130"/>
        <v>622.82106880948152</v>
      </c>
      <c r="K292" s="307">
        <f t="shared" ca="1" si="131"/>
        <v>885.66448033575966</v>
      </c>
      <c r="L292" s="304">
        <f t="shared" ca="1" si="116"/>
        <v>1082.7315712961345</v>
      </c>
      <c r="M292" s="306">
        <f t="shared" ca="1" si="132"/>
        <v>-1.3420158791433927</v>
      </c>
      <c r="N292" s="304">
        <f t="shared" ca="1" si="133"/>
        <v>-76.89184591445516</v>
      </c>
      <c r="P292" s="310">
        <f t="shared" ca="1" si="134"/>
        <v>23</v>
      </c>
      <c r="Q292" s="304">
        <f t="shared" ca="1" si="135"/>
        <v>0</v>
      </c>
      <c r="R292" s="306">
        <f t="shared" ca="1" si="136"/>
        <v>0</v>
      </c>
      <c r="S292" s="307">
        <f t="shared" ca="1" si="137"/>
        <v>5.083000000000002</v>
      </c>
      <c r="T292" s="304">
        <f t="shared" ca="1" si="117"/>
        <v>49.86423000000002</v>
      </c>
      <c r="U292" s="311">
        <f t="shared" ca="1" si="118"/>
        <v>0</v>
      </c>
      <c r="V292" s="306">
        <f t="shared" ca="1" si="119"/>
        <v>1.1211068258629937</v>
      </c>
      <c r="W292" s="304">
        <f t="shared" ca="1" si="120"/>
        <v>20.395821226336526</v>
      </c>
      <c r="Y292" s="314" t="str">
        <f t="shared" ca="1" si="138"/>
        <v/>
      </c>
      <c r="Z292" s="315" t="str">
        <f t="shared" ca="1" si="139"/>
        <v/>
      </c>
      <c r="AA292" s="316" t="str">
        <f t="shared" ca="1" si="140"/>
        <v/>
      </c>
      <c r="AC292" s="310" t="e">
        <f t="shared" ca="1" si="141"/>
        <v>#N/A</v>
      </c>
      <c r="AD292" s="323" t="e">
        <f t="shared" ca="1" si="142"/>
        <v>#N/A</v>
      </c>
      <c r="AE292" s="324" t="e">
        <f t="shared" ca="1" si="121"/>
        <v>#N/A</v>
      </c>
      <c r="AG292" s="306">
        <f t="shared" ca="1" si="143"/>
        <v>5.5964057761415535</v>
      </c>
      <c r="AH292" s="304">
        <f t="shared" ca="1" si="144"/>
        <v>-3.9514297923311172</v>
      </c>
    </row>
    <row r="293" spans="1:34" x14ac:dyDescent="0.2">
      <c r="A293" s="347">
        <f t="shared" ca="1" si="122"/>
        <v>0.1</v>
      </c>
      <c r="B293" s="304">
        <f t="shared" ca="1" si="123"/>
        <v>19.900000000000016</v>
      </c>
      <c r="D293" s="306">
        <f t="shared" ca="1" si="124"/>
        <v>-0.91000720169557037</v>
      </c>
      <c r="E293" s="307">
        <f t="shared" ca="1" si="125"/>
        <v>-5.9019965339238833</v>
      </c>
      <c r="F293" s="304">
        <f t="shared" ca="1" si="126"/>
        <v>5.9717397962057364</v>
      </c>
      <c r="G293" s="306">
        <f t="shared" ca="1" si="127"/>
        <v>17.365979629626253</v>
      </c>
      <c r="H293" s="307">
        <f t="shared" ca="1" si="128"/>
        <v>-75.558770876905982</v>
      </c>
      <c r="I293" s="304">
        <f t="shared" ca="1" si="129"/>
        <v>77.528737284476449</v>
      </c>
      <c r="J293" s="306">
        <f t="shared" ca="1" si="130"/>
        <v>624.5622168084526</v>
      </c>
      <c r="K293" s="307">
        <f t="shared" ca="1" si="131"/>
        <v>878.13811323073867</v>
      </c>
      <c r="L293" s="304">
        <f t="shared" ca="1" si="116"/>
        <v>1077.5919954106612</v>
      </c>
      <c r="M293" s="306">
        <f t="shared" ca="1" si="132"/>
        <v>-1.3448855404054598</v>
      </c>
      <c r="N293" s="304">
        <f t="shared" ca="1" si="133"/>
        <v>-77.056265393403791</v>
      </c>
      <c r="P293" s="310">
        <f t="shared" ca="1" si="134"/>
        <v>23</v>
      </c>
      <c r="Q293" s="304">
        <f t="shared" ca="1" si="135"/>
        <v>0</v>
      </c>
      <c r="R293" s="306">
        <f t="shared" ca="1" si="136"/>
        <v>0</v>
      </c>
      <c r="S293" s="307">
        <f t="shared" ca="1" si="137"/>
        <v>5.083000000000002</v>
      </c>
      <c r="T293" s="304">
        <f t="shared" ca="1" si="117"/>
        <v>49.86423000000002</v>
      </c>
      <c r="U293" s="311">
        <f t="shared" ca="1" si="118"/>
        <v>0</v>
      </c>
      <c r="V293" s="306">
        <f t="shared" ca="1" si="119"/>
        <v>1.1219525747101022</v>
      </c>
      <c r="W293" s="304">
        <f t="shared" ca="1" si="120"/>
        <v>20.70634087789804</v>
      </c>
      <c r="Y293" s="314" t="str">
        <f t="shared" ca="1" si="138"/>
        <v/>
      </c>
      <c r="Z293" s="315" t="str">
        <f t="shared" ca="1" si="139"/>
        <v/>
      </c>
      <c r="AA293" s="316" t="str">
        <f t="shared" ca="1" si="140"/>
        <v/>
      </c>
      <c r="AC293" s="310" t="e">
        <f t="shared" ca="1" si="141"/>
        <v>#N/A</v>
      </c>
      <c r="AD293" s="323" t="e">
        <f t="shared" ca="1" si="142"/>
        <v>#N/A</v>
      </c>
      <c r="AE293" s="324" t="e">
        <f t="shared" ca="1" si="121"/>
        <v>#N/A</v>
      </c>
      <c r="AG293" s="306">
        <f t="shared" ca="1" si="143"/>
        <v>5.5418318919576697</v>
      </c>
      <c r="AH293" s="304">
        <f t="shared" ca="1" si="144"/>
        <v>-4.012555818677261</v>
      </c>
    </row>
    <row r="294" spans="1:34" x14ac:dyDescent="0.2">
      <c r="A294" s="347">
        <f t="shared" ca="1" si="122"/>
        <v>0.1</v>
      </c>
      <c r="B294" s="304">
        <f t="shared" ca="1" si="123"/>
        <v>20.000000000000018</v>
      </c>
      <c r="D294" s="306">
        <f t="shared" ca="1" si="124"/>
        <v>-0.91247258741882942</v>
      </c>
      <c r="E294" s="307">
        <f t="shared" ca="1" si="125"/>
        <v>-5.8398636394449879</v>
      </c>
      <c r="F294" s="304">
        <f t="shared" ca="1" si="126"/>
        <v>5.9107202226211379</v>
      </c>
      <c r="G294" s="306">
        <f t="shared" ca="1" si="127"/>
        <v>17.274732370884369</v>
      </c>
      <c r="H294" s="307">
        <f t="shared" ca="1" si="128"/>
        <v>-76.142757240850486</v>
      </c>
      <c r="I294" s="304">
        <f t="shared" ca="1" si="129"/>
        <v>78.077755210589714</v>
      </c>
      <c r="J294" s="306">
        <f t="shared" ca="1" si="130"/>
        <v>626.29425240847809</v>
      </c>
      <c r="K294" s="307">
        <f t="shared" ca="1" si="131"/>
        <v>870.55303682485089</v>
      </c>
      <c r="L294" s="304">
        <f t="shared" ca="1" si="116"/>
        <v>1072.4304548663586</v>
      </c>
      <c r="M294" s="306">
        <f t="shared" ca="1" si="132"/>
        <v>-1.3476998951507542</v>
      </c>
      <c r="N294" s="304">
        <f t="shared" ca="1" si="133"/>
        <v>-77.21751604236178</v>
      </c>
      <c r="P294" s="310">
        <f t="shared" ca="1" si="134"/>
        <v>23</v>
      </c>
      <c r="Q294" s="304">
        <f t="shared" ca="1" si="135"/>
        <v>0</v>
      </c>
      <c r="R294" s="306">
        <f t="shared" ca="1" si="136"/>
        <v>0</v>
      </c>
      <c r="S294" s="307">
        <f t="shared" ca="1" si="137"/>
        <v>5.083000000000002</v>
      </c>
      <c r="T294" s="304">
        <f t="shared" ca="1" si="117"/>
        <v>49.86423000000002</v>
      </c>
      <c r="U294" s="311">
        <f t="shared" ca="1" si="118"/>
        <v>0</v>
      </c>
      <c r="V294" s="306">
        <f t="shared" ca="1" si="119"/>
        <v>1.1228055379530391</v>
      </c>
      <c r="W294" s="304">
        <f t="shared" ca="1" si="120"/>
        <v>21.016607890839584</v>
      </c>
      <c r="Y294" s="314" t="str">
        <f t="shared" ca="1" si="138"/>
        <v/>
      </c>
      <c r="Z294" s="315" t="str">
        <f t="shared" ca="1" si="139"/>
        <v/>
      </c>
      <c r="AA294" s="316" t="str">
        <f t="shared" ca="1" si="140"/>
        <v/>
      </c>
      <c r="AC294" s="310">
        <f t="shared" ca="1" si="141"/>
        <v>20.000000000000018</v>
      </c>
      <c r="AD294" s="323">
        <f t="shared" ca="1" si="142"/>
        <v>626.29425240847809</v>
      </c>
      <c r="AE294" s="324" t="e">
        <f t="shared" ca="1" si="121"/>
        <v>#N/A</v>
      </c>
      <c r="AG294" s="306">
        <f t="shared" ca="1" si="143"/>
        <v>5.4870871527101386</v>
      </c>
      <c r="AH294" s="304">
        <f t="shared" ca="1" si="144"/>
        <v>-4.0736456576624107</v>
      </c>
    </row>
    <row r="295" spans="1:34" x14ac:dyDescent="0.2">
      <c r="A295" s="347">
        <f t="shared" ca="1" si="122"/>
        <v>0.1</v>
      </c>
      <c r="B295" s="304">
        <f t="shared" ca="1" si="123"/>
        <v>20.100000000000019</v>
      </c>
      <c r="D295" s="306">
        <f t="shared" ca="1" si="124"/>
        <v>-0.91480076926120368</v>
      </c>
      <c r="E295" s="307">
        <f t="shared" ca="1" si="125"/>
        <v>-5.7777839631831522</v>
      </c>
      <c r="F295" s="304">
        <f t="shared" ca="1" si="126"/>
        <v>5.8497562319003773</v>
      </c>
      <c r="G295" s="306">
        <f t="shared" ca="1" si="127"/>
        <v>17.183252293958247</v>
      </c>
      <c r="H295" s="307">
        <f t="shared" ca="1" si="128"/>
        <v>-76.720535637168794</v>
      </c>
      <c r="I295" s="304">
        <f t="shared" ca="1" si="129"/>
        <v>78.62127414289283</v>
      </c>
      <c r="J295" s="306">
        <f t="shared" ca="1" si="130"/>
        <v>628.01715164172026</v>
      </c>
      <c r="K295" s="307">
        <f t="shared" ca="1" si="131"/>
        <v>862.90987218094995</v>
      </c>
      <c r="L295" s="304">
        <f t="shared" ca="1" si="116"/>
        <v>1067.2483264280731</v>
      </c>
      <c r="M295" s="306">
        <f t="shared" ca="1" si="132"/>
        <v>-1.3504605587600969</v>
      </c>
      <c r="N295" s="304">
        <f t="shared" ca="1" si="133"/>
        <v>-77.375690415832466</v>
      </c>
      <c r="P295" s="310">
        <f t="shared" ca="1" si="134"/>
        <v>23</v>
      </c>
      <c r="Q295" s="304">
        <f t="shared" ca="1" si="135"/>
        <v>0</v>
      </c>
      <c r="R295" s="306">
        <f t="shared" ca="1" si="136"/>
        <v>0</v>
      </c>
      <c r="S295" s="307">
        <f t="shared" ca="1" si="137"/>
        <v>5.083000000000002</v>
      </c>
      <c r="T295" s="304">
        <f t="shared" ca="1" si="117"/>
        <v>49.86423000000002</v>
      </c>
      <c r="U295" s="311">
        <f t="shared" ca="1" si="118"/>
        <v>0</v>
      </c>
      <c r="V295" s="306">
        <f t="shared" ca="1" si="119"/>
        <v>1.1236656607445565</v>
      </c>
      <c r="W295" s="304">
        <f t="shared" ca="1" si="120"/>
        <v>21.326554800568413</v>
      </c>
      <c r="Y295" s="314" t="str">
        <f t="shared" ca="1" si="138"/>
        <v/>
      </c>
      <c r="Z295" s="315" t="str">
        <f t="shared" ca="1" si="139"/>
        <v/>
      </c>
      <c r="AA295" s="316" t="str">
        <f t="shared" ca="1" si="140"/>
        <v/>
      </c>
      <c r="AC295" s="310" t="e">
        <f t="shared" ca="1" si="141"/>
        <v>#N/A</v>
      </c>
      <c r="AD295" s="323" t="e">
        <f t="shared" ca="1" si="142"/>
        <v>#N/A</v>
      </c>
      <c r="AE295" s="324" t="e">
        <f t="shared" ca="1" si="121"/>
        <v>#N/A</v>
      </c>
      <c r="AG295" s="306">
        <f t="shared" ca="1" si="143"/>
        <v>5.432193357674068</v>
      </c>
      <c r="AH295" s="304">
        <f t="shared" ca="1" si="144"/>
        <v>-4.1346857939877193</v>
      </c>
    </row>
    <row r="296" spans="1:34" x14ac:dyDescent="0.2">
      <c r="A296" s="347">
        <f t="shared" ca="1" si="122"/>
        <v>0.1</v>
      </c>
      <c r="B296" s="304">
        <f t="shared" ca="1" si="123"/>
        <v>20.200000000000021</v>
      </c>
      <c r="D296" s="306">
        <f t="shared" ca="1" si="124"/>
        <v>-0.91699270818447176</v>
      </c>
      <c r="E296" s="307">
        <f t="shared" ca="1" si="125"/>
        <v>-5.7157708899480575</v>
      </c>
      <c r="F296" s="304">
        <f t="shared" ca="1" si="126"/>
        <v>5.7888610704732848</v>
      </c>
      <c r="G296" s="306">
        <f t="shared" ca="1" si="127"/>
        <v>17.091553023139799</v>
      </c>
      <c r="H296" s="307">
        <f t="shared" ca="1" si="128"/>
        <v>-77.292112726163595</v>
      </c>
      <c r="I296" s="304">
        <f t="shared" ca="1" si="129"/>
        <v>79.159281669408671</v>
      </c>
      <c r="J296" s="306">
        <f t="shared" ca="1" si="130"/>
        <v>629.73089190757514</v>
      </c>
      <c r="K296" s="307">
        <f t="shared" ca="1" si="131"/>
        <v>855.20923976278334</v>
      </c>
      <c r="L296" s="304">
        <f t="shared" ca="1" si="116"/>
        <v>1062.0470046087169</v>
      </c>
      <c r="M296" s="306">
        <f t="shared" ca="1" si="132"/>
        <v>-1.353169084597333</v>
      </c>
      <c r="N296" s="304">
        <f t="shared" ca="1" si="133"/>
        <v>-77.530877515008228</v>
      </c>
      <c r="P296" s="310">
        <f t="shared" ca="1" si="134"/>
        <v>23</v>
      </c>
      <c r="Q296" s="304">
        <f t="shared" ca="1" si="135"/>
        <v>0</v>
      </c>
      <c r="R296" s="306">
        <f t="shared" ca="1" si="136"/>
        <v>0</v>
      </c>
      <c r="S296" s="307">
        <f t="shared" ca="1" si="137"/>
        <v>5.083000000000002</v>
      </c>
      <c r="T296" s="304">
        <f t="shared" ca="1" si="117"/>
        <v>49.86423000000002</v>
      </c>
      <c r="U296" s="311">
        <f t="shared" ca="1" si="118"/>
        <v>0</v>
      </c>
      <c r="V296" s="306">
        <f t="shared" ca="1" si="119"/>
        <v>1.124532888242427</v>
      </c>
      <c r="W296" s="304">
        <f t="shared" ca="1" si="120"/>
        <v>21.636115389914544</v>
      </c>
      <c r="Y296" s="314" t="str">
        <f t="shared" ca="1" si="138"/>
        <v/>
      </c>
      <c r="Z296" s="315" t="str">
        <f t="shared" ca="1" si="139"/>
        <v/>
      </c>
      <c r="AA296" s="316" t="str">
        <f t="shared" ca="1" si="140"/>
        <v/>
      </c>
      <c r="AC296" s="310" t="e">
        <f t="shared" ca="1" si="141"/>
        <v>#N/A</v>
      </c>
      <c r="AD296" s="323" t="e">
        <f t="shared" ca="1" si="142"/>
        <v>#N/A</v>
      </c>
      <c r="AE296" s="324" t="e">
        <f t="shared" ca="1" si="121"/>
        <v>#N/A</v>
      </c>
      <c r="AG296" s="306">
        <f t="shared" ca="1" si="143"/>
        <v>5.3771716600692443</v>
      </c>
      <c r="AH296" s="304">
        <f t="shared" ca="1" si="144"/>
        <v>-4.1956629550596904</v>
      </c>
    </row>
    <row r="297" spans="1:34" x14ac:dyDescent="0.2">
      <c r="A297" s="347">
        <f t="shared" ca="1" si="122"/>
        <v>0.1</v>
      </c>
      <c r="B297" s="304">
        <f t="shared" ca="1" si="123"/>
        <v>20.300000000000022</v>
      </c>
      <c r="D297" s="306">
        <f t="shared" ca="1" si="124"/>
        <v>-0.91904941165903287</v>
      </c>
      <c r="E297" s="307">
        <f t="shared" ca="1" si="125"/>
        <v>-5.6538375593668073</v>
      </c>
      <c r="F297" s="304">
        <f t="shared" ca="1" si="126"/>
        <v>5.7280477449806257</v>
      </c>
      <c r="G297" s="306">
        <f t="shared" ca="1" si="127"/>
        <v>16.999648081973895</v>
      </c>
      <c r="H297" s="307">
        <f t="shared" ca="1" si="128"/>
        <v>-77.857496482100274</v>
      </c>
      <c r="I297" s="304">
        <f t="shared" ca="1" si="129"/>
        <v>79.691767412771156</v>
      </c>
      <c r="J297" s="306">
        <f t="shared" ca="1" si="130"/>
        <v>631.43545196283083</v>
      </c>
      <c r="K297" s="307">
        <f t="shared" ca="1" si="131"/>
        <v>847.45175930237019</v>
      </c>
      <c r="L297" s="304">
        <f t="shared" ca="1" si="116"/>
        <v>1056.8279019500701</v>
      </c>
      <c r="M297" s="306">
        <f t="shared" ca="1" si="132"/>
        <v>-1.3558269668793181</v>
      </c>
      <c r="N297" s="304">
        <f t="shared" ca="1" si="133"/>
        <v>-77.683162952208576</v>
      </c>
      <c r="P297" s="310">
        <f t="shared" ca="1" si="134"/>
        <v>23</v>
      </c>
      <c r="Q297" s="304">
        <f t="shared" ca="1" si="135"/>
        <v>0</v>
      </c>
      <c r="R297" s="306">
        <f t="shared" ca="1" si="136"/>
        <v>0</v>
      </c>
      <c r="S297" s="307">
        <f t="shared" ca="1" si="137"/>
        <v>5.083000000000002</v>
      </c>
      <c r="T297" s="304">
        <f t="shared" ca="1" si="117"/>
        <v>49.86423000000002</v>
      </c>
      <c r="U297" s="311">
        <f t="shared" ca="1" si="118"/>
        <v>0</v>
      </c>
      <c r="V297" s="306">
        <f t="shared" ca="1" si="119"/>
        <v>1.1254071656208842</v>
      </c>
      <c r="W297" s="304">
        <f t="shared" ca="1" si="120"/>
        <v>21.945224701620202</v>
      </c>
      <c r="Y297" s="314" t="str">
        <f t="shared" ca="1" si="138"/>
        <v/>
      </c>
      <c r="Z297" s="315" t="str">
        <f t="shared" ca="1" si="139"/>
        <v/>
      </c>
      <c r="AA297" s="316" t="str">
        <f t="shared" ca="1" si="140"/>
        <v/>
      </c>
      <c r="AC297" s="310" t="e">
        <f t="shared" ca="1" si="141"/>
        <v>#N/A</v>
      </c>
      <c r="AD297" s="323" t="e">
        <f t="shared" ca="1" si="142"/>
        <v>#N/A</v>
      </c>
      <c r="AE297" s="324" t="e">
        <f t="shared" ca="1" si="121"/>
        <v>#N/A</v>
      </c>
      <c r="AG297" s="306">
        <f t="shared" ca="1" si="143"/>
        <v>5.3220425872882764</v>
      </c>
      <c r="AH297" s="304">
        <f t="shared" ca="1" si="144"/>
        <v>-4.2565641136955605</v>
      </c>
    </row>
    <row r="298" spans="1:34" x14ac:dyDescent="0.2">
      <c r="A298" s="347">
        <f t="shared" ca="1" si="122"/>
        <v>0.1</v>
      </c>
      <c r="B298" s="304">
        <f t="shared" ca="1" si="123"/>
        <v>20.400000000000023</v>
      </c>
      <c r="D298" s="306">
        <f t="shared" ca="1" si="124"/>
        <v>-0.9209719317317141</v>
      </c>
      <c r="E298" s="307">
        <f t="shared" ca="1" si="125"/>
        <v>-5.591996863161584</v>
      </c>
      <c r="F298" s="304">
        <f t="shared" ca="1" si="126"/>
        <v>5.6673290196217332</v>
      </c>
      <c r="G298" s="306">
        <f t="shared" ca="1" si="127"/>
        <v>16.907550888800724</v>
      </c>
      <c r="H298" s="307">
        <f t="shared" ca="1" si="128"/>
        <v>-78.416696168416436</v>
      </c>
      <c r="I298" s="304">
        <f t="shared" ca="1" si="129"/>
        <v>80.218722970557963</v>
      </c>
      <c r="J298" s="306">
        <f t="shared" ca="1" si="130"/>
        <v>633.13081191136951</v>
      </c>
      <c r="K298" s="307">
        <f t="shared" ca="1" si="131"/>
        <v>839.63804966984435</v>
      </c>
      <c r="L298" s="304">
        <f t="shared" ca="1" si="116"/>
        <v>1051.592449309584</v>
      </c>
      <c r="M298" s="306">
        <f t="shared" ca="1" si="132"/>
        <v>-1.3584356433925091</v>
      </c>
      <c r="N298" s="304">
        <f t="shared" ca="1" si="133"/>
        <v>-77.832629106529325</v>
      </c>
      <c r="P298" s="310">
        <f t="shared" ca="1" si="134"/>
        <v>23</v>
      </c>
      <c r="Q298" s="304">
        <f t="shared" ca="1" si="135"/>
        <v>0</v>
      </c>
      <c r="R298" s="306">
        <f t="shared" ca="1" si="136"/>
        <v>0</v>
      </c>
      <c r="S298" s="307">
        <f t="shared" ca="1" si="137"/>
        <v>5.083000000000002</v>
      </c>
      <c r="T298" s="304">
        <f t="shared" ca="1" si="117"/>
        <v>49.86423000000002</v>
      </c>
      <c r="U298" s="311">
        <f t="shared" ca="1" si="118"/>
        <v>0</v>
      </c>
      <c r="V298" s="306">
        <f t="shared" ca="1" si="119"/>
        <v>1.1262884380818838</v>
      </c>
      <c r="W298" s="304">
        <f t="shared" ca="1" si="120"/>
        <v>22.253819049586301</v>
      </c>
      <c r="Y298" s="314" t="str">
        <f t="shared" ca="1" si="138"/>
        <v/>
      </c>
      <c r="Z298" s="315" t="str">
        <f t="shared" ca="1" si="139"/>
        <v/>
      </c>
      <c r="AA298" s="316" t="str">
        <f t="shared" ca="1" si="140"/>
        <v/>
      </c>
      <c r="AC298" s="310" t="e">
        <f t="shared" ca="1" si="141"/>
        <v>#N/A</v>
      </c>
      <c r="AD298" s="323" t="e">
        <f t="shared" ca="1" si="142"/>
        <v>#N/A</v>
      </c>
      <c r="AE298" s="324" t="e">
        <f t="shared" ca="1" si="121"/>
        <v>#N/A</v>
      </c>
      <c r="AG298" s="306">
        <f t="shared" ca="1" si="143"/>
        <v>5.2668260598953722</v>
      </c>
      <c r="AH298" s="304">
        <f t="shared" ca="1" si="144"/>
        <v>-4.3173764905804042</v>
      </c>
    </row>
    <row r="299" spans="1:34" x14ac:dyDescent="0.2">
      <c r="A299" s="347">
        <f t="shared" ca="1" si="122"/>
        <v>0.1</v>
      </c>
      <c r="B299" s="304">
        <f t="shared" ca="1" si="123"/>
        <v>20.500000000000025</v>
      </c>
      <c r="D299" s="306">
        <f t="shared" ca="1" si="124"/>
        <v>-0.922761363129324</v>
      </c>
      <c r="E299" s="307">
        <f t="shared" ca="1" si="125"/>
        <v>-5.5302614426909136</v>
      </c>
      <c r="F299" s="304">
        <f t="shared" ca="1" si="126"/>
        <v>5.6067174137634295</v>
      </c>
      <c r="G299" s="306">
        <f t="shared" ca="1" si="127"/>
        <v>16.815274752487792</v>
      </c>
      <c r="H299" s="307">
        <f t="shared" ca="1" si="128"/>
        <v>-78.969722312685533</v>
      </c>
      <c r="I299" s="304">
        <f t="shared" ca="1" si="129"/>
        <v>80.740141857345762</v>
      </c>
      <c r="J299" s="306">
        <f t="shared" ca="1" si="130"/>
        <v>634.81695319343396</v>
      </c>
      <c r="K299" s="307">
        <f t="shared" ca="1" si="131"/>
        <v>831.7687287457893</v>
      </c>
      <c r="L299" s="304">
        <f t="shared" ca="1" si="116"/>
        <v>1046.3420961526786</v>
      </c>
      <c r="M299" s="306">
        <f t="shared" ca="1" si="132"/>
        <v>-1.3609964980653373</v>
      </c>
      <c r="N299" s="304">
        <f t="shared" ca="1" si="133"/>
        <v>-77.979355271228741</v>
      </c>
      <c r="P299" s="310">
        <f t="shared" ca="1" si="134"/>
        <v>23</v>
      </c>
      <c r="Q299" s="304">
        <f t="shared" ca="1" si="135"/>
        <v>0</v>
      </c>
      <c r="R299" s="306">
        <f t="shared" ca="1" si="136"/>
        <v>0</v>
      </c>
      <c r="S299" s="307">
        <f t="shared" ca="1" si="137"/>
        <v>5.083000000000002</v>
      </c>
      <c r="T299" s="304">
        <f t="shared" ca="1" si="117"/>
        <v>49.86423000000002</v>
      </c>
      <c r="U299" s="311">
        <f t="shared" ca="1" si="118"/>
        <v>0</v>
      </c>
      <c r="V299" s="306">
        <f t="shared" ca="1" si="119"/>
        <v>1.1271766508661758</v>
      </c>
      <c r="W299" s="304">
        <f t="shared" ca="1" si="120"/>
        <v>22.561836028895613</v>
      </c>
      <c r="Y299" s="314" t="str">
        <f t="shared" ca="1" si="138"/>
        <v/>
      </c>
      <c r="Z299" s="315" t="str">
        <f t="shared" ca="1" si="139"/>
        <v/>
      </c>
      <c r="AA299" s="316" t="str">
        <f t="shared" ca="1" si="140"/>
        <v/>
      </c>
      <c r="AC299" s="310" t="e">
        <f t="shared" ca="1" si="141"/>
        <v>#N/A</v>
      </c>
      <c r="AD299" s="323" t="e">
        <f t="shared" ca="1" si="142"/>
        <v>#N/A</v>
      </c>
      <c r="AE299" s="324" t="e">
        <f t="shared" ca="1" si="121"/>
        <v>#N/A</v>
      </c>
      <c r="AG299" s="306">
        <f t="shared" ca="1" si="143"/>
        <v>5.2115414094975288</v>
      </c>
      <c r="AH299" s="304">
        <f t="shared" ca="1" si="144"/>
        <v>-4.3780875564796959</v>
      </c>
    </row>
    <row r="300" spans="1:34" x14ac:dyDescent="0.2">
      <c r="A300" s="347">
        <f t="shared" ca="1" si="122"/>
        <v>0.1</v>
      </c>
      <c r="B300" s="304">
        <f t="shared" ca="1" si="123"/>
        <v>20.600000000000026</v>
      </c>
      <c r="D300" s="306">
        <f t="shared" ca="1" si="124"/>
        <v>-0.92441884139725061</v>
      </c>
      <c r="E300" s="307">
        <f t="shared" ca="1" si="125"/>
        <v>-5.4686436867494539</v>
      </c>
      <c r="F300" s="304">
        <f t="shared" ca="1" si="126"/>
        <v>5.5462251998052601</v>
      </c>
      <c r="G300" s="306">
        <f t="shared" ca="1" si="127"/>
        <v>16.722832868348068</v>
      </c>
      <c r="H300" s="307">
        <f t="shared" ca="1" si="128"/>
        <v>-79.516586681360479</v>
      </c>
      <c r="I300" s="304">
        <f t="shared" ca="1" si="129"/>
        <v>81.256019448389281</v>
      </c>
      <c r="J300" s="306">
        <f t="shared" ca="1" si="130"/>
        <v>636.49385857447578</v>
      </c>
      <c r="K300" s="307">
        <f t="shared" ca="1" si="131"/>
        <v>823.84441329608705</v>
      </c>
      <c r="L300" s="304">
        <f t="shared" ca="1" si="116"/>
        <v>1041.0783108499566</v>
      </c>
      <c r="M300" s="306">
        <f t="shared" ca="1" si="132"/>
        <v>-1.3635108634049455</v>
      </c>
      <c r="N300" s="304">
        <f t="shared" ca="1" si="133"/>
        <v>-78.12341779334227</v>
      </c>
      <c r="P300" s="310">
        <f t="shared" ca="1" si="134"/>
        <v>23</v>
      </c>
      <c r="Q300" s="304">
        <f t="shared" ca="1" si="135"/>
        <v>0</v>
      </c>
      <c r="R300" s="306">
        <f t="shared" ca="1" si="136"/>
        <v>0</v>
      </c>
      <c r="S300" s="307">
        <f t="shared" ca="1" si="137"/>
        <v>5.083000000000002</v>
      </c>
      <c r="T300" s="304">
        <f t="shared" ca="1" si="117"/>
        <v>49.86423000000002</v>
      </c>
      <c r="U300" s="311">
        <f t="shared" ca="1" si="118"/>
        <v>0</v>
      </c>
      <c r="V300" s="306">
        <f t="shared" ca="1" si="119"/>
        <v>1.1280717492641923</v>
      </c>
      <c r="W300" s="304">
        <f t="shared" ca="1" si="120"/>
        <v>22.869214524633808</v>
      </c>
      <c r="Y300" s="314" t="str">
        <f t="shared" ca="1" si="138"/>
        <v/>
      </c>
      <c r="Z300" s="315" t="str">
        <f t="shared" ca="1" si="139"/>
        <v/>
      </c>
      <c r="AA300" s="316" t="str">
        <f t="shared" ca="1" si="140"/>
        <v/>
      </c>
      <c r="AC300" s="310" t="e">
        <f t="shared" ca="1" si="141"/>
        <v>#N/A</v>
      </c>
      <c r="AD300" s="323" t="e">
        <f t="shared" ca="1" si="142"/>
        <v>#N/A</v>
      </c>
      <c r="AE300" s="324" t="e">
        <f t="shared" ca="1" si="121"/>
        <v>#N/A</v>
      </c>
      <c r="AG300" s="306">
        <f t="shared" ca="1" si="143"/>
        <v>5.156207395581605</v>
      </c>
      <c r="AH300" s="304">
        <f t="shared" ca="1" si="144"/>
        <v>-4.4386850342112147</v>
      </c>
    </row>
    <row r="301" spans="1:34" x14ac:dyDescent="0.2">
      <c r="A301" s="347">
        <f t="shared" ca="1" si="122"/>
        <v>0.1</v>
      </c>
      <c r="B301" s="304">
        <f t="shared" ca="1" si="123"/>
        <v>20.700000000000028</v>
      </c>
      <c r="D301" s="306">
        <f t="shared" ca="1" si="124"/>
        <v>-0.92594554107250926</v>
      </c>
      <c r="E301" s="307">
        <f t="shared" ca="1" si="125"/>
        <v>-5.4071557296210333</v>
      </c>
      <c r="F301" s="304">
        <f t="shared" ca="1" si="126"/>
        <v>5.4858644012959008</v>
      </c>
      <c r="G301" s="306">
        <f t="shared" ca="1" si="127"/>
        <v>16.630238314240817</v>
      </c>
      <c r="H301" s="307">
        <f t="shared" ca="1" si="128"/>
        <v>-80.057302254322579</v>
      </c>
      <c r="I301" s="304">
        <f t="shared" ca="1" si="129"/>
        <v>81.76635292483337</v>
      </c>
      <c r="J301" s="306">
        <f t="shared" ca="1" si="130"/>
        <v>638.16151213360524</v>
      </c>
      <c r="K301" s="307">
        <f t="shared" ca="1" si="131"/>
        <v>815.86571884930288</v>
      </c>
      <c r="L301" s="304">
        <f t="shared" ca="1" si="116"/>
        <v>1035.8025809787016</v>
      </c>
      <c r="M301" s="306">
        <f t="shared" ca="1" si="132"/>
        <v>-1.365980022806317</v>
      </c>
      <c r="N301" s="304">
        <f t="shared" ca="1" si="133"/>
        <v>-78.264890205985907</v>
      </c>
      <c r="P301" s="310">
        <f t="shared" ca="1" si="134"/>
        <v>23</v>
      </c>
      <c r="Q301" s="304">
        <f t="shared" ca="1" si="135"/>
        <v>0</v>
      </c>
      <c r="R301" s="306">
        <f t="shared" ca="1" si="136"/>
        <v>0</v>
      </c>
      <c r="S301" s="307">
        <f t="shared" ca="1" si="137"/>
        <v>5.083000000000002</v>
      </c>
      <c r="T301" s="304">
        <f t="shared" ca="1" si="117"/>
        <v>49.86423000000002</v>
      </c>
      <c r="U301" s="311">
        <f t="shared" ca="1" si="118"/>
        <v>0</v>
      </c>
      <c r="V301" s="306">
        <f t="shared" ca="1" si="119"/>
        <v>1.1289736786267428</v>
      </c>
      <c r="W301" s="304">
        <f t="shared" ca="1" si="120"/>
        <v>23.175894719529989</v>
      </c>
      <c r="Y301" s="314" t="str">
        <f t="shared" ca="1" si="138"/>
        <v/>
      </c>
      <c r="Z301" s="315" t="str">
        <f t="shared" ca="1" si="139"/>
        <v/>
      </c>
      <c r="AA301" s="316" t="str">
        <f t="shared" ca="1" si="140"/>
        <v/>
      </c>
      <c r="AC301" s="310" t="e">
        <f t="shared" ca="1" si="141"/>
        <v>#N/A</v>
      </c>
      <c r="AD301" s="323" t="e">
        <f t="shared" ca="1" si="142"/>
        <v>#N/A</v>
      </c>
      <c r="AE301" s="324" t="e">
        <f t="shared" ca="1" si="121"/>
        <v>#N/A</v>
      </c>
      <c r="AG301" s="306">
        <f t="shared" ca="1" si="143"/>
        <v>5.1008422214028846</v>
      </c>
      <c r="AH301" s="304">
        <f t="shared" ca="1" si="144"/>
        <v>-4.4991569003804441</v>
      </c>
    </row>
    <row r="302" spans="1:34" x14ac:dyDescent="0.2">
      <c r="A302" s="347">
        <f t="shared" ca="1" si="122"/>
        <v>0.1</v>
      </c>
      <c r="B302" s="304">
        <f t="shared" ca="1" si="123"/>
        <v>20.800000000000029</v>
      </c>
      <c r="D302" s="306">
        <f t="shared" ca="1" si="124"/>
        <v>-0.92734267389068947</v>
      </c>
      <c r="E302" s="307">
        <f t="shared" ca="1" si="125"/>
        <v>-5.3458094493796358</v>
      </c>
      <c r="F302" s="304">
        <f t="shared" ca="1" si="126"/>
        <v>5.4256467912955166</v>
      </c>
      <c r="G302" s="306">
        <f t="shared" ca="1" si="127"/>
        <v>16.537504046851748</v>
      </c>
      <c r="H302" s="307">
        <f t="shared" ca="1" si="128"/>
        <v>-80.591883199260536</v>
      </c>
      <c r="I302" s="304">
        <f t="shared" ca="1" si="129"/>
        <v>82.271141220375029</v>
      </c>
      <c r="J302" s="306">
        <f t="shared" ca="1" si="130"/>
        <v>639.81989925165988</v>
      </c>
      <c r="K302" s="307">
        <f t="shared" ca="1" si="131"/>
        <v>807.83325957662373</v>
      </c>
      <c r="L302" s="304">
        <f t="shared" ca="1" si="116"/>
        <v>1030.5164136279427</v>
      </c>
      <c r="M302" s="306">
        <f t="shared" ca="1" si="132"/>
        <v>-1.3684052127412953</v>
      </c>
      <c r="N302" s="304">
        <f t="shared" ca="1" si="133"/>
        <v>-78.403843353777773</v>
      </c>
      <c r="P302" s="310">
        <f t="shared" ca="1" si="134"/>
        <v>23</v>
      </c>
      <c r="Q302" s="304">
        <f t="shared" ca="1" si="135"/>
        <v>0</v>
      </c>
      <c r="R302" s="306">
        <f t="shared" ca="1" si="136"/>
        <v>0</v>
      </c>
      <c r="S302" s="307">
        <f t="shared" ca="1" si="137"/>
        <v>5.083000000000002</v>
      </c>
      <c r="T302" s="304">
        <f t="shared" ca="1" si="117"/>
        <v>49.86423000000002</v>
      </c>
      <c r="U302" s="311">
        <f t="shared" ca="1" si="118"/>
        <v>0</v>
      </c>
      <c r="V302" s="306">
        <f t="shared" ca="1" si="119"/>
        <v>1.1298823843755179</v>
      </c>
      <c r="W302" s="304">
        <f t="shared" ca="1" si="120"/>
        <v>23.481818100439643</v>
      </c>
      <c r="Y302" s="314" t="str">
        <f t="shared" ca="1" si="138"/>
        <v/>
      </c>
      <c r="Z302" s="315" t="str">
        <f t="shared" ca="1" si="139"/>
        <v/>
      </c>
      <c r="AA302" s="316" t="str">
        <f t="shared" ca="1" si="140"/>
        <v/>
      </c>
      <c r="AC302" s="310" t="e">
        <f t="shared" ca="1" si="141"/>
        <v>#N/A</v>
      </c>
      <c r="AD302" s="323" t="e">
        <f t="shared" ca="1" si="142"/>
        <v>#N/A</v>
      </c>
      <c r="AE302" s="324" t="e">
        <f t="shared" ca="1" si="121"/>
        <v>#N/A</v>
      </c>
      <c r="AG302" s="306">
        <f t="shared" ca="1" si="143"/>
        <v>5.0454635490038591</v>
      </c>
      <c r="AH302" s="304">
        <f t="shared" ca="1" si="144"/>
        <v>-4.5594913868837263</v>
      </c>
    </row>
    <row r="303" spans="1:34" x14ac:dyDescent="0.2">
      <c r="A303" s="347">
        <f t="shared" ca="1" si="122"/>
        <v>0.1</v>
      </c>
      <c r="B303" s="304">
        <f t="shared" ca="1" si="123"/>
        <v>20.900000000000031</v>
      </c>
      <c r="D303" s="306">
        <f t="shared" ca="1" si="124"/>
        <v>-0.92861148702638874</v>
      </c>
      <c r="E303" s="307">
        <f t="shared" ca="1" si="125"/>
        <v>-5.2846164664328921</v>
      </c>
      <c r="F303" s="304">
        <f t="shared" ca="1" si="126"/>
        <v>5.3655838909787841</v>
      </c>
      <c r="G303" s="306">
        <f t="shared" ca="1" si="127"/>
        <v>16.444642898149109</v>
      </c>
      <c r="H303" s="307">
        <f t="shared" ca="1" si="128"/>
        <v>-81.12034484590383</v>
      </c>
      <c r="I303" s="304">
        <f t="shared" ca="1" si="129"/>
        <v>82.770384969299272</v>
      </c>
      <c r="J303" s="306">
        <f t="shared" ca="1" si="130"/>
        <v>641.46900659890991</v>
      </c>
      <c r="K303" s="307">
        <f t="shared" ca="1" si="131"/>
        <v>799.74764817436551</v>
      </c>
      <c r="L303" s="304">
        <f t="shared" ca="1" si="116"/>
        <v>1025.2213357063056</v>
      </c>
      <c r="M303" s="306">
        <f t="shared" ca="1" si="132"/>
        <v>-1.3707876248345245</v>
      </c>
      <c r="N303" s="304">
        <f t="shared" ca="1" si="133"/>
        <v>-78.540345511780728</v>
      </c>
      <c r="P303" s="310">
        <f t="shared" ca="1" si="134"/>
        <v>23</v>
      </c>
      <c r="Q303" s="304">
        <f t="shared" ca="1" si="135"/>
        <v>0</v>
      </c>
      <c r="R303" s="306">
        <f t="shared" ca="1" si="136"/>
        <v>0</v>
      </c>
      <c r="S303" s="307">
        <f t="shared" ca="1" si="137"/>
        <v>5.083000000000002</v>
      </c>
      <c r="T303" s="304">
        <f t="shared" ca="1" si="117"/>
        <v>49.86423000000002</v>
      </c>
      <c r="U303" s="311">
        <f t="shared" ca="1" si="118"/>
        <v>0</v>
      </c>
      <c r="V303" s="306">
        <f t="shared" ca="1" si="119"/>
        <v>1.1307978120133986</v>
      </c>
      <c r="W303" s="304">
        <f t="shared" ca="1" si="120"/>
        <v>23.786927463693658</v>
      </c>
      <c r="Y303" s="314" t="str">
        <f t="shared" ca="1" si="138"/>
        <v/>
      </c>
      <c r="Z303" s="315" t="str">
        <f t="shared" ca="1" si="139"/>
        <v/>
      </c>
      <c r="AA303" s="316" t="str">
        <f t="shared" ca="1" si="140"/>
        <v/>
      </c>
      <c r="AC303" s="310" t="e">
        <f t="shared" ca="1" si="141"/>
        <v>#N/A</v>
      </c>
      <c r="AD303" s="323" t="e">
        <f t="shared" ca="1" si="142"/>
        <v>#N/A</v>
      </c>
      <c r="AE303" s="324" t="e">
        <f t="shared" ca="1" si="121"/>
        <v>#N/A</v>
      </c>
      <c r="AG303" s="306">
        <f t="shared" ca="1" si="143"/>
        <v>4.9900885134351762</v>
      </c>
      <c r="AH303" s="304">
        <f t="shared" ca="1" si="144"/>
        <v>-4.6196769821836776</v>
      </c>
    </row>
    <row r="304" spans="1:34" x14ac:dyDescent="0.2">
      <c r="A304" s="347">
        <f t="shared" ca="1" si="122"/>
        <v>0.1</v>
      </c>
      <c r="B304" s="304">
        <f t="shared" ca="1" si="123"/>
        <v>21.000000000000032</v>
      </c>
      <c r="D304" s="306">
        <f t="shared" ca="1" si="124"/>
        <v>-0.92975326136672265</v>
      </c>
      <c r="E304" s="307">
        <f t="shared" ca="1" si="125"/>
        <v>-5.2235881423024875</v>
      </c>
      <c r="F304" s="304">
        <f t="shared" ca="1" si="126"/>
        <v>5.3056869684730943</v>
      </c>
      <c r="G304" s="306">
        <f t="shared" ca="1" si="127"/>
        <v>16.351667572012438</v>
      </c>
      <c r="H304" s="307">
        <f t="shared" ca="1" si="128"/>
        <v>-81.642703660134075</v>
      </c>
      <c r="I304" s="304">
        <f t="shared" ca="1" si="129"/>
        <v>83.264086455818827</v>
      </c>
      <c r="J304" s="306">
        <f t="shared" ca="1" si="130"/>
        <v>643.10882212241802</v>
      </c>
      <c r="K304" s="307">
        <f t="shared" ca="1" si="131"/>
        <v>791.60949574906363</v>
      </c>
      <c r="L304" s="304">
        <f t="shared" ca="1" si="116"/>
        <v>1019.9188942517786</v>
      </c>
      <c r="M304" s="306">
        <f t="shared" ca="1" si="132"/>
        <v>-1.373128407832878</v>
      </c>
      <c r="N304" s="304">
        <f t="shared" ca="1" si="133"/>
        <v>-78.674462498342365</v>
      </c>
      <c r="P304" s="310">
        <f t="shared" ca="1" si="134"/>
        <v>23</v>
      </c>
      <c r="Q304" s="304">
        <f t="shared" ca="1" si="135"/>
        <v>0</v>
      </c>
      <c r="R304" s="306">
        <f t="shared" ca="1" si="136"/>
        <v>0</v>
      </c>
      <c r="S304" s="307">
        <f t="shared" ca="1" si="137"/>
        <v>5.083000000000002</v>
      </c>
      <c r="T304" s="304">
        <f t="shared" ca="1" si="117"/>
        <v>49.86423000000002</v>
      </c>
      <c r="U304" s="311">
        <f t="shared" ca="1" si="118"/>
        <v>0</v>
      </c>
      <c r="V304" s="306">
        <f t="shared" ca="1" si="119"/>
        <v>1.1317199071345712</v>
      </c>
      <c r="W304" s="304">
        <f t="shared" ca="1" si="120"/>
        <v>24.091166919337649</v>
      </c>
      <c r="Y304" s="314" t="str">
        <f t="shared" ca="1" si="138"/>
        <v/>
      </c>
      <c r="Z304" s="315" t="str">
        <f t="shared" ca="1" si="139"/>
        <v/>
      </c>
      <c r="AA304" s="316" t="str">
        <f t="shared" ca="1" si="140"/>
        <v/>
      </c>
      <c r="AC304" s="310">
        <f t="shared" ca="1" si="141"/>
        <v>21.000000000000032</v>
      </c>
      <c r="AD304" s="323">
        <f t="shared" ca="1" si="142"/>
        <v>643.10882212241802</v>
      </c>
      <c r="AE304" s="324" t="e">
        <f t="shared" ca="1" si="121"/>
        <v>#N/A</v>
      </c>
      <c r="AG304" s="306">
        <f t="shared" ca="1" si="143"/>
        <v>4.9347337362449935</v>
      </c>
      <c r="AH304" s="304">
        <f t="shared" ca="1" si="144"/>
        <v>-4.6797024323615286</v>
      </c>
    </row>
    <row r="305" spans="1:34" x14ac:dyDescent="0.2">
      <c r="A305" s="347">
        <f t="shared" ca="1" si="122"/>
        <v>0.1</v>
      </c>
      <c r="B305" s="304">
        <f t="shared" ca="1" si="123"/>
        <v>21.100000000000033</v>
      </c>
      <c r="D305" s="306">
        <f t="shared" ca="1" si="124"/>
        <v>-0.93076930981759898</v>
      </c>
      <c r="E305" s="307">
        <f t="shared" ca="1" si="125"/>
        <v>-5.1627355786359477</v>
      </c>
      <c r="F305" s="304">
        <f t="shared" ca="1" si="126"/>
        <v>5.2459670379265431</v>
      </c>
      <c r="G305" s="306">
        <f t="shared" ca="1" si="127"/>
        <v>16.258590641030679</v>
      </c>
      <c r="H305" s="307">
        <f t="shared" ca="1" si="128"/>
        <v>-82.158977217997673</v>
      </c>
      <c r="I305" s="304">
        <f t="shared" ca="1" si="129"/>
        <v>83.752249564653908</v>
      </c>
      <c r="J305" s="306">
        <f t="shared" ca="1" si="130"/>
        <v>644.73933503307012</v>
      </c>
      <c r="K305" s="307">
        <f t="shared" ca="1" si="131"/>
        <v>783.41941170515702</v>
      </c>
      <c r="L305" s="304">
        <f t="shared" ca="1" si="116"/>
        <v>1014.6106567424471</v>
      </c>
      <c r="M305" s="306">
        <f t="shared" ca="1" si="132"/>
        <v>-1.3754286694745321</v>
      </c>
      <c r="N305" s="304">
        <f t="shared" ca="1" si="133"/>
        <v>-78.806257782184971</v>
      </c>
      <c r="P305" s="310">
        <f t="shared" ca="1" si="134"/>
        <v>23</v>
      </c>
      <c r="Q305" s="304">
        <f t="shared" ca="1" si="135"/>
        <v>0</v>
      </c>
      <c r="R305" s="306">
        <f t="shared" ca="1" si="136"/>
        <v>0</v>
      </c>
      <c r="S305" s="307">
        <f t="shared" ca="1" si="137"/>
        <v>5.083000000000002</v>
      </c>
      <c r="T305" s="304">
        <f t="shared" ca="1" si="117"/>
        <v>49.86423000000002</v>
      </c>
      <c r="U305" s="311">
        <f t="shared" ca="1" si="118"/>
        <v>0</v>
      </c>
      <c r="V305" s="306">
        <f t="shared" ca="1" si="119"/>
        <v>1.1326486154344437</v>
      </c>
      <c r="W305" s="304">
        <f t="shared" ca="1" si="120"/>
        <v>24.394481894286866</v>
      </c>
      <c r="Y305" s="314" t="str">
        <f t="shared" ca="1" si="138"/>
        <v/>
      </c>
      <c r="Z305" s="315" t="str">
        <f t="shared" ca="1" si="139"/>
        <v/>
      </c>
      <c r="AA305" s="316" t="str">
        <f t="shared" ca="1" si="140"/>
        <v/>
      </c>
      <c r="AC305" s="310" t="e">
        <f t="shared" ca="1" si="141"/>
        <v>#N/A</v>
      </c>
      <c r="AD305" s="323" t="e">
        <f t="shared" ca="1" si="142"/>
        <v>#N/A</v>
      </c>
      <c r="AE305" s="324" t="e">
        <f t="shared" ca="1" si="121"/>
        <v>#N/A</v>
      </c>
      <c r="AG305" s="306">
        <f t="shared" ca="1" si="143"/>
        <v>4.8794153382973207</v>
      </c>
      <c r="AH305" s="304">
        <f t="shared" ca="1" si="144"/>
        <v>-4.7395567419511391</v>
      </c>
    </row>
    <row r="306" spans="1:34" x14ac:dyDescent="0.2">
      <c r="A306" s="347">
        <f t="shared" ca="1" si="122"/>
        <v>0.1</v>
      </c>
      <c r="B306" s="304">
        <f t="shared" ca="1" si="123"/>
        <v>21.200000000000035</v>
      </c>
      <c r="D306" s="306">
        <f t="shared" ca="1" si="124"/>
        <v>-0.93166097564247341</v>
      </c>
      <c r="E306" s="307">
        <f t="shared" ca="1" si="125"/>
        <v>-5.1020696164440045</v>
      </c>
      <c r="F306" s="304">
        <f t="shared" ca="1" si="126"/>
        <v>5.1864348588000366</v>
      </c>
      <c r="G306" s="306">
        <f t="shared" ca="1" si="127"/>
        <v>16.165424543466433</v>
      </c>
      <c r="H306" s="307">
        <f t="shared" ca="1" si="128"/>
        <v>-82.669184179642073</v>
      </c>
      <c r="I306" s="304">
        <f t="shared" ca="1" si="129"/>
        <v>84.234879732792933</v>
      </c>
      <c r="J306" s="306">
        <f t="shared" ca="1" si="130"/>
        <v>646.36053579229497</v>
      </c>
      <c r="K306" s="307">
        <f t="shared" ca="1" si="131"/>
        <v>775.17800363527499</v>
      </c>
      <c r="L306" s="304">
        <f t="shared" ca="1" si="116"/>
        <v>1009.2982114071505</v>
      </c>
      <c r="M306" s="306">
        <f t="shared" ca="1" si="132"/>
        <v>-1.3776894782634457</v>
      </c>
      <c r="N306" s="304">
        <f t="shared" ca="1" si="133"/>
        <v>-78.935792584075799</v>
      </c>
      <c r="P306" s="310">
        <f t="shared" ca="1" si="134"/>
        <v>23</v>
      </c>
      <c r="Q306" s="304">
        <f t="shared" ca="1" si="135"/>
        <v>0</v>
      </c>
      <c r="R306" s="306">
        <f t="shared" ca="1" si="136"/>
        <v>0</v>
      </c>
      <c r="S306" s="307">
        <f t="shared" ca="1" si="137"/>
        <v>5.083000000000002</v>
      </c>
      <c r="T306" s="304">
        <f t="shared" ca="1" si="117"/>
        <v>49.86423000000002</v>
      </c>
      <c r="U306" s="311">
        <f t="shared" ca="1" si="118"/>
        <v>0</v>
      </c>
      <c r="V306" s="306">
        <f t="shared" ca="1" si="119"/>
        <v>1.1335838827193634</v>
      </c>
      <c r="W306" s="304">
        <f t="shared" ca="1" si="120"/>
        <v>24.696819134422228</v>
      </c>
      <c r="Y306" s="314" t="str">
        <f t="shared" ca="1" si="138"/>
        <v/>
      </c>
      <c r="Z306" s="315" t="str">
        <f t="shared" ca="1" si="139"/>
        <v/>
      </c>
      <c r="AA306" s="316" t="str">
        <f t="shared" ca="1" si="140"/>
        <v/>
      </c>
      <c r="AC306" s="310" t="e">
        <f t="shared" ca="1" si="141"/>
        <v>#N/A</v>
      </c>
      <c r="AD306" s="323" t="e">
        <f t="shared" ca="1" si="142"/>
        <v>#N/A</v>
      </c>
      <c r="AE306" s="324" t="e">
        <f t="shared" ca="1" si="121"/>
        <v>#N/A</v>
      </c>
      <c r="AG306" s="306">
        <f t="shared" ca="1" si="143"/>
        <v>4.8241489519749159</v>
      </c>
      <c r="AH306" s="304">
        <f t="shared" ca="1" si="144"/>
        <v>-4.7992291745596809</v>
      </c>
    </row>
    <row r="307" spans="1:34" x14ac:dyDescent="0.2">
      <c r="A307" s="347">
        <f t="shared" ca="1" si="122"/>
        <v>0.1</v>
      </c>
      <c r="B307" s="304">
        <f t="shared" ca="1" si="123"/>
        <v>21.300000000000036</v>
      </c>
      <c r="D307" s="306">
        <f t="shared" ca="1" si="124"/>
        <v>-0.93242963083335184</v>
      </c>
      <c r="E307" s="307">
        <f t="shared" ca="1" si="125"/>
        <v>-5.0416008355578468</v>
      </c>
      <c r="F307" s="304">
        <f t="shared" ca="1" si="126"/>
        <v>5.1271009353779649</v>
      </c>
      <c r="G307" s="306">
        <f t="shared" ca="1" si="127"/>
        <v>16.072181580383099</v>
      </c>
      <c r="H307" s="307">
        <f t="shared" ca="1" si="128"/>
        <v>-83.173344263197862</v>
      </c>
      <c r="I307" s="304">
        <f t="shared" ca="1" si="129"/>
        <v>84.711983902380865</v>
      </c>
      <c r="J307" s="306">
        <f t="shared" ca="1" si="130"/>
        <v>647.97241609848743</v>
      </c>
      <c r="K307" s="307">
        <f t="shared" ca="1" si="131"/>
        <v>766.88587721313297</v>
      </c>
      <c r="L307" s="304">
        <f t="shared" ca="1" si="116"/>
        <v>1003.9831675349283</v>
      </c>
      <c r="M307" s="306">
        <f t="shared" ca="1" si="132"/>
        <v>-1.3799118651546489</v>
      </c>
      <c r="N307" s="304">
        <f t="shared" ca="1" si="133"/>
        <v>-79.063125973386946</v>
      </c>
      <c r="P307" s="310">
        <f t="shared" ca="1" si="134"/>
        <v>23</v>
      </c>
      <c r="Q307" s="304">
        <f t="shared" ca="1" si="135"/>
        <v>0</v>
      </c>
      <c r="R307" s="306">
        <f t="shared" ca="1" si="136"/>
        <v>0</v>
      </c>
      <c r="S307" s="307">
        <f t="shared" ca="1" si="137"/>
        <v>5.083000000000002</v>
      </c>
      <c r="T307" s="304">
        <f t="shared" ca="1" si="117"/>
        <v>49.86423000000002</v>
      </c>
      <c r="U307" s="311">
        <f t="shared" ca="1" si="118"/>
        <v>0</v>
      </c>
      <c r="V307" s="306">
        <f t="shared" ca="1" si="119"/>
        <v>1.1345256549161375</v>
      </c>
      <c r="W307" s="304">
        <f t="shared" ca="1" si="120"/>
        <v>24.998126705653952</v>
      </c>
      <c r="Y307" s="314" t="str">
        <f t="shared" ca="1" si="138"/>
        <v/>
      </c>
      <c r="Z307" s="315" t="str">
        <f t="shared" ca="1" si="139"/>
        <v/>
      </c>
      <c r="AA307" s="316" t="str">
        <f t="shared" ca="1" si="140"/>
        <v/>
      </c>
      <c r="AC307" s="310" t="e">
        <f t="shared" ca="1" si="141"/>
        <v>#N/A</v>
      </c>
      <c r="AD307" s="323" t="e">
        <f t="shared" ca="1" si="142"/>
        <v>#N/A</v>
      </c>
      <c r="AE307" s="324" t="e">
        <f t="shared" ca="1" si="121"/>
        <v>#N/A</v>
      </c>
      <c r="AG307" s="306">
        <f t="shared" ca="1" si="143"/>
        <v>4.7689497328177737</v>
      </c>
      <c r="AH307" s="304">
        <f t="shared" ca="1" si="144"/>
        <v>-4.8587092532799954</v>
      </c>
    </row>
    <row r="308" spans="1:34" x14ac:dyDescent="0.2">
      <c r="A308" s="347">
        <f t="shared" ca="1" si="122"/>
        <v>0.1</v>
      </c>
      <c r="B308" s="304">
        <f t="shared" ca="1" si="123"/>
        <v>21.400000000000038</v>
      </c>
      <c r="D308" s="306">
        <f t="shared" ca="1" si="124"/>
        <v>-0.9330766745138287</v>
      </c>
      <c r="E308" s="307">
        <f t="shared" ca="1" si="125"/>
        <v>-4.9813395543003427</v>
      </c>
      <c r="F308" s="304">
        <f t="shared" ca="1" si="126"/>
        <v>5.0679755164916616</v>
      </c>
      <c r="G308" s="306">
        <f t="shared" ca="1" si="127"/>
        <v>15.978873912931716</v>
      </c>
      <c r="H308" s="307">
        <f t="shared" ca="1" si="128"/>
        <v>-83.671478218627897</v>
      </c>
      <c r="I308" s="304">
        <f t="shared" ca="1" si="129"/>
        <v>85.183570474685382</v>
      </c>
      <c r="J308" s="306">
        <f t="shared" ca="1" si="130"/>
        <v>649.57496887315313</v>
      </c>
      <c r="K308" s="307">
        <f t="shared" ca="1" si="131"/>
        <v>758.54363608904168</v>
      </c>
      <c r="L308" s="304">
        <f t="shared" ca="1" si="116"/>
        <v>998.66715578201649</v>
      </c>
      <c r="M308" s="306">
        <f t="shared" ca="1" si="132"/>
        <v>-1.3820968251553964</v>
      </c>
      <c r="N308" s="304">
        <f t="shared" ca="1" si="133"/>
        <v>-79.188314959834685</v>
      </c>
      <c r="P308" s="310">
        <f t="shared" ca="1" si="134"/>
        <v>23</v>
      </c>
      <c r="Q308" s="304">
        <f t="shared" ca="1" si="135"/>
        <v>0</v>
      </c>
      <c r="R308" s="306">
        <f t="shared" ca="1" si="136"/>
        <v>0</v>
      </c>
      <c r="S308" s="307">
        <f t="shared" ca="1" si="137"/>
        <v>5.083000000000002</v>
      </c>
      <c r="T308" s="304">
        <f t="shared" ca="1" si="117"/>
        <v>49.86423000000002</v>
      </c>
      <c r="U308" s="311">
        <f t="shared" ca="1" si="118"/>
        <v>0</v>
      </c>
      <c r="V308" s="306">
        <f t="shared" ca="1" si="119"/>
        <v>1.1354738780813487</v>
      </c>
      <c r="W308" s="304">
        <f t="shared" ca="1" si="120"/>
        <v>25.298353993979418</v>
      </c>
      <c r="Y308" s="314" t="str">
        <f t="shared" ca="1" si="138"/>
        <v/>
      </c>
      <c r="Z308" s="315" t="str">
        <f t="shared" ca="1" si="139"/>
        <v/>
      </c>
      <c r="AA308" s="316" t="str">
        <f t="shared" ca="1" si="140"/>
        <v/>
      </c>
      <c r="AC308" s="310" t="e">
        <f t="shared" ca="1" si="141"/>
        <v>#N/A</v>
      </c>
      <c r="AD308" s="323" t="e">
        <f t="shared" ca="1" si="142"/>
        <v>#N/A</v>
      </c>
      <c r="AE308" s="324" t="e">
        <f t="shared" ca="1" si="121"/>
        <v>#N/A</v>
      </c>
      <c r="AG308" s="306">
        <f t="shared" ca="1" si="143"/>
        <v>4.7138323706438143</v>
      </c>
      <c r="AH308" s="304">
        <f t="shared" ca="1" si="144"/>
        <v>-4.9179867608998507</v>
      </c>
    </row>
    <row r="309" spans="1:34" x14ac:dyDescent="0.2">
      <c r="A309" s="347">
        <f t="shared" ca="1" si="122"/>
        <v>0.1</v>
      </c>
      <c r="B309" s="304">
        <f t="shared" ca="1" si="123"/>
        <v>21.500000000000039</v>
      </c>
      <c r="D309" s="306">
        <f t="shared" ca="1" si="124"/>
        <v>-0.93360353137400121</v>
      </c>
      <c r="E309" s="307">
        <f t="shared" ca="1" si="125"/>
        <v>-4.921295829365393</v>
      </c>
      <c r="F309" s="304">
        <f t="shared" ca="1" si="126"/>
        <v>5.0090685954499783</v>
      </c>
      <c r="G309" s="306">
        <f t="shared" ca="1" si="127"/>
        <v>15.885513559794315</v>
      </c>
      <c r="H309" s="307">
        <f t="shared" ca="1" si="128"/>
        <v>-84.163607801564439</v>
      </c>
      <c r="I309" s="304">
        <f t="shared" ca="1" si="129"/>
        <v>85.649649265096045</v>
      </c>
      <c r="J309" s="306">
        <f t="shared" ca="1" si="130"/>
        <v>651.16818824678944</v>
      </c>
      <c r="K309" s="307">
        <f t="shared" ca="1" si="131"/>
        <v>750.15188178803203</v>
      </c>
      <c r="L309" s="304">
        <f t="shared" ca="1" si="116"/>
        <v>993.35182847505337</v>
      </c>
      <c r="M309" s="306">
        <f t="shared" ca="1" si="132"/>
        <v>-1.3842453188469337</v>
      </c>
      <c r="N309" s="304">
        <f t="shared" ca="1" si="133"/>
        <v>-79.311414580670245</v>
      </c>
      <c r="P309" s="310">
        <f t="shared" ca="1" si="134"/>
        <v>23</v>
      </c>
      <c r="Q309" s="304">
        <f t="shared" ca="1" si="135"/>
        <v>0</v>
      </c>
      <c r="R309" s="306">
        <f t="shared" ca="1" si="136"/>
        <v>0</v>
      </c>
      <c r="S309" s="307">
        <f t="shared" ca="1" si="137"/>
        <v>5.083000000000002</v>
      </c>
      <c r="T309" s="304">
        <f t="shared" ca="1" si="117"/>
        <v>49.86423000000002</v>
      </c>
      <c r="U309" s="311">
        <f t="shared" ca="1" si="118"/>
        <v>0</v>
      </c>
      <c r="V309" s="306">
        <f t="shared" ca="1" si="119"/>
        <v>1.1364284984104749</v>
      </c>
      <c r="W309" s="304">
        <f t="shared" ca="1" si="120"/>
        <v>25.597451704562786</v>
      </c>
      <c r="Y309" s="314" t="str">
        <f t="shared" ca="1" si="138"/>
        <v/>
      </c>
      <c r="Z309" s="315" t="str">
        <f t="shared" ca="1" si="139"/>
        <v/>
      </c>
      <c r="AA309" s="316" t="str">
        <f t="shared" ca="1" si="140"/>
        <v/>
      </c>
      <c r="AC309" s="310" t="e">
        <f t="shared" ca="1" si="141"/>
        <v>#N/A</v>
      </c>
      <c r="AD309" s="323" t="e">
        <f t="shared" ca="1" si="142"/>
        <v>#N/A</v>
      </c>
      <c r="AE309" s="324" t="e">
        <f t="shared" ca="1" si="121"/>
        <v>#N/A</v>
      </c>
      <c r="AG309" s="306">
        <f t="shared" ca="1" si="143"/>
        <v>4.6588111001946517</v>
      </c>
      <c r="AH309" s="304">
        <f t="shared" ca="1" si="144"/>
        <v>-4.9770517399133203</v>
      </c>
    </row>
    <row r="310" spans="1:34" x14ac:dyDescent="0.2">
      <c r="A310" s="347">
        <f t="shared" ca="1" si="122"/>
        <v>0.1</v>
      </c>
      <c r="B310" s="304">
        <f t="shared" ca="1" si="123"/>
        <v>21.600000000000041</v>
      </c>
      <c r="D310" s="306">
        <f t="shared" ca="1" si="124"/>
        <v>-0.93401165013709819</v>
      </c>
      <c r="E310" s="307">
        <f t="shared" ca="1" si="125"/>
        <v>-4.8614794558994037</v>
      </c>
      <c r="F310" s="304">
        <f t="shared" ca="1" si="126"/>
        <v>4.9503899101710953</v>
      </c>
      <c r="G310" s="306">
        <f t="shared" ca="1" si="127"/>
        <v>15.792112394780606</v>
      </c>
      <c r="H310" s="307">
        <f t="shared" ca="1" si="128"/>
        <v>-84.649755747154373</v>
      </c>
      <c r="I310" s="304">
        <f t="shared" ca="1" si="129"/>
        <v>86.11023145911453</v>
      </c>
      <c r="J310" s="306">
        <f t="shared" ca="1" si="130"/>
        <v>652.75206954451824</v>
      </c>
      <c r="K310" s="307">
        <f t="shared" ca="1" si="131"/>
        <v>741.71121361059613</v>
      </c>
      <c r="L310" s="304">
        <f t="shared" ca="1" si="116"/>
        <v>988.03885990903962</v>
      </c>
      <c r="M310" s="306">
        <f t="shared" ca="1" si="132"/>
        <v>-1.386358273831322</v>
      </c>
      <c r="N310" s="304">
        <f t="shared" ca="1" si="133"/>
        <v>-79.432477983576831</v>
      </c>
      <c r="P310" s="310">
        <f t="shared" ca="1" si="134"/>
        <v>23</v>
      </c>
      <c r="Q310" s="304">
        <f t="shared" ca="1" si="135"/>
        <v>0</v>
      </c>
      <c r="R310" s="306">
        <f t="shared" ca="1" si="136"/>
        <v>0</v>
      </c>
      <c r="S310" s="307">
        <f t="shared" ca="1" si="137"/>
        <v>5.083000000000002</v>
      </c>
      <c r="T310" s="304">
        <f t="shared" ca="1" si="117"/>
        <v>49.86423000000002</v>
      </c>
      <c r="U310" s="311">
        <f t="shared" ca="1" si="118"/>
        <v>0</v>
      </c>
      <c r="V310" s="306">
        <f t="shared" ca="1" si="119"/>
        <v>1.1373894622468019</v>
      </c>
      <c r="W310" s="304">
        <f t="shared" ca="1" si="120"/>
        <v>25.895371859863676</v>
      </c>
      <c r="Y310" s="314" t="str">
        <f t="shared" ca="1" si="138"/>
        <v/>
      </c>
      <c r="Z310" s="315" t="str">
        <f t="shared" ca="1" si="139"/>
        <v/>
      </c>
      <c r="AA310" s="316" t="str">
        <f t="shared" ca="1" si="140"/>
        <v/>
      </c>
      <c r="AC310" s="310" t="e">
        <f t="shared" ca="1" si="141"/>
        <v>#N/A</v>
      </c>
      <c r="AD310" s="323" t="e">
        <f t="shared" ca="1" si="142"/>
        <v>#N/A</v>
      </c>
      <c r="AE310" s="324" t="e">
        <f t="shared" ca="1" si="121"/>
        <v>#N/A</v>
      </c>
      <c r="AG310" s="306">
        <f t="shared" ca="1" si="143"/>
        <v>4.6038997113455302</v>
      </c>
      <c r="AH310" s="304">
        <f t="shared" ca="1" si="144"/>
        <v>-5.0358944923397164</v>
      </c>
    </row>
    <row r="311" spans="1:34" x14ac:dyDescent="0.2">
      <c r="A311" s="347">
        <f t="shared" ca="1" si="122"/>
        <v>0.1</v>
      </c>
      <c r="B311" s="304">
        <f t="shared" ca="1" si="123"/>
        <v>21.700000000000042</v>
      </c>
      <c r="D311" s="306">
        <f t="shared" ca="1" si="124"/>
        <v>-0.93430250205769361</v>
      </c>
      <c r="E311" s="307">
        <f t="shared" ca="1" si="125"/>
        <v>-4.8018999677789616</v>
      </c>
      <c r="F311" s="304">
        <f t="shared" ca="1" si="126"/>
        <v>4.8919489435098216</v>
      </c>
      <c r="G311" s="306">
        <f t="shared" ca="1" si="127"/>
        <v>15.698682144574837</v>
      </c>
      <c r="H311" s="307">
        <f t="shared" ca="1" si="128"/>
        <v>-85.129945743932268</v>
      </c>
      <c r="I311" s="304">
        <f t="shared" ca="1" si="129"/>
        <v>86.56532956929837</v>
      </c>
      <c r="J311" s="306">
        <f t="shared" ca="1" si="130"/>
        <v>654.32660927148606</v>
      </c>
      <c r="K311" s="307">
        <f t="shared" ca="1" si="131"/>
        <v>733.22222853604183</v>
      </c>
      <c r="L311" s="304">
        <f t="shared" ca="1" si="116"/>
        <v>982.72994663848499</v>
      </c>
      <c r="M311" s="306">
        <f t="shared" ca="1" si="132"/>
        <v>-1.3884365861074994</v>
      </c>
      <c r="N311" s="304">
        <f t="shared" ca="1" si="133"/>
        <v>-79.551556505512025</v>
      </c>
      <c r="P311" s="310">
        <f t="shared" ca="1" si="134"/>
        <v>23</v>
      </c>
      <c r="Q311" s="304">
        <f t="shared" ca="1" si="135"/>
        <v>0</v>
      </c>
      <c r="R311" s="306">
        <f t="shared" ca="1" si="136"/>
        <v>0</v>
      </c>
      <c r="S311" s="307">
        <f t="shared" ca="1" si="137"/>
        <v>5.083000000000002</v>
      </c>
      <c r="T311" s="304">
        <f t="shared" ca="1" si="117"/>
        <v>49.86423000000002</v>
      </c>
      <c r="U311" s="311">
        <f t="shared" ca="1" si="118"/>
        <v>0</v>
      </c>
      <c r="V311" s="306">
        <f t="shared" ca="1" si="119"/>
        <v>1.1383567160901387</v>
      </c>
      <c r="W311" s="304">
        <f t="shared" ca="1" si="120"/>
        <v>26.19206779684335</v>
      </c>
      <c r="Y311" s="314" t="str">
        <f t="shared" ca="1" si="138"/>
        <v/>
      </c>
      <c r="Z311" s="315" t="str">
        <f t="shared" ca="1" si="139"/>
        <v/>
      </c>
      <c r="AA311" s="316" t="str">
        <f t="shared" ca="1" si="140"/>
        <v/>
      </c>
      <c r="AC311" s="310" t="e">
        <f t="shared" ca="1" si="141"/>
        <v>#N/A</v>
      </c>
      <c r="AD311" s="323" t="e">
        <f t="shared" ca="1" si="142"/>
        <v>#N/A</v>
      </c>
      <c r="AE311" s="324" t="e">
        <f t="shared" ca="1" si="121"/>
        <v>#N/A</v>
      </c>
      <c r="AG311" s="306">
        <f t="shared" ca="1" si="143"/>
        <v>4.5491115589153921</v>
      </c>
      <c r="AH311" s="304">
        <f t="shared" ca="1" si="144"/>
        <v>-5.0945055793554328</v>
      </c>
    </row>
    <row r="312" spans="1:34" x14ac:dyDescent="0.2">
      <c r="A312" s="347">
        <f t="shared" ca="1" si="122"/>
        <v>0.1</v>
      </c>
      <c r="B312" s="304">
        <f t="shared" ca="1" si="123"/>
        <v>21.800000000000043</v>
      </c>
      <c r="D312" s="306">
        <f t="shared" ca="1" si="124"/>
        <v>-0.9344775794513942</v>
      </c>
      <c r="E312" s="307">
        <f t="shared" ca="1" si="125"/>
        <v>-4.7425666380785989</v>
      </c>
      <c r="F312" s="304">
        <f t="shared" ca="1" si="126"/>
        <v>4.8337549237744231</v>
      </c>
      <c r="G312" s="306">
        <f t="shared" ca="1" si="127"/>
        <v>15.605234386629698</v>
      </c>
      <c r="H312" s="307">
        <f t="shared" ca="1" si="128"/>
        <v>-85.604202407740132</v>
      </c>
      <c r="I312" s="304">
        <f t="shared" ca="1" si="129"/>
        <v>87.014957393122884</v>
      </c>
      <c r="J312" s="306">
        <f t="shared" ca="1" si="130"/>
        <v>655.89180509804623</v>
      </c>
      <c r="K312" s="307">
        <f t="shared" ca="1" si="131"/>
        <v>724.68552112845816</v>
      </c>
      <c r="L312" s="304">
        <f t="shared" ca="1" si="116"/>
        <v>977.42680776004829</v>
      </c>
      <c r="M312" s="306">
        <f t="shared" ca="1" si="132"/>
        <v>-1.3904811213804922</v>
      </c>
      <c r="N312" s="304">
        <f t="shared" ca="1" si="133"/>
        <v>-79.66869974772014</v>
      </c>
      <c r="P312" s="310">
        <f t="shared" ca="1" si="134"/>
        <v>23</v>
      </c>
      <c r="Q312" s="304">
        <f t="shared" ca="1" si="135"/>
        <v>0</v>
      </c>
      <c r="R312" s="306">
        <f t="shared" ca="1" si="136"/>
        <v>0</v>
      </c>
      <c r="S312" s="307">
        <f t="shared" ca="1" si="137"/>
        <v>5.083000000000002</v>
      </c>
      <c r="T312" s="304">
        <f t="shared" ca="1" si="117"/>
        <v>49.86423000000002</v>
      </c>
      <c r="U312" s="311">
        <f t="shared" ca="1" si="118"/>
        <v>0</v>
      </c>
      <c r="V312" s="306">
        <f t="shared" ca="1" si="119"/>
        <v>1.1393302066053237</v>
      </c>
      <c r="W312" s="304">
        <f t="shared" ca="1" si="120"/>
        <v>26.487494163276256</v>
      </c>
      <c r="Y312" s="314" t="str">
        <f t="shared" ca="1" si="138"/>
        <v/>
      </c>
      <c r="Z312" s="315" t="str">
        <f t="shared" ca="1" si="139"/>
        <v/>
      </c>
      <c r="AA312" s="316" t="str">
        <f t="shared" ca="1" si="140"/>
        <v/>
      </c>
      <c r="AC312" s="310" t="e">
        <f t="shared" ca="1" si="141"/>
        <v>#N/A</v>
      </c>
      <c r="AD312" s="323" t="e">
        <f t="shared" ca="1" si="142"/>
        <v>#N/A</v>
      </c>
      <c r="AE312" s="324" t="e">
        <f t="shared" ca="1" si="121"/>
        <v>#N/A</v>
      </c>
      <c r="AG312" s="306">
        <f t="shared" ca="1" si="143"/>
        <v>4.4944595721098315</v>
      </c>
      <c r="AH312" s="304">
        <f t="shared" ca="1" si="144"/>
        <v>-5.1528758207443124</v>
      </c>
    </row>
    <row r="313" spans="1:34" x14ac:dyDescent="0.2">
      <c r="A313" s="347">
        <f t="shared" ca="1" si="122"/>
        <v>0.1</v>
      </c>
      <c r="B313" s="304">
        <f t="shared" ca="1" si="123"/>
        <v>21.900000000000045</v>
      </c>
      <c r="D313" s="306">
        <f t="shared" ca="1" si="124"/>
        <v>-0.93453839425587815</v>
      </c>
      <c r="E313" s="307">
        <f t="shared" ca="1" si="125"/>
        <v>-4.6834884797226977</v>
      </c>
      <c r="F313" s="304">
        <f t="shared" ca="1" si="126"/>
        <v>4.7758168254272046</v>
      </c>
      <c r="G313" s="306">
        <f t="shared" ca="1" si="127"/>
        <v>15.511780547204111</v>
      </c>
      <c r="H313" s="307">
        <f t="shared" ca="1" si="128"/>
        <v>-86.072551255712398</v>
      </c>
      <c r="I313" s="304">
        <f t="shared" ca="1" si="129"/>
        <v>87.459129971729411</v>
      </c>
      <c r="J313" s="306">
        <f t="shared" ca="1" si="130"/>
        <v>657.44765584473794</v>
      </c>
      <c r="K313" s="307">
        <f t="shared" ca="1" si="131"/>
        <v>716.10168344528552</v>
      </c>
      <c r="L313" s="304">
        <f t="shared" ca="1" si="116"/>
        <v>972.13118518485601</v>
      </c>
      <c r="M313" s="306">
        <f t="shared" ca="1" si="132"/>
        <v>-1.3924927163074543</v>
      </c>
      <c r="N313" s="304">
        <f t="shared" ca="1" si="133"/>
        <v>-79.783955647124998</v>
      </c>
      <c r="P313" s="310">
        <f t="shared" ca="1" si="134"/>
        <v>23</v>
      </c>
      <c r="Q313" s="304">
        <f t="shared" ca="1" si="135"/>
        <v>0</v>
      </c>
      <c r="R313" s="306">
        <f t="shared" ca="1" si="136"/>
        <v>0</v>
      </c>
      <c r="S313" s="307">
        <f t="shared" ca="1" si="137"/>
        <v>5.083000000000002</v>
      </c>
      <c r="T313" s="304">
        <f t="shared" ca="1" si="117"/>
        <v>49.86423000000002</v>
      </c>
      <c r="U313" s="311">
        <f t="shared" ca="1" si="118"/>
        <v>0</v>
      </c>
      <c r="V313" s="306">
        <f t="shared" ca="1" si="119"/>
        <v>1.1403098806305354</v>
      </c>
      <c r="W313" s="304">
        <f t="shared" ca="1" si="120"/>
        <v>26.78160691319578</v>
      </c>
      <c r="Y313" s="314" t="str">
        <f t="shared" ca="1" si="138"/>
        <v/>
      </c>
      <c r="Z313" s="315" t="str">
        <f t="shared" ca="1" si="139"/>
        <v/>
      </c>
      <c r="AA313" s="316" t="str">
        <f t="shared" ca="1" si="140"/>
        <v/>
      </c>
      <c r="AC313" s="310" t="e">
        <f t="shared" ca="1" si="141"/>
        <v>#N/A</v>
      </c>
      <c r="AD313" s="323" t="e">
        <f t="shared" ca="1" si="142"/>
        <v>#N/A</v>
      </c>
      <c r="AE313" s="324" t="e">
        <f t="shared" ca="1" si="121"/>
        <v>#N/A</v>
      </c>
      <c r="AG313" s="306">
        <f t="shared" ca="1" si="143"/>
        <v>4.4399562636270113</v>
      </c>
      <c r="AH313" s="304">
        <f t="shared" ca="1" si="144"/>
        <v>-5.2109962941719941</v>
      </c>
    </row>
    <row r="314" spans="1:34" x14ac:dyDescent="0.2">
      <c r="A314" s="347">
        <f t="shared" ca="1" si="122"/>
        <v>0.1</v>
      </c>
      <c r="B314" s="304">
        <f t="shared" ca="1" si="123"/>
        <v>22.000000000000046</v>
      </c>
      <c r="D314" s="306">
        <f t="shared" ca="1" si="124"/>
        <v>-0.93448647662321183</v>
      </c>
      <c r="E314" s="307">
        <f t="shared" ca="1" si="125"/>
        <v>-4.6246742463153865</v>
      </c>
      <c r="F314" s="304">
        <f t="shared" ca="1" si="126"/>
        <v>4.7181433699628554</v>
      </c>
      <c r="G314" s="306">
        <f t="shared" ca="1" si="127"/>
        <v>15.418331899541791</v>
      </c>
      <c r="H314" s="307">
        <f t="shared" ca="1" si="128"/>
        <v>-86.535018680343939</v>
      </c>
      <c r="I314" s="304">
        <f t="shared" ca="1" si="129"/>
        <v>87.897863549530612</v>
      </c>
      <c r="J314" s="306">
        <f t="shared" ca="1" si="130"/>
        <v>658.99416146707529</v>
      </c>
      <c r="K314" s="307">
        <f t="shared" ca="1" si="131"/>
        <v>707.47130494848273</v>
      </c>
      <c r="L314" s="304">
        <f t="shared" ca="1" si="116"/>
        <v>966.84484389854549</v>
      </c>
      <c r="M314" s="306">
        <f t="shared" ca="1" si="132"/>
        <v>-1.3944721796839912</v>
      </c>
      <c r="N314" s="304">
        <f t="shared" ca="1" si="133"/>
        <v>-79.897370544301268</v>
      </c>
      <c r="P314" s="310">
        <f t="shared" ca="1" si="134"/>
        <v>23</v>
      </c>
      <c r="Q314" s="304">
        <f t="shared" ca="1" si="135"/>
        <v>0</v>
      </c>
      <c r="R314" s="306">
        <f t="shared" ca="1" si="136"/>
        <v>0</v>
      </c>
      <c r="S314" s="307">
        <f t="shared" ca="1" si="137"/>
        <v>5.083000000000002</v>
      </c>
      <c r="T314" s="304">
        <f t="shared" ca="1" si="117"/>
        <v>49.86423000000002</v>
      </c>
      <c r="U314" s="311">
        <f t="shared" ca="1" si="118"/>
        <v>0</v>
      </c>
      <c r="V314" s="306">
        <f t="shared" ca="1" si="119"/>
        <v>1.1412956851853964</v>
      </c>
      <c r="W314" s="304">
        <f t="shared" ca="1" si="120"/>
        <v>27.074363301502789</v>
      </c>
      <c r="Y314" s="314" t="str">
        <f t="shared" ca="1" si="138"/>
        <v/>
      </c>
      <c r="Z314" s="315" t="str">
        <f t="shared" ca="1" si="139"/>
        <v/>
      </c>
      <c r="AA314" s="316" t="str">
        <f t="shared" ca="1" si="140"/>
        <v/>
      </c>
      <c r="AC314" s="310">
        <f t="shared" ca="1" si="141"/>
        <v>22.000000000000046</v>
      </c>
      <c r="AD314" s="323">
        <f t="shared" ca="1" si="142"/>
        <v>658.99416146707529</v>
      </c>
      <c r="AE314" s="324" t="e">
        <f t="shared" ca="1" si="121"/>
        <v>#N/A</v>
      </c>
      <c r="AG314" s="306">
        <f t="shared" ca="1" si="143"/>
        <v>4.3856137384539355</v>
      </c>
      <c r="AH314" s="304">
        <f t="shared" ca="1" si="144"/>
        <v>-5.2688583342899413</v>
      </c>
    </row>
    <row r="315" spans="1:34" x14ac:dyDescent="0.2">
      <c r="A315" s="347">
        <f t="shared" ca="1" si="122"/>
        <v>0.1</v>
      </c>
      <c r="B315" s="304">
        <f t="shared" ca="1" si="123"/>
        <v>22.100000000000048</v>
      </c>
      <c r="D315" s="306">
        <f t="shared" ca="1" si="124"/>
        <v>-0.93432337354332007</v>
      </c>
      <c r="E315" s="307">
        <f t="shared" ca="1" si="125"/>
        <v>-4.5661324331423954</v>
      </c>
      <c r="F315" s="304">
        <f t="shared" ca="1" si="126"/>
        <v>4.6607430269587118</v>
      </c>
      <c r="G315" s="306">
        <f t="shared" ca="1" si="127"/>
        <v>15.324899562187458</v>
      </c>
      <c r="H315" s="307">
        <f t="shared" ca="1" si="128"/>
        <v>-86.991631923658176</v>
      </c>
      <c r="I315" s="304">
        <f t="shared" ca="1" si="129"/>
        <v>88.33117553464551</v>
      </c>
      <c r="J315" s="306">
        <f t="shared" ca="1" si="130"/>
        <v>660.53132304016174</v>
      </c>
      <c r="K315" s="307">
        <f t="shared" ca="1" si="131"/>
        <v>698.79497241828267</v>
      </c>
      <c r="L315" s="304">
        <f t="shared" ca="1" si="116"/>
        <v>961.56957220694903</v>
      </c>
      <c r="M315" s="306">
        <f t="shared" ca="1" si="132"/>
        <v>-1.3964202935740089</v>
      </c>
      <c r="N315" s="304">
        <f t="shared" ca="1" si="133"/>
        <v>-80.008989248210099</v>
      </c>
      <c r="P315" s="310">
        <f t="shared" ca="1" si="134"/>
        <v>23</v>
      </c>
      <c r="Q315" s="304">
        <f t="shared" ca="1" si="135"/>
        <v>0</v>
      </c>
      <c r="R315" s="306">
        <f t="shared" ca="1" si="136"/>
        <v>0</v>
      </c>
      <c r="S315" s="307">
        <f t="shared" ca="1" si="137"/>
        <v>5.083000000000002</v>
      </c>
      <c r="T315" s="304">
        <f t="shared" ca="1" si="117"/>
        <v>49.86423000000002</v>
      </c>
      <c r="U315" s="311">
        <f t="shared" ca="1" si="118"/>
        <v>0</v>
      </c>
      <c r="V315" s="306">
        <f t="shared" ca="1" si="119"/>
        <v>1.1422875674788728</v>
      </c>
      <c r="W315" s="304">
        <f t="shared" ca="1" si="120"/>
        <v>27.365721877765672</v>
      </c>
      <c r="Y315" s="314" t="str">
        <f t="shared" ca="1" si="138"/>
        <v/>
      </c>
      <c r="Z315" s="315" t="str">
        <f t="shared" ca="1" si="139"/>
        <v/>
      </c>
      <c r="AA315" s="316" t="str">
        <f t="shared" ca="1" si="140"/>
        <v/>
      </c>
      <c r="AC315" s="310" t="e">
        <f t="shared" ca="1" si="141"/>
        <v>#N/A</v>
      </c>
      <c r="AD315" s="323" t="e">
        <f t="shared" ca="1" si="142"/>
        <v>#N/A</v>
      </c>
      <c r="AE315" s="324" t="e">
        <f t="shared" ca="1" si="121"/>
        <v>#N/A</v>
      </c>
      <c r="AG315" s="306">
        <f t="shared" ca="1" si="143"/>
        <v>4.3314437023781807</v>
      </c>
      <c r="AH315" s="304">
        <f t="shared" ca="1" si="144"/>
        <v>-5.3264535316747548</v>
      </c>
    </row>
    <row r="316" spans="1:34" x14ac:dyDescent="0.2">
      <c r="A316" s="347">
        <f t="shared" ca="1" si="122"/>
        <v>0.1</v>
      </c>
      <c r="B316" s="304">
        <f t="shared" ca="1" si="123"/>
        <v>22.200000000000049</v>
      </c>
      <c r="D316" s="306">
        <f t="shared" ca="1" si="124"/>
        <v>-0.93405064749853517</v>
      </c>
      <c r="E316" s="307">
        <f t="shared" ca="1" si="125"/>
        <v>-4.5078712783388086</v>
      </c>
      <c r="F316" s="304">
        <f t="shared" ca="1" si="126"/>
        <v>4.6036240152910395</v>
      </c>
      <c r="G316" s="306">
        <f t="shared" ca="1" si="127"/>
        <v>15.231494497437604</v>
      </c>
      <c r="H316" s="307">
        <f t="shared" ca="1" si="128"/>
        <v>-87.442419051492053</v>
      </c>
      <c r="I316" s="304">
        <f t="shared" ca="1" si="129"/>
        <v>88.759084460139704</v>
      </c>
      <c r="J316" s="306">
        <f t="shared" ca="1" si="130"/>
        <v>662.05914274314296</v>
      </c>
      <c r="K316" s="307">
        <f t="shared" ca="1" si="131"/>
        <v>690.07326986952512</v>
      </c>
      <c r="L316" s="304">
        <f t="shared" ca="1" si="116"/>
        <v>956.30718196519035</v>
      </c>
      <c r="M316" s="306">
        <f t="shared" ca="1" si="132"/>
        <v>-1.3983378143861414</v>
      </c>
      <c r="N316" s="304">
        <f t="shared" ca="1" si="133"/>
        <v>-80.118855097873791</v>
      </c>
      <c r="P316" s="310">
        <f t="shared" ca="1" si="134"/>
        <v>23</v>
      </c>
      <c r="Q316" s="304">
        <f t="shared" ca="1" si="135"/>
        <v>0</v>
      </c>
      <c r="R316" s="306">
        <f t="shared" ca="1" si="136"/>
        <v>0</v>
      </c>
      <c r="S316" s="307">
        <f t="shared" ca="1" si="137"/>
        <v>5.083000000000002</v>
      </c>
      <c r="T316" s="304">
        <f t="shared" ca="1" si="117"/>
        <v>49.86423000000002</v>
      </c>
      <c r="U316" s="311">
        <f t="shared" ca="1" si="118"/>
        <v>0</v>
      </c>
      <c r="V316" s="306">
        <f t="shared" ca="1" si="119"/>
        <v>1.1432854749169772</v>
      </c>
      <c r="W316" s="304">
        <f t="shared" ca="1" si="120"/>
        <v>27.655642479241024</v>
      </c>
      <c r="Y316" s="314" t="str">
        <f t="shared" ca="1" si="138"/>
        <v/>
      </c>
      <c r="Z316" s="315" t="str">
        <f t="shared" ca="1" si="139"/>
        <v/>
      </c>
      <c r="AA316" s="316" t="str">
        <f t="shared" ca="1" si="140"/>
        <v/>
      </c>
      <c r="AC316" s="310" t="e">
        <f t="shared" ca="1" si="141"/>
        <v>#N/A</v>
      </c>
      <c r="AD316" s="323" t="e">
        <f t="shared" ca="1" si="142"/>
        <v>#N/A</v>
      </c>
      <c r="AE316" s="324" t="e">
        <f t="shared" ca="1" si="121"/>
        <v>#N/A</v>
      </c>
      <c r="AG316" s="306">
        <f t="shared" ca="1" si="143"/>
        <v>4.2774574702379464</v>
      </c>
      <c r="AH316" s="304">
        <f t="shared" ca="1" si="144"/>
        <v>-5.3837737316084322</v>
      </c>
    </row>
    <row r="317" spans="1:34" x14ac:dyDescent="0.2">
      <c r="A317" s="347">
        <f t="shared" ca="1" si="122"/>
        <v>0.1</v>
      </c>
      <c r="B317" s="304">
        <f t="shared" ca="1" si="123"/>
        <v>22.30000000000005</v>
      </c>
      <c r="D317" s="306">
        <f t="shared" ca="1" si="124"/>
        <v>-0.93366987514911581</v>
      </c>
      <c r="E317" s="307">
        <f t="shared" ca="1" si="125"/>
        <v>-4.4498987642166039</v>
      </c>
      <c r="F317" s="304">
        <f t="shared" ca="1" si="126"/>
        <v>4.5467943045114128</v>
      </c>
      <c r="G317" s="306">
        <f t="shared" ca="1" si="127"/>
        <v>15.138127509922692</v>
      </c>
      <c r="H317" s="307">
        <f t="shared" ca="1" si="128"/>
        <v>-87.887408927913711</v>
      </c>
      <c r="I317" s="304">
        <f t="shared" ca="1" si="129"/>
        <v>89.181609946047757</v>
      </c>
      <c r="J317" s="306">
        <f t="shared" ca="1" si="130"/>
        <v>663.57762384351099</v>
      </c>
      <c r="K317" s="307">
        <f t="shared" ca="1" si="131"/>
        <v>681.30677847055483</v>
      </c>
      <c r="L317" s="304">
        <f t="shared" ca="1" si="116"/>
        <v>951.05950878781812</v>
      </c>
      <c r="M317" s="306">
        <f t="shared" ca="1" si="132"/>
        <v>-1.4002254738996187</v>
      </c>
      <c r="N317" s="304">
        <f t="shared" ca="1" si="133"/>
        <v>-80.22701002115376</v>
      </c>
      <c r="P317" s="310">
        <f t="shared" ca="1" si="134"/>
        <v>23</v>
      </c>
      <c r="Q317" s="304">
        <f t="shared" ca="1" si="135"/>
        <v>0</v>
      </c>
      <c r="R317" s="306">
        <f t="shared" ca="1" si="136"/>
        <v>0</v>
      </c>
      <c r="S317" s="307">
        <f t="shared" ca="1" si="137"/>
        <v>5.083000000000002</v>
      </c>
      <c r="T317" s="304">
        <f t="shared" ca="1" si="117"/>
        <v>49.86423000000002</v>
      </c>
      <c r="U317" s="311">
        <f t="shared" ca="1" si="118"/>
        <v>0</v>
      </c>
      <c r="V317" s="306">
        <f t="shared" ca="1" si="119"/>
        <v>1.1442893551102624</v>
      </c>
      <c r="W317" s="304">
        <f t="shared" ca="1" si="120"/>
        <v>27.944086223143628</v>
      </c>
      <c r="Y317" s="314" t="str">
        <f t="shared" ca="1" si="138"/>
        <v/>
      </c>
      <c r="Z317" s="315" t="str">
        <f t="shared" ca="1" si="139"/>
        <v/>
      </c>
      <c r="AA317" s="316" t="str">
        <f t="shared" ca="1" si="140"/>
        <v/>
      </c>
      <c r="AC317" s="310" t="e">
        <f t="shared" ca="1" si="141"/>
        <v>#N/A</v>
      </c>
      <c r="AD317" s="323" t="e">
        <f t="shared" ca="1" si="142"/>
        <v>#N/A</v>
      </c>
      <c r="AE317" s="324" t="e">
        <f t="shared" ca="1" si="121"/>
        <v>#N/A</v>
      </c>
      <c r="AG317" s="306">
        <f t="shared" ca="1" si="143"/>
        <v>4.2236659739313165</v>
      </c>
      <c r="AH317" s="304">
        <f t="shared" ca="1" si="144"/>
        <v>-5.4408110327052945</v>
      </c>
    </row>
    <row r="318" spans="1:34" x14ac:dyDescent="0.2">
      <c r="A318" s="347">
        <f t="shared" ca="1" si="122"/>
        <v>0.1</v>
      </c>
      <c r="B318" s="304">
        <f t="shared" ca="1" si="123"/>
        <v>22.400000000000052</v>
      </c>
      <c r="D318" s="306">
        <f t="shared" ca="1" si="124"/>
        <v>-0.93318264604964951</v>
      </c>
      <c r="E318" s="307">
        <f t="shared" ca="1" si="125"/>
        <v>-4.392222618745997</v>
      </c>
      <c r="F318" s="304">
        <f t="shared" ca="1" si="126"/>
        <v>4.4902616163773983</v>
      </c>
      <c r="G318" s="306">
        <f t="shared" ca="1" si="127"/>
        <v>15.044809245317726</v>
      </c>
      <c r="H318" s="307">
        <f t="shared" ca="1" si="128"/>
        <v>-88.326631189788316</v>
      </c>
      <c r="I318" s="304">
        <f t="shared" ca="1" si="129"/>
        <v>89.598772662156946</v>
      </c>
      <c r="J318" s="306">
        <f t="shared" ca="1" si="130"/>
        <v>665.08677068127304</v>
      </c>
      <c r="K318" s="307">
        <f t="shared" ca="1" si="131"/>
        <v>672.49607646466973</v>
      </c>
      <c r="L318" s="304">
        <f t="shared" ca="1" si="116"/>
        <v>945.82841223745186</v>
      </c>
      <c r="M318" s="306">
        <f t="shared" ca="1" si="132"/>
        <v>-1.4020839802422769</v>
      </c>
      <c r="N318" s="304">
        <f t="shared" ca="1" si="133"/>
        <v>-80.333494590786373</v>
      </c>
      <c r="P318" s="310">
        <f t="shared" ca="1" si="134"/>
        <v>23</v>
      </c>
      <c r="Q318" s="304">
        <f t="shared" ca="1" si="135"/>
        <v>0</v>
      </c>
      <c r="R318" s="306">
        <f t="shared" ca="1" si="136"/>
        <v>0</v>
      </c>
      <c r="S318" s="307">
        <f t="shared" ca="1" si="137"/>
        <v>5.083000000000002</v>
      </c>
      <c r="T318" s="304">
        <f t="shared" ca="1" si="117"/>
        <v>49.86423000000002</v>
      </c>
      <c r="U318" s="311">
        <f t="shared" ca="1" si="118"/>
        <v>0</v>
      </c>
      <c r="V318" s="306">
        <f t="shared" ca="1" si="119"/>
        <v>1.1452991558811214</v>
      </c>
      <c r="W318" s="304">
        <f t="shared" ca="1" si="120"/>
        <v>28.231015498194985</v>
      </c>
      <c r="Y318" s="314" t="str">
        <f t="shared" ca="1" si="138"/>
        <v/>
      </c>
      <c r="Z318" s="315" t="str">
        <f t="shared" ca="1" si="139"/>
        <v/>
      </c>
      <c r="AA318" s="316" t="str">
        <f t="shared" ca="1" si="140"/>
        <v/>
      </c>
      <c r="AC318" s="310" t="e">
        <f t="shared" ca="1" si="141"/>
        <v>#N/A</v>
      </c>
      <c r="AD318" s="323" t="e">
        <f t="shared" ca="1" si="142"/>
        <v>#N/A</v>
      </c>
      <c r="AE318" s="324" t="e">
        <f t="shared" ca="1" si="121"/>
        <v>#N/A</v>
      </c>
      <c r="AG318" s="306">
        <f t="shared" ca="1" si="143"/>
        <v>4.1700797702037447</v>
      </c>
      <c r="AH318" s="304">
        <f t="shared" ca="1" si="144"/>
        <v>-5.497557785391229</v>
      </c>
    </row>
    <row r="319" spans="1:34" x14ac:dyDescent="0.2">
      <c r="A319" s="347">
        <f t="shared" ca="1" si="122"/>
        <v>0.1</v>
      </c>
      <c r="B319" s="304">
        <f t="shared" ca="1" si="123"/>
        <v>22.500000000000053</v>
      </c>
      <c r="D319" s="306">
        <f t="shared" ca="1" si="124"/>
        <v>-0.93259056139622076</v>
      </c>
      <c r="E319" s="307">
        <f t="shared" ca="1" si="125"/>
        <v>-4.334850317184463</v>
      </c>
      <c r="F319" s="304">
        <f t="shared" ca="1" si="126"/>
        <v>4.4340334265315997</v>
      </c>
      <c r="G319" s="306">
        <f t="shared" ca="1" si="127"/>
        <v>14.951550189178104</v>
      </c>
      <c r="H319" s="307">
        <f t="shared" ca="1" si="128"/>
        <v>-88.760116221506763</v>
      </c>
      <c r="I319" s="304">
        <f t="shared" ca="1" si="129"/>
        <v>90.010594291532712</v>
      </c>
      <c r="J319" s="306">
        <f t="shared" ca="1" si="130"/>
        <v>666.58658865299788</v>
      </c>
      <c r="K319" s="307">
        <f t="shared" ca="1" si="131"/>
        <v>663.64173909410499</v>
      </c>
      <c r="L319" s="304">
        <f t="shared" ca="1" si="116"/>
        <v>940.61577598926613</v>
      </c>
      <c r="M319" s="306">
        <f t="shared" ca="1" si="132"/>
        <v>-1.403914018823242</v>
      </c>
      <c r="N319" s="304">
        <f t="shared" ca="1" si="133"/>
        <v>-80.438348077821772</v>
      </c>
      <c r="P319" s="310">
        <f t="shared" ca="1" si="134"/>
        <v>23</v>
      </c>
      <c r="Q319" s="304">
        <f t="shared" ca="1" si="135"/>
        <v>0</v>
      </c>
      <c r="R319" s="306">
        <f t="shared" ca="1" si="136"/>
        <v>0</v>
      </c>
      <c r="S319" s="307">
        <f t="shared" ca="1" si="137"/>
        <v>5.083000000000002</v>
      </c>
      <c r="T319" s="304">
        <f t="shared" ca="1" si="117"/>
        <v>49.86423000000002</v>
      </c>
      <c r="U319" s="311">
        <f t="shared" ca="1" si="118"/>
        <v>0</v>
      </c>
      <c r="V319" s="306">
        <f t="shared" ca="1" si="119"/>
        <v>1.1463148252708799</v>
      </c>
      <c r="W319" s="304">
        <f t="shared" ca="1" si="120"/>
        <v>28.516393955478858</v>
      </c>
      <c r="Y319" s="314" t="str">
        <f t="shared" ca="1" si="138"/>
        <v/>
      </c>
      <c r="Z319" s="315" t="str">
        <f t="shared" ca="1" si="139"/>
        <v/>
      </c>
      <c r="AA319" s="316" t="str">
        <f t="shared" ca="1" si="140"/>
        <v/>
      </c>
      <c r="AC319" s="310" t="e">
        <f t="shared" ca="1" si="141"/>
        <v>#N/A</v>
      </c>
      <c r="AD319" s="323" t="e">
        <f t="shared" ca="1" si="142"/>
        <v>#N/A</v>
      </c>
      <c r="AE319" s="324" t="e">
        <f t="shared" ca="1" si="121"/>
        <v>#N/A</v>
      </c>
      <c r="AG319" s="306">
        <f t="shared" ca="1" si="143"/>
        <v>4.1167090482310575</v>
      </c>
      <c r="AH319" s="304">
        <f t="shared" ca="1" si="144"/>
        <v>-5.5540065902409941</v>
      </c>
    </row>
    <row r="320" spans="1:34" x14ac:dyDescent="0.2">
      <c r="A320" s="347">
        <f t="shared" ca="1" si="122"/>
        <v>0.1</v>
      </c>
      <c r="B320" s="304">
        <f t="shared" ca="1" si="123"/>
        <v>22.600000000000055</v>
      </c>
      <c r="D320" s="306">
        <f t="shared" ca="1" si="124"/>
        <v>-0.93189523280423781</v>
      </c>
      <c r="E320" s="307">
        <f t="shared" ca="1" si="125"/>
        <v>-4.2777890838475585</v>
      </c>
      <c r="F320" s="304">
        <f t="shared" ca="1" si="126"/>
        <v>4.3781169663233763</v>
      </c>
      <c r="G320" s="306">
        <f t="shared" ca="1" si="127"/>
        <v>14.858360665897679</v>
      </c>
      <c r="H320" s="307">
        <f t="shared" ca="1" si="128"/>
        <v>-89.187895129891515</v>
      </c>
      <c r="I320" s="304">
        <f t="shared" ca="1" si="129"/>
        <v>90.417097494768228</v>
      </c>
      <c r="J320" s="306">
        <f t="shared" ca="1" si="130"/>
        <v>668.0770841957517</v>
      </c>
      <c r="K320" s="307">
        <f t="shared" ca="1" si="131"/>
        <v>654.7443385265351</v>
      </c>
      <c r="L320" s="304">
        <f t="shared" ca="1" si="116"/>
        <v>935.42350796847495</v>
      </c>
      <c r="M320" s="306">
        <f t="shared" ca="1" si="132"/>
        <v>-1.405716253222677</v>
      </c>
      <c r="N320" s="304">
        <f t="shared" ca="1" si="133"/>
        <v>-80.541608502602699</v>
      </c>
      <c r="P320" s="310">
        <f t="shared" ca="1" si="134"/>
        <v>23</v>
      </c>
      <c r="Q320" s="304">
        <f t="shared" ca="1" si="135"/>
        <v>0</v>
      </c>
      <c r="R320" s="306">
        <f t="shared" ca="1" si="136"/>
        <v>0</v>
      </c>
      <c r="S320" s="307">
        <f t="shared" ca="1" si="137"/>
        <v>5.083000000000002</v>
      </c>
      <c r="T320" s="304">
        <f t="shared" ca="1" si="117"/>
        <v>49.86423000000002</v>
      </c>
      <c r="U320" s="311">
        <f t="shared" ca="1" si="118"/>
        <v>0</v>
      </c>
      <c r="V320" s="306">
        <f t="shared" ca="1" si="119"/>
        <v>1.1473363115466941</v>
      </c>
      <c r="W320" s="304">
        <f t="shared" ca="1" si="120"/>
        <v>28.800186498632964</v>
      </c>
      <c r="Y320" s="314" t="str">
        <f t="shared" ca="1" si="138"/>
        <v/>
      </c>
      <c r="Z320" s="315" t="str">
        <f t="shared" ca="1" si="139"/>
        <v/>
      </c>
      <c r="AA320" s="316" t="str">
        <f t="shared" ca="1" si="140"/>
        <v/>
      </c>
      <c r="AC320" s="310" t="e">
        <f t="shared" ca="1" si="141"/>
        <v>#N/A</v>
      </c>
      <c r="AD320" s="323" t="e">
        <f t="shared" ca="1" si="142"/>
        <v>#N/A</v>
      </c>
      <c r="AE320" s="324" t="e">
        <f t="shared" ca="1" si="121"/>
        <v>#N/A</v>
      </c>
      <c r="AG320" s="306">
        <f t="shared" ca="1" si="143"/>
        <v>4.0635636370137957</v>
      </c>
      <c r="AH320" s="304">
        <f t="shared" ca="1" si="144"/>
        <v>-5.6101502961791949</v>
      </c>
    </row>
    <row r="321" spans="1:34" x14ac:dyDescent="0.2">
      <c r="A321" s="347">
        <f t="shared" ca="1" si="122"/>
        <v>0.1</v>
      </c>
      <c r="B321" s="304">
        <f t="shared" ca="1" si="123"/>
        <v>22.700000000000056</v>
      </c>
      <c r="D321" s="306">
        <f t="shared" ca="1" si="124"/>
        <v>-0.9310982811168047</v>
      </c>
      <c r="E321" s="307">
        <f t="shared" ca="1" si="125"/>
        <v>-4.2210458940154698</v>
      </c>
      <c r="F321" s="304">
        <f t="shared" ca="1" si="126"/>
        <v>4.3225192247673716</v>
      </c>
      <c r="G321" s="306">
        <f t="shared" ca="1" si="127"/>
        <v>14.765250837785999</v>
      </c>
      <c r="H321" s="307">
        <f t="shared" ca="1" si="128"/>
        <v>-89.609999719293057</v>
      </c>
      <c r="I321" s="304">
        <f t="shared" ca="1" si="129"/>
        <v>90.818305874941544</v>
      </c>
      <c r="J321" s="306">
        <f t="shared" ca="1" si="130"/>
        <v>669.55826477093592</v>
      </c>
      <c r="K321" s="307">
        <f t="shared" ca="1" si="131"/>
        <v>645.80444378407583</v>
      </c>
      <c r="L321" s="304">
        <f t="shared" ca="1" si="116"/>
        <v>930.25354045782933</v>
      </c>
      <c r="M321" s="306">
        <f t="shared" ca="1" si="132"/>
        <v>-1.407491326040839</v>
      </c>
      <c r="N321" s="304">
        <f t="shared" ca="1" si="133"/>
        <v>-80.643312683411779</v>
      </c>
      <c r="P321" s="310">
        <f t="shared" ca="1" si="134"/>
        <v>23</v>
      </c>
      <c r="Q321" s="304">
        <f t="shared" ca="1" si="135"/>
        <v>0</v>
      </c>
      <c r="R321" s="306">
        <f t="shared" ca="1" si="136"/>
        <v>0</v>
      </c>
      <c r="S321" s="307">
        <f t="shared" ca="1" si="137"/>
        <v>5.083000000000002</v>
      </c>
      <c r="T321" s="304">
        <f t="shared" ca="1" si="117"/>
        <v>49.86423000000002</v>
      </c>
      <c r="U321" s="311">
        <f t="shared" ca="1" si="118"/>
        <v>0</v>
      </c>
      <c r="V321" s="306">
        <f t="shared" ca="1" si="119"/>
        <v>1.1483635632082454</v>
      </c>
      <c r="W321" s="304">
        <f t="shared" ca="1" si="120"/>
        <v>29.082359273405238</v>
      </c>
      <c r="Y321" s="314" t="str">
        <f t="shared" ca="1" si="138"/>
        <v/>
      </c>
      <c r="Z321" s="315" t="str">
        <f t="shared" ca="1" si="139"/>
        <v/>
      </c>
      <c r="AA321" s="316" t="str">
        <f t="shared" ca="1" si="140"/>
        <v/>
      </c>
      <c r="AC321" s="310" t="e">
        <f t="shared" ca="1" si="141"/>
        <v>#N/A</v>
      </c>
      <c r="AD321" s="323" t="e">
        <f t="shared" ca="1" si="142"/>
        <v>#N/A</v>
      </c>
      <c r="AE321" s="324" t="e">
        <f t="shared" ca="1" si="121"/>
        <v>#N/A</v>
      </c>
      <c r="AG321" s="306">
        <f t="shared" ca="1" si="143"/>
        <v>4.010653012597122</v>
      </c>
      <c r="AH321" s="304">
        <f t="shared" ca="1" si="144"/>
        <v>-5.6659819985506497</v>
      </c>
    </row>
    <row r="322" spans="1:34" x14ac:dyDescent="0.2">
      <c r="A322" s="347">
        <f t="shared" ca="1" si="122"/>
        <v>0.1</v>
      </c>
      <c r="B322" s="304">
        <f t="shared" ca="1" si="123"/>
        <v>22.800000000000058</v>
      </c>
      <c r="D322" s="306">
        <f t="shared" ca="1" si="124"/>
        <v>-0.93020133524350368</v>
      </c>
      <c r="E322" s="307">
        <f t="shared" ca="1" si="125"/>
        <v>-4.1646274759694331</v>
      </c>
      <c r="F322" s="304">
        <f t="shared" ca="1" si="126"/>
        <v>4.267246950633198</v>
      </c>
      <c r="G322" s="306">
        <f t="shared" ca="1" si="127"/>
        <v>14.672230704261649</v>
      </c>
      <c r="H322" s="307">
        <f t="shared" ca="1" si="128"/>
        <v>-90.026462466889996</v>
      </c>
      <c r="I322" s="304">
        <f t="shared" ca="1" si="129"/>
        <v>91.214243943264862</v>
      </c>
      <c r="J322" s="306">
        <f t="shared" ca="1" si="130"/>
        <v>671.03013884803829</v>
      </c>
      <c r="K322" s="307">
        <f t="shared" ca="1" si="131"/>
        <v>636.82262067476665</v>
      </c>
      <c r="L322" s="304">
        <f t="shared" ca="1" si="116"/>
        <v>925.10783017197264</v>
      </c>
      <c r="M322" s="306">
        <f t="shared" ca="1" si="132"/>
        <v>-1.4092398597085647</v>
      </c>
      <c r="N322" s="304">
        <f t="shared" ca="1" si="133"/>
        <v>-80.743496282908993</v>
      </c>
      <c r="P322" s="310">
        <f t="shared" ca="1" si="134"/>
        <v>23</v>
      </c>
      <c r="Q322" s="304">
        <f t="shared" ca="1" si="135"/>
        <v>0</v>
      </c>
      <c r="R322" s="306">
        <f t="shared" ca="1" si="136"/>
        <v>0</v>
      </c>
      <c r="S322" s="307">
        <f t="shared" ca="1" si="137"/>
        <v>5.083000000000002</v>
      </c>
      <c r="T322" s="304">
        <f t="shared" ca="1" si="117"/>
        <v>49.86423000000002</v>
      </c>
      <c r="U322" s="311">
        <f t="shared" ca="1" si="118"/>
        <v>0</v>
      </c>
      <c r="V322" s="306">
        <f t="shared" ca="1" si="119"/>
        <v>1.1493965289942409</v>
      </c>
      <c r="W322" s="304">
        <f t="shared" ca="1" si="120"/>
        <v>29.362879656603159</v>
      </c>
      <c r="Y322" s="314" t="str">
        <f t="shared" ca="1" si="138"/>
        <v/>
      </c>
      <c r="Z322" s="315" t="str">
        <f t="shared" ca="1" si="139"/>
        <v/>
      </c>
      <c r="AA322" s="316" t="str">
        <f t="shared" ca="1" si="140"/>
        <v/>
      </c>
      <c r="AC322" s="310" t="e">
        <f t="shared" ca="1" si="141"/>
        <v>#N/A</v>
      </c>
      <c r="AD322" s="323" t="e">
        <f t="shared" ca="1" si="142"/>
        <v>#N/A</v>
      </c>
      <c r="AE322" s="324" t="e">
        <f t="shared" ca="1" si="121"/>
        <v>#N/A</v>
      </c>
      <c r="AG322" s="306">
        <f t="shared" ca="1" si="143"/>
        <v>3.9579863051293529</v>
      </c>
      <c r="AH322" s="304">
        <f t="shared" ca="1" si="144"/>
        <v>-5.721495037065754</v>
      </c>
    </row>
    <row r="323" spans="1:34" x14ac:dyDescent="0.2">
      <c r="A323" s="347">
        <f t="shared" ca="1" si="122"/>
        <v>0.1</v>
      </c>
      <c r="B323" s="304">
        <f t="shared" ca="1" si="123"/>
        <v>22.900000000000059</v>
      </c>
      <c r="D323" s="306">
        <f t="shared" ca="1" si="124"/>
        <v>-0.92920603102943444</v>
      </c>
      <c r="E323" s="307">
        <f t="shared" ca="1" si="125"/>
        <v>-4.1085403131521359</v>
      </c>
      <c r="F323" s="304">
        <f t="shared" ca="1" si="126"/>
        <v>4.2123066546605701</v>
      </c>
      <c r="G323" s="306">
        <f t="shared" ca="1" si="127"/>
        <v>14.579310101158706</v>
      </c>
      <c r="H323" s="307">
        <f t="shared" ca="1" si="128"/>
        <v>-90.437316498205206</v>
      </c>
      <c r="I323" s="304">
        <f t="shared" ca="1" si="129"/>
        <v>91.604937085411976</v>
      </c>
      <c r="J323" s="306">
        <f t="shared" ca="1" si="130"/>
        <v>672.49271588830936</v>
      </c>
      <c r="K323" s="307">
        <f t="shared" ca="1" si="131"/>
        <v>627.7994317265119</v>
      </c>
      <c r="L323" s="304">
        <f t="shared" ca="1" si="116"/>
        <v>919.98835829534585</v>
      </c>
      <c r="M323" s="306">
        <f t="shared" ca="1" si="132"/>
        <v>-1.4109624572611736</v>
      </c>
      <c r="N323" s="304">
        <f t="shared" ca="1" si="133"/>
        <v>-80.842193852473045</v>
      </c>
      <c r="P323" s="310">
        <f t="shared" ca="1" si="134"/>
        <v>23</v>
      </c>
      <c r="Q323" s="304">
        <f t="shared" ca="1" si="135"/>
        <v>0</v>
      </c>
      <c r="R323" s="306">
        <f t="shared" ca="1" si="136"/>
        <v>0</v>
      </c>
      <c r="S323" s="307">
        <f t="shared" ca="1" si="137"/>
        <v>5.083000000000002</v>
      </c>
      <c r="T323" s="304">
        <f t="shared" ca="1" si="117"/>
        <v>49.86423000000002</v>
      </c>
      <c r="U323" s="311">
        <f t="shared" ca="1" si="118"/>
        <v>0</v>
      </c>
      <c r="V323" s="306">
        <f t="shared" ca="1" si="119"/>
        <v>1.1504351578887146</v>
      </c>
      <c r="W323" s="304">
        <f t="shared" ca="1" si="120"/>
        <v>29.641716244464359</v>
      </c>
      <c r="Y323" s="314" t="str">
        <f t="shared" ca="1" si="138"/>
        <v/>
      </c>
      <c r="Z323" s="315" t="str">
        <f t="shared" ca="1" si="139"/>
        <v/>
      </c>
      <c r="AA323" s="316" t="str">
        <f t="shared" ca="1" si="140"/>
        <v/>
      </c>
      <c r="AC323" s="310" t="e">
        <f t="shared" ca="1" si="141"/>
        <v>#N/A</v>
      </c>
      <c r="AD323" s="323" t="e">
        <f t="shared" ca="1" si="142"/>
        <v>#N/A</v>
      </c>
      <c r="AE323" s="324" t="e">
        <f t="shared" ca="1" si="121"/>
        <v>#N/A</v>
      </c>
      <c r="AG323" s="306">
        <f t="shared" ca="1" si="143"/>
        <v>3.9055723057708311</v>
      </c>
      <c r="AH323" s="304">
        <f t="shared" ca="1" si="144"/>
        <v>-5.776682993626431</v>
      </c>
    </row>
    <row r="324" spans="1:34" x14ac:dyDescent="0.2">
      <c r="A324" s="347">
        <f t="shared" ca="1" si="122"/>
        <v>0.1</v>
      </c>
      <c r="B324" s="304">
        <f t="shared" ca="1" si="123"/>
        <v>23.00000000000006</v>
      </c>
      <c r="D324" s="306">
        <f t="shared" ca="1" si="124"/>
        <v>-0.92811401015438988</v>
      </c>
      <c r="E324" s="307">
        <f t="shared" ca="1" si="125"/>
        <v>-4.0527906464462875</v>
      </c>
      <c r="F324" s="304">
        <f t="shared" ca="1" si="126"/>
        <v>4.1577046118943297</v>
      </c>
      <c r="G324" s="306">
        <f t="shared" ca="1" si="127"/>
        <v>14.486498700143267</v>
      </c>
      <c r="H324" s="307">
        <f t="shared" ca="1" si="128"/>
        <v>-90.842595562849837</v>
      </c>
      <c r="I324" s="304">
        <f t="shared" ca="1" si="129"/>
        <v>91.99041152851072</v>
      </c>
      <c r="J324" s="306">
        <f t="shared" ca="1" si="130"/>
        <v>673.94600632837444</v>
      </c>
      <c r="K324" s="307">
        <f t="shared" ca="1" si="131"/>
        <v>618.73543612345918</v>
      </c>
      <c r="L324" s="304">
        <f t="shared" ref="L324:L387" ca="1" si="145">SQRT(pos_x^2+pos_z^2)</f>
        <v>914.89713048017177</v>
      </c>
      <c r="M324" s="306">
        <f t="shared" ca="1" si="132"/>
        <v>-1.4126597030776746</v>
      </c>
      <c r="N324" s="304">
        <f t="shared" ca="1" si="133"/>
        <v>-80.939438874554781</v>
      </c>
      <c r="P324" s="310">
        <f t="shared" ca="1" si="134"/>
        <v>23</v>
      </c>
      <c r="Q324" s="304">
        <f t="shared" ca="1" si="135"/>
        <v>0</v>
      </c>
      <c r="R324" s="306">
        <f t="shared" ca="1" si="136"/>
        <v>0</v>
      </c>
      <c r="S324" s="307">
        <f t="shared" ca="1" si="137"/>
        <v>5.083000000000002</v>
      </c>
      <c r="T324" s="304">
        <f t="shared" ref="T324:T387" ca="1" si="146">m*g</f>
        <v>49.86423000000002</v>
      </c>
      <c r="U324" s="311">
        <f t="shared" ref="U324:U387" ca="1" si="147">IF(pos_xz&lt;L_rampe,Poids*COS(Beta),0)</f>
        <v>0</v>
      </c>
      <c r="V324" s="306">
        <f t="shared" ref="V324:V387" ca="1" si="148">Rho_moyen*(20000-Alt_rampe-pos_z)/(20000+Alt_rampe+pos_z)</f>
        <v>1.151479399127133</v>
      </c>
      <c r="W324" s="304">
        <f t="shared" ref="W324:W387" ca="1" si="149">1/2*Rho*Sref*Cx*vit_xz^2</f>
        <v>29.918838840476564</v>
      </c>
      <c r="Y324" s="314" t="str">
        <f t="shared" ca="1" si="138"/>
        <v/>
      </c>
      <c r="Z324" s="315" t="str">
        <f t="shared" ca="1" si="139"/>
        <v/>
      </c>
      <c r="AA324" s="316" t="str">
        <f t="shared" ca="1" si="140"/>
        <v/>
      </c>
      <c r="AC324" s="310">
        <f t="shared" ca="1" si="141"/>
        <v>23.00000000000006</v>
      </c>
      <c r="AD324" s="323">
        <f t="shared" ca="1" si="142"/>
        <v>673.94600632837444</v>
      </c>
      <c r="AE324" s="324" t="e">
        <f t="shared" ref="AE324:AE387" ca="1" si="150">IF(t&lt;T_para, pos_z, NA())</f>
        <v>#N/A</v>
      </c>
      <c r="AG324" s="306">
        <f t="shared" ca="1" si="143"/>
        <v>3.8534194734638527</v>
      </c>
      <c r="AH324" s="304">
        <f t="shared" ca="1" si="144"/>
        <v>-5.8315396900382348</v>
      </c>
    </row>
    <row r="325" spans="1:34" x14ac:dyDescent="0.2">
      <c r="A325" s="347">
        <f t="shared" ref="A325:A388" ca="1" si="151">IF(B324+0.01&lt;=T_ini+ROUNDUP(Temps_fin_propu,0), 0.01, IF(K324&gt;0, 0.1, 0.0001))</f>
        <v>0.1</v>
      </c>
      <c r="B325" s="304">
        <f t="shared" ref="B325:B388" ca="1" si="152">B324+pas</f>
        <v>23.100000000000062</v>
      </c>
      <c r="D325" s="306">
        <f t="shared" ref="D325:D388" ca="1" si="153">IF(AND(L324&lt;L_rampe,Poussee&lt;Poids*SIN(M324)),0,(-W324+Poussee)/m*COS(M324)-U324/m*SIN(M324))</f>
        <v>-0.92692691906197122</v>
      </c>
      <c r="E325" s="307">
        <f t="shared" ref="E325:E388" ca="1" si="154">IF(AND(L324&lt;L_rampe,Poussee&lt;Poids*SIN(M324)),0,(-W324+Poussee)/m*SIN(M324)+U324/m*COS(M324)-Poids/m)</f>
        <v>-3.9973844765655979</v>
      </c>
      <c r="F325" s="304">
        <f t="shared" ref="F325:F388" ca="1" si="155">SQRT(acc_x^2+acc_z^2)</f>
        <v>4.1034468641337778</v>
      </c>
      <c r="G325" s="306">
        <f t="shared" ref="G325:G388" ca="1" si="156">G324+acc_x*pas</f>
        <v>14.393806008237069</v>
      </c>
      <c r="H325" s="307">
        <f t="shared" ref="H325:H388" ca="1" si="157">H324+acc_z*pas</f>
        <v>-91.242334010506397</v>
      </c>
      <c r="I325" s="304">
        <f t="shared" ref="I325:I388" ca="1" si="158">SQRT(vit_x^2+vit_z^2)</f>
        <v>92.370694308788075</v>
      </c>
      <c r="J325" s="306">
        <f t="shared" ref="J325:J388" ca="1" si="159">J324+0.5*(vit_x+G324)*pas*(K324&gt;=0)</f>
        <v>675.39002156379343</v>
      </c>
      <c r="K325" s="307">
        <f t="shared" ref="K325:K388" ca="1" si="160">K324+0.5*(vit_z+H324)*pas</f>
        <v>609.63118964479133</v>
      </c>
      <c r="L325" s="304">
        <f t="shared" ca="1" si="145"/>
        <v>909.83617680089253</v>
      </c>
      <c r="M325" s="306">
        <f t="shared" ref="M325:M388" ca="1" si="161">IF(AND(L324&gt;L_rampe,G325&gt;0),ATAN2(G325,H325),$M$4)</f>
        <v>-1.4143321635870429</v>
      </c>
      <c r="N325" s="304">
        <f t="shared" ref="N325:N388" ca="1" si="162">DEGREES(Beta)</f>
        <v>-81.035263803143891</v>
      </c>
      <c r="P325" s="310">
        <f t="shared" ref="P325:P388" ca="1" si="163">MATCH(t-pas/2-T_ini,CdP_t)</f>
        <v>23</v>
      </c>
      <c r="Q325" s="304">
        <f t="shared" ref="Q325:Q388" ca="1" si="164">(INDEX(CdP,2,i_P+1)-INDEX(CdP,2,i_P+0))/(INDEX(CdP,1,i_P+1)-INDEX(CdP,1,i_P+0))*(t-pas/2-T_ini-INDEX(CdP,1,i_P+0))+INDEX(CdP,2,i_P+0)</f>
        <v>0</v>
      </c>
      <c r="R325" s="306">
        <f t="shared" ref="R325:R388" ca="1" si="165">Poussee/(g*ISP)</f>
        <v>0</v>
      </c>
      <c r="S325" s="307">
        <f t="shared" ref="S325:S388" ca="1" si="166">S324-Débit*pas</f>
        <v>5.083000000000002</v>
      </c>
      <c r="T325" s="304">
        <f t="shared" ca="1" si="146"/>
        <v>49.86423000000002</v>
      </c>
      <c r="U325" s="311">
        <f t="shared" ca="1" si="147"/>
        <v>0</v>
      </c>
      <c r="V325" s="306">
        <f t="shared" ca="1" si="148"/>
        <v>1.1525292022023088</v>
      </c>
      <c r="W325" s="304">
        <f t="shared" ca="1" si="149"/>
        <v>30.194218442674515</v>
      </c>
      <c r="Y325" s="314" t="str">
        <f t="shared" ref="Y325:Y388" ca="1" si="167">IF(AND(pos_z&lt;=0,K324&gt;0),"Impact balistique","") &amp; IF(AND(H326&lt;0,vit_z&gt;=0),"Apogée","") &amp; IF(AND(Poussee=0,Q324&gt;0),"Fin de propulsion","") &amp; IF(AND(L326&gt;L_rampe,pos_xz&lt;=L_rampe),"Sortie de rampe","")</f>
        <v/>
      </c>
      <c r="Z325" s="315" t="str">
        <f t="shared" ref="Z325:Z388" ca="1" si="168">IF(ABS(t-T_para)&lt;pas/2,"Para","")</f>
        <v/>
      </c>
      <c r="AA325" s="316" t="str">
        <f t="shared" ref="AA325:AA388" ca="1" si="169">IF(ABS(t-T_satellite)&lt;pas/2,"Satellite","")</f>
        <v/>
      </c>
      <c r="AC325" s="310" t="e">
        <f t="shared" ref="AC325:AC388" ca="1" si="170">IF(ABS(t-ROUND(t,0))&lt;0.001,t,NA())</f>
        <v>#N/A</v>
      </c>
      <c r="AD325" s="323" t="e">
        <f t="shared" ref="AD325:AD388" ca="1" si="171">IF(ABS(t-ROUND(t,0))&lt;0.001,pos_x,NA())</f>
        <v>#N/A</v>
      </c>
      <c r="AE325" s="324" t="e">
        <f t="shared" ca="1" si="150"/>
        <v>#N/A</v>
      </c>
      <c r="AG325" s="306">
        <f t="shared" ref="AG325:AG388" ca="1" si="172">IF(AND(L324&lt;L_rampe,Poussee&lt;Poids*SIN(M324)),0,(-W324+Poussee)/m-Poids*SIN(M324)/m)</f>
        <v>3.8015359415732073</v>
      </c>
      <c r="AH325" s="304">
        <f t="shared" ref="AH325:AH388" ca="1" si="173">IF(AND(L324&lt;L_rampe,Poussee&lt;Poids*SIN(M324)), g*SIN(M324), (-W324+Poussee)/m)</f>
        <v>-5.8860591856141165</v>
      </c>
    </row>
    <row r="326" spans="1:34" x14ac:dyDescent="0.2">
      <c r="A326" s="347">
        <f t="shared" ca="1" si="151"/>
        <v>0.1</v>
      </c>
      <c r="B326" s="304">
        <f t="shared" ca="1" si="152"/>
        <v>23.200000000000063</v>
      </c>
      <c r="D326" s="306">
        <f t="shared" ca="1" si="153"/>
        <v>-0.92564640791848318</v>
      </c>
      <c r="E326" s="307">
        <f t="shared" ca="1" si="154"/>
        <v>-3.9423275665524962</v>
      </c>
      <c r="F326" s="304">
        <f t="shared" ca="1" si="155"/>
        <v>4.049539222490889</v>
      </c>
      <c r="G326" s="306">
        <f t="shared" ca="1" si="156"/>
        <v>14.301241367445222</v>
      </c>
      <c r="H326" s="307">
        <f t="shared" ca="1" si="157"/>
        <v>-91.636566767161654</v>
      </c>
      <c r="I326" s="304">
        <f t="shared" ca="1" si="158"/>
        <v>92.74581323985683</v>
      </c>
      <c r="J326" s="306">
        <f t="shared" ca="1" si="159"/>
        <v>676.8247739325775</v>
      </c>
      <c r="K326" s="307">
        <f t="shared" ca="1" si="160"/>
        <v>600.4872446059079</v>
      </c>
      <c r="L326" s="304">
        <f t="shared" ca="1" si="145"/>
        <v>904.80755166128017</v>
      </c>
      <c r="M326" s="306">
        <f t="shared" ca="1" si="161"/>
        <v>-1.4159803879432389</v>
      </c>
      <c r="N326" s="304">
        <f t="shared" ca="1" si="162"/>
        <v>-81.129700102444588</v>
      </c>
      <c r="P326" s="310">
        <f t="shared" ca="1" si="163"/>
        <v>23</v>
      </c>
      <c r="Q326" s="304">
        <f t="shared" ca="1" si="164"/>
        <v>0</v>
      </c>
      <c r="R326" s="306">
        <f t="shared" ca="1" si="165"/>
        <v>0</v>
      </c>
      <c r="S326" s="307">
        <f t="shared" ca="1" si="166"/>
        <v>5.083000000000002</v>
      </c>
      <c r="T326" s="304">
        <f t="shared" ca="1" si="146"/>
        <v>49.86423000000002</v>
      </c>
      <c r="U326" s="311">
        <f t="shared" ca="1" si="147"/>
        <v>0</v>
      </c>
      <c r="V326" s="306">
        <f t="shared" ca="1" si="148"/>
        <v>1.1535845168701193</v>
      </c>
      <c r="W326" s="304">
        <f t="shared" ca="1" si="149"/>
        <v>30.467827230441383</v>
      </c>
      <c r="Y326" s="314" t="str">
        <f t="shared" ca="1" si="167"/>
        <v/>
      </c>
      <c r="Z326" s="315" t="str">
        <f t="shared" ca="1" si="168"/>
        <v/>
      </c>
      <c r="AA326" s="316" t="str">
        <f t="shared" ca="1" si="169"/>
        <v/>
      </c>
      <c r="AC326" s="310" t="e">
        <f t="shared" ca="1" si="170"/>
        <v>#N/A</v>
      </c>
      <c r="AD326" s="323" t="e">
        <f t="shared" ca="1" si="171"/>
        <v>#N/A</v>
      </c>
      <c r="AE326" s="324" t="e">
        <f t="shared" ca="1" si="150"/>
        <v>#N/A</v>
      </c>
      <c r="AG326" s="306">
        <f t="shared" ca="1" si="172"/>
        <v>3.749929524406042</v>
      </c>
      <c r="AH326" s="304">
        <f t="shared" ca="1" si="173"/>
        <v>-5.9402357746752905</v>
      </c>
    </row>
    <row r="327" spans="1:34" x14ac:dyDescent="0.2">
      <c r="A327" s="347">
        <f t="shared" ca="1" si="151"/>
        <v>0.1</v>
      </c>
      <c r="B327" s="304">
        <f t="shared" ca="1" si="152"/>
        <v>23.300000000000065</v>
      </c>
      <c r="D327" s="306">
        <f t="shared" ca="1" si="153"/>
        <v>-0.92427412960142952</v>
      </c>
      <c r="E327" s="307">
        <f t="shared" ca="1" si="154"/>
        <v>-3.8876254443769316</v>
      </c>
      <c r="F327" s="304">
        <f t="shared" ca="1" si="155"/>
        <v>3.9959872700519723</v>
      </c>
      <c r="G327" s="306">
        <f t="shared" ca="1" si="156"/>
        <v>14.208813954485079</v>
      </c>
      <c r="H327" s="307">
        <f t="shared" ca="1" si="157"/>
        <v>-92.02532931159935</v>
      </c>
      <c r="I327" s="304">
        <f t="shared" ca="1" si="158"/>
        <v>93.11579688163269</v>
      </c>
      <c r="J327" s="306">
        <f t="shared" ca="1" si="159"/>
        <v>678.25027669867404</v>
      </c>
      <c r="K327" s="307">
        <f t="shared" ca="1" si="160"/>
        <v>591.30414980196986</v>
      </c>
      <c r="L327" s="304">
        <f t="shared" ca="1" si="145"/>
        <v>899.81333365029559</v>
      </c>
      <c r="M327" s="306">
        <f t="shared" ca="1" si="161"/>
        <v>-1.4176049086705482</v>
      </c>
      <c r="N327" s="304">
        <f t="shared" ca="1" si="162"/>
        <v>-81.222778283850928</v>
      </c>
      <c r="P327" s="310">
        <f t="shared" ca="1" si="163"/>
        <v>23</v>
      </c>
      <c r="Q327" s="304">
        <f t="shared" ca="1" si="164"/>
        <v>0</v>
      </c>
      <c r="R327" s="306">
        <f t="shared" ca="1" si="165"/>
        <v>0</v>
      </c>
      <c r="S327" s="307">
        <f t="shared" ca="1" si="166"/>
        <v>5.083000000000002</v>
      </c>
      <c r="T327" s="304">
        <f t="shared" ca="1" si="146"/>
        <v>49.86423000000002</v>
      </c>
      <c r="U327" s="311">
        <f t="shared" ca="1" si="147"/>
        <v>0</v>
      </c>
      <c r="V327" s="306">
        <f t="shared" ca="1" si="148"/>
        <v>1.1546452931550351</v>
      </c>
      <c r="W327" s="304">
        <f t="shared" ca="1" si="149"/>
        <v>30.739638550841534</v>
      </c>
      <c r="Y327" s="314" t="str">
        <f t="shared" ca="1" si="167"/>
        <v/>
      </c>
      <c r="Z327" s="315" t="str">
        <f t="shared" ca="1" si="168"/>
        <v/>
      </c>
      <c r="AA327" s="316" t="str">
        <f t="shared" ca="1" si="169"/>
        <v/>
      </c>
      <c r="AC327" s="310" t="e">
        <f t="shared" ca="1" si="170"/>
        <v>#N/A</v>
      </c>
      <c r="AD327" s="323" t="e">
        <f t="shared" ca="1" si="171"/>
        <v>#N/A</v>
      </c>
      <c r="AE327" s="324" t="e">
        <f t="shared" ca="1" si="150"/>
        <v>#N/A</v>
      </c>
      <c r="AG327" s="306">
        <f t="shared" ca="1" si="172"/>
        <v>3.6986077236188715</v>
      </c>
      <c r="AH327" s="304">
        <f t="shared" ca="1" si="173"/>
        <v>-5.9940639839546277</v>
      </c>
    </row>
    <row r="328" spans="1:34" x14ac:dyDescent="0.2">
      <c r="A328" s="347">
        <f t="shared" ca="1" si="151"/>
        <v>0.1</v>
      </c>
      <c r="B328" s="304">
        <f t="shared" ca="1" si="152"/>
        <v>23.400000000000066</v>
      </c>
      <c r="D328" s="306">
        <f t="shared" ca="1" si="153"/>
        <v>-0.92281173871737243</v>
      </c>
      <c r="E328" s="307">
        <f t="shared" ca="1" si="154"/>
        <v>-3.8332834056307892</v>
      </c>
      <c r="F328" s="304">
        <f t="shared" ca="1" si="155"/>
        <v>3.9427963646375352</v>
      </c>
      <c r="G328" s="306">
        <f t="shared" ca="1" si="156"/>
        <v>14.116532780613342</v>
      </c>
      <c r="H328" s="307">
        <f t="shared" ca="1" si="157"/>
        <v>-92.408657652162432</v>
      </c>
      <c r="I328" s="304">
        <f t="shared" ca="1" si="158"/>
        <v>93.480674509872301</v>
      </c>
      <c r="J328" s="306">
        <f t="shared" ca="1" si="159"/>
        <v>679.66654403542896</v>
      </c>
      <c r="K328" s="307">
        <f t="shared" ca="1" si="160"/>
        <v>582.0824504537818</v>
      </c>
      <c r="L328" s="304">
        <f t="shared" ca="1" si="145"/>
        <v>894.85562534262647</v>
      </c>
      <c r="M328" s="306">
        <f t="shared" ca="1" si="161"/>
        <v>-1.4192062422807274</v>
      </c>
      <c r="N328" s="304">
        <f t="shared" ca="1" si="162"/>
        <v>-81.31452794130665</v>
      </c>
      <c r="P328" s="310">
        <f t="shared" ca="1" si="163"/>
        <v>23</v>
      </c>
      <c r="Q328" s="304">
        <f t="shared" ca="1" si="164"/>
        <v>0</v>
      </c>
      <c r="R328" s="306">
        <f t="shared" ca="1" si="165"/>
        <v>0</v>
      </c>
      <c r="S328" s="307">
        <f t="shared" ca="1" si="166"/>
        <v>5.083000000000002</v>
      </c>
      <c r="T328" s="304">
        <f t="shared" ca="1" si="146"/>
        <v>49.86423000000002</v>
      </c>
      <c r="U328" s="311">
        <f t="shared" ca="1" si="147"/>
        <v>0</v>
      </c>
      <c r="V328" s="306">
        <f t="shared" ca="1" si="148"/>
        <v>1.1557114813554581</v>
      </c>
      <c r="W328" s="304">
        <f t="shared" ca="1" si="149"/>
        <v>31.009626904511581</v>
      </c>
      <c r="Y328" s="314" t="str">
        <f t="shared" ca="1" si="167"/>
        <v/>
      </c>
      <c r="Z328" s="315" t="str">
        <f t="shared" ca="1" si="168"/>
        <v/>
      </c>
      <c r="AA328" s="316" t="str">
        <f t="shared" ca="1" si="169"/>
        <v/>
      </c>
      <c r="AC328" s="310" t="e">
        <f t="shared" ca="1" si="170"/>
        <v>#N/A</v>
      </c>
      <c r="AD328" s="323" t="e">
        <f t="shared" ca="1" si="171"/>
        <v>#N/A</v>
      </c>
      <c r="AE328" s="324" t="e">
        <f t="shared" ca="1" si="150"/>
        <v>#N/A</v>
      </c>
      <c r="AG328" s="306">
        <f t="shared" ca="1" si="172"/>
        <v>3.6475777345187339</v>
      </c>
      <c r="AH328" s="304">
        <f t="shared" ca="1" si="173"/>
        <v>-6.0475385699078341</v>
      </c>
    </row>
    <row r="329" spans="1:34" x14ac:dyDescent="0.2">
      <c r="A329" s="347">
        <f t="shared" ca="1" si="151"/>
        <v>0.1</v>
      </c>
      <c r="B329" s="304">
        <f t="shared" ca="1" si="152"/>
        <v>23.500000000000068</v>
      </c>
      <c r="D329" s="306">
        <f t="shared" ca="1" si="153"/>
        <v>-0.92126089064897676</v>
      </c>
      <c r="E329" s="307">
        <f t="shared" ca="1" si="154"/>
        <v>-3.7793065163123831</v>
      </c>
      <c r="F329" s="304">
        <f t="shared" ca="1" si="155"/>
        <v>3.8899716416550634</v>
      </c>
      <c r="G329" s="306">
        <f t="shared" ca="1" si="156"/>
        <v>14.024406691548444</v>
      </c>
      <c r="H329" s="307">
        <f t="shared" ca="1" si="157"/>
        <v>-92.786588303793664</v>
      </c>
      <c r="I329" s="304">
        <f t="shared" ca="1" si="158"/>
        <v>93.840476086322411</v>
      </c>
      <c r="J329" s="306">
        <f t="shared" ca="1" si="159"/>
        <v>681.07359100903705</v>
      </c>
      <c r="K329" s="307">
        <f t="shared" ca="1" si="160"/>
        <v>572.822688155984</v>
      </c>
      <c r="L329" s="304">
        <f t="shared" ca="1" si="145"/>
        <v>889.93655303970559</v>
      </c>
      <c r="M329" s="306">
        <f t="shared" ca="1" si="161"/>
        <v>-1.4207848898633617</v>
      </c>
      <c r="N329" s="304">
        <f t="shared" ca="1" si="162"/>
        <v>-81.404977785130129</v>
      </c>
      <c r="P329" s="310">
        <f t="shared" ca="1" si="163"/>
        <v>23</v>
      </c>
      <c r="Q329" s="304">
        <f t="shared" ca="1" si="164"/>
        <v>0</v>
      </c>
      <c r="R329" s="306">
        <f t="shared" ca="1" si="165"/>
        <v>0</v>
      </c>
      <c r="S329" s="307">
        <f t="shared" ca="1" si="166"/>
        <v>5.083000000000002</v>
      </c>
      <c r="T329" s="304">
        <f t="shared" ca="1" si="146"/>
        <v>49.86423000000002</v>
      </c>
      <c r="U329" s="311">
        <f t="shared" ca="1" si="147"/>
        <v>0</v>
      </c>
      <c r="V329" s="306">
        <f t="shared" ca="1" si="148"/>
        <v>1.156783032048873</v>
      </c>
      <c r="W329" s="304">
        <f t="shared" ca="1" si="149"/>
        <v>31.277767931135902</v>
      </c>
      <c r="Y329" s="314" t="str">
        <f t="shared" ca="1" si="167"/>
        <v/>
      </c>
      <c r="Z329" s="315" t="str">
        <f t="shared" ca="1" si="168"/>
        <v/>
      </c>
      <c r="AA329" s="316" t="str">
        <f t="shared" ca="1" si="169"/>
        <v/>
      </c>
      <c r="AC329" s="310" t="e">
        <f t="shared" ca="1" si="170"/>
        <v>#N/A</v>
      </c>
      <c r="AD329" s="323" t="e">
        <f t="shared" ca="1" si="171"/>
        <v>#N/A</v>
      </c>
      <c r="AE329" s="324" t="e">
        <f t="shared" ca="1" si="150"/>
        <v>#N/A</v>
      </c>
      <c r="AG329" s="306">
        <f t="shared" ca="1" si="172"/>
        <v>3.5968464522647965</v>
      </c>
      <c r="AH329" s="304">
        <f t="shared" ca="1" si="173"/>
        <v>-6.1006545159377472</v>
      </c>
    </row>
    <row r="330" spans="1:34" x14ac:dyDescent="0.2">
      <c r="A330" s="347">
        <f t="shared" ca="1" si="151"/>
        <v>0.1</v>
      </c>
      <c r="B330" s="304">
        <f t="shared" ca="1" si="152"/>
        <v>23.600000000000069</v>
      </c>
      <c r="D330" s="306">
        <f t="shared" ca="1" si="153"/>
        <v>-0.91962324063098333</v>
      </c>
      <c r="E330" s="307">
        <f t="shared" ca="1" si="154"/>
        <v>-3.7256996156957314</v>
      </c>
      <c r="F330" s="304">
        <f t="shared" ca="1" si="155"/>
        <v>3.8375180170396535</v>
      </c>
      <c r="G330" s="306">
        <f t="shared" ca="1" si="156"/>
        <v>13.932444367485346</v>
      </c>
      <c r="H330" s="307">
        <f t="shared" ca="1" si="157"/>
        <v>-93.159158265363232</v>
      </c>
      <c r="I330" s="304">
        <f t="shared" ca="1" si="158"/>
        <v>94.195232229471515</v>
      </c>
      <c r="J330" s="306">
        <f t="shared" ca="1" si="159"/>
        <v>682.47143356198876</v>
      </c>
      <c r="K330" s="307">
        <f t="shared" ca="1" si="160"/>
        <v>563.52540082752614</v>
      </c>
      <c r="L330" s="304">
        <f t="shared" ca="1" si="145"/>
        <v>885.0582664468933</v>
      </c>
      <c r="M330" s="306">
        <f t="shared" ca="1" si="161"/>
        <v>-1.4223413376507597</v>
      </c>
      <c r="N330" s="304">
        <f t="shared" ca="1" si="162"/>
        <v>-81.494155674380508</v>
      </c>
      <c r="P330" s="310">
        <f t="shared" ca="1" si="163"/>
        <v>23</v>
      </c>
      <c r="Q330" s="304">
        <f t="shared" ca="1" si="164"/>
        <v>0</v>
      </c>
      <c r="R330" s="306">
        <f t="shared" ca="1" si="165"/>
        <v>0</v>
      </c>
      <c r="S330" s="307">
        <f t="shared" ca="1" si="166"/>
        <v>5.083000000000002</v>
      </c>
      <c r="T330" s="304">
        <f t="shared" ca="1" si="146"/>
        <v>49.86423000000002</v>
      </c>
      <c r="U330" s="311">
        <f t="shared" ca="1" si="147"/>
        <v>0</v>
      </c>
      <c r="V330" s="306">
        <f t="shared" ca="1" si="148"/>
        <v>1.1578598960968105</v>
      </c>
      <c r="W330" s="304">
        <f t="shared" ca="1" si="149"/>
        <v>31.544038394532532</v>
      </c>
      <c r="Y330" s="314" t="str">
        <f t="shared" ca="1" si="167"/>
        <v/>
      </c>
      <c r="Z330" s="315" t="str">
        <f t="shared" ca="1" si="168"/>
        <v/>
      </c>
      <c r="AA330" s="316" t="str">
        <f t="shared" ca="1" si="169"/>
        <v/>
      </c>
      <c r="AC330" s="310" t="e">
        <f t="shared" ca="1" si="170"/>
        <v>#N/A</v>
      </c>
      <c r="AD330" s="323" t="e">
        <f t="shared" ca="1" si="171"/>
        <v>#N/A</v>
      </c>
      <c r="AE330" s="324" t="e">
        <f t="shared" ca="1" si="150"/>
        <v>#N/A</v>
      </c>
      <c r="AG330" s="306">
        <f t="shared" ca="1" si="172"/>
        <v>3.5464204779760271</v>
      </c>
      <c r="AH330" s="304">
        <f t="shared" ca="1" si="173"/>
        <v>-6.1534070295368659</v>
      </c>
    </row>
    <row r="331" spans="1:34" x14ac:dyDescent="0.2">
      <c r="A331" s="347">
        <f t="shared" ca="1" si="151"/>
        <v>0.1</v>
      </c>
      <c r="B331" s="304">
        <f t="shared" ca="1" si="152"/>
        <v>23.70000000000007</v>
      </c>
      <c r="D331" s="306">
        <f t="shared" ca="1" si="153"/>
        <v>-0.91790044285488115</v>
      </c>
      <c r="E331" s="307">
        <f t="shared" ca="1" si="154"/>
        <v>-3.6724673192792645</v>
      </c>
      <c r="F331" s="304">
        <f t="shared" ca="1" si="155"/>
        <v>3.7854401902774022</v>
      </c>
      <c r="G331" s="306">
        <f t="shared" ca="1" si="156"/>
        <v>13.840654323199857</v>
      </c>
      <c r="H331" s="307">
        <f t="shared" ca="1" si="157"/>
        <v>-93.526404997291152</v>
      </c>
      <c r="I331" s="304">
        <f t="shared" ca="1" si="158"/>
        <v>94.544974185895455</v>
      </c>
      <c r="J331" s="306">
        <f t="shared" ca="1" si="159"/>
        <v>683.86008849652308</v>
      </c>
      <c r="K331" s="307">
        <f t="shared" ca="1" si="160"/>
        <v>554.19112266439345</v>
      </c>
      <c r="L331" s="304">
        <f t="shared" ca="1" si="145"/>
        <v>880.22293828239515</v>
      </c>
      <c r="M331" s="306">
        <f t="shared" ca="1" si="161"/>
        <v>-1.4238760575586391</v>
      </c>
      <c r="N331" s="304">
        <f t="shared" ca="1" si="162"/>
        <v>-81.582088647836699</v>
      </c>
      <c r="P331" s="310">
        <f t="shared" ca="1" si="163"/>
        <v>23</v>
      </c>
      <c r="Q331" s="304">
        <f t="shared" ca="1" si="164"/>
        <v>0</v>
      </c>
      <c r="R331" s="306">
        <f t="shared" ca="1" si="165"/>
        <v>0</v>
      </c>
      <c r="S331" s="307">
        <f t="shared" ca="1" si="166"/>
        <v>5.083000000000002</v>
      </c>
      <c r="T331" s="304">
        <f t="shared" ca="1" si="146"/>
        <v>49.86423000000002</v>
      </c>
      <c r="U331" s="311">
        <f t="shared" ca="1" si="147"/>
        <v>0</v>
      </c>
      <c r="V331" s="306">
        <f t="shared" ca="1" si="148"/>
        <v>1.1589420246496298</v>
      </c>
      <c r="W331" s="304">
        <f t="shared" ca="1" si="149"/>
        <v>31.808416167374975</v>
      </c>
      <c r="Y331" s="314" t="str">
        <f t="shared" ca="1" si="167"/>
        <v/>
      </c>
      <c r="Z331" s="315" t="str">
        <f t="shared" ca="1" si="168"/>
        <v/>
      </c>
      <c r="AA331" s="316" t="str">
        <f t="shared" ca="1" si="169"/>
        <v/>
      </c>
      <c r="AC331" s="310" t="e">
        <f t="shared" ca="1" si="170"/>
        <v>#N/A</v>
      </c>
      <c r="AD331" s="323" t="e">
        <f t="shared" ca="1" si="171"/>
        <v>#N/A</v>
      </c>
      <c r="AE331" s="324" t="e">
        <f t="shared" ca="1" si="150"/>
        <v>#N/A</v>
      </c>
      <c r="AG331" s="306">
        <f t="shared" ca="1" si="172"/>
        <v>3.4963061247499523</v>
      </c>
      <c r="AH331" s="304">
        <f t="shared" ca="1" si="173"/>
        <v>-6.2057915393532399</v>
      </c>
    </row>
    <row r="332" spans="1:34" x14ac:dyDescent="0.2">
      <c r="A332" s="347">
        <f t="shared" ca="1" si="151"/>
        <v>0.1</v>
      </c>
      <c r="B332" s="304">
        <f t="shared" ca="1" si="152"/>
        <v>23.800000000000072</v>
      </c>
      <c r="D332" s="306">
        <f t="shared" ca="1" si="153"/>
        <v>-0.91609414960201763</v>
      </c>
      <c r="E332" s="307">
        <f t="shared" ca="1" si="154"/>
        <v>-3.6196140218088386</v>
      </c>
      <c r="F332" s="304">
        <f t="shared" ca="1" si="155"/>
        <v>3.7337426475066811</v>
      </c>
      <c r="G332" s="306">
        <f t="shared" ca="1" si="156"/>
        <v>13.749044908239656</v>
      </c>
      <c r="H332" s="307">
        <f t="shared" ca="1" si="157"/>
        <v>-93.888366399472034</v>
      </c>
      <c r="I332" s="304">
        <f t="shared" ca="1" si="158"/>
        <v>94.889733802189056</v>
      </c>
      <c r="J332" s="306">
        <f t="shared" ca="1" si="159"/>
        <v>685.23957345809504</v>
      </c>
      <c r="K332" s="307">
        <f t="shared" ca="1" si="160"/>
        <v>544.82038409455527</v>
      </c>
      <c r="L332" s="304">
        <f t="shared" ca="1" si="145"/>
        <v>875.43276381340149</v>
      </c>
      <c r="M332" s="306">
        <f t="shared" ca="1" si="161"/>
        <v>-1.4253895077037888</v>
      </c>
      <c r="N332" s="304">
        <f t="shared" ca="1" si="162"/>
        <v>-81.668802953657234</v>
      </c>
      <c r="P332" s="310">
        <f t="shared" ca="1" si="163"/>
        <v>23</v>
      </c>
      <c r="Q332" s="304">
        <f t="shared" ca="1" si="164"/>
        <v>0</v>
      </c>
      <c r="R332" s="306">
        <f t="shared" ca="1" si="165"/>
        <v>0</v>
      </c>
      <c r="S332" s="307">
        <f t="shared" ca="1" si="166"/>
        <v>5.083000000000002</v>
      </c>
      <c r="T332" s="304">
        <f t="shared" ca="1" si="146"/>
        <v>49.86423000000002</v>
      </c>
      <c r="U332" s="311">
        <f t="shared" ca="1" si="147"/>
        <v>0</v>
      </c>
      <c r="V332" s="306">
        <f t="shared" ca="1" si="148"/>
        <v>1.1600293691511145</v>
      </c>
      <c r="W332" s="304">
        <f t="shared" ca="1" si="149"/>
        <v>32.070880215574768</v>
      </c>
      <c r="Y332" s="314" t="str">
        <f t="shared" ca="1" si="167"/>
        <v/>
      </c>
      <c r="Z332" s="315" t="str">
        <f t="shared" ca="1" si="168"/>
        <v/>
      </c>
      <c r="AA332" s="316" t="str">
        <f t="shared" ca="1" si="169"/>
        <v/>
      </c>
      <c r="AC332" s="310" t="e">
        <f t="shared" ca="1" si="170"/>
        <v>#N/A</v>
      </c>
      <c r="AD332" s="323" t="e">
        <f t="shared" ca="1" si="171"/>
        <v>#N/A</v>
      </c>
      <c r="AE332" s="324" t="e">
        <f t="shared" ca="1" si="150"/>
        <v>#N/A</v>
      </c>
      <c r="AG332" s="306">
        <f t="shared" ca="1" si="172"/>
        <v>3.4465094235969591</v>
      </c>
      <c r="AH332" s="304">
        <f t="shared" ca="1" si="173"/>
        <v>-6.2578036921847264</v>
      </c>
    </row>
    <row r="333" spans="1:34" x14ac:dyDescent="0.2">
      <c r="A333" s="347">
        <f t="shared" ca="1" si="151"/>
        <v>0.1</v>
      </c>
      <c r="B333" s="304">
        <f t="shared" ca="1" si="152"/>
        <v>23.900000000000073</v>
      </c>
      <c r="D333" s="306">
        <f t="shared" ca="1" si="153"/>
        <v>-0.91420601040486538</v>
      </c>
      <c r="E333" s="307">
        <f t="shared" ca="1" si="154"/>
        <v>-3.5671439003699428</v>
      </c>
      <c r="F333" s="304">
        <f t="shared" ca="1" si="155"/>
        <v>3.6824296646924388</v>
      </c>
      <c r="G333" s="306">
        <f t="shared" ca="1" si="156"/>
        <v>13.657624307199169</v>
      </c>
      <c r="H333" s="307">
        <f t="shared" ca="1" si="157"/>
        <v>-94.245080789509032</v>
      </c>
      <c r="I333" s="304">
        <f t="shared" ca="1" si="158"/>
        <v>95.229543497476044</v>
      </c>
      <c r="J333" s="306">
        <f t="shared" ca="1" si="159"/>
        <v>686.60990691886695</v>
      </c>
      <c r="K333" s="307">
        <f t="shared" ca="1" si="160"/>
        <v>535.41371173510618</v>
      </c>
      <c r="L333" s="304">
        <f t="shared" ca="1" si="145"/>
        <v>870.68996031486336</v>
      </c>
      <c r="M333" s="306">
        <f t="shared" ca="1" si="161"/>
        <v>-1.4268821328998227</v>
      </c>
      <c r="N333" s="304">
        <f t="shared" ca="1" si="162"/>
        <v>-81.754324077784872</v>
      </c>
      <c r="P333" s="310">
        <f t="shared" ca="1" si="163"/>
        <v>23</v>
      </c>
      <c r="Q333" s="304">
        <f t="shared" ca="1" si="164"/>
        <v>0</v>
      </c>
      <c r="R333" s="306">
        <f t="shared" ca="1" si="165"/>
        <v>0</v>
      </c>
      <c r="S333" s="307">
        <f t="shared" ca="1" si="166"/>
        <v>5.083000000000002</v>
      </c>
      <c r="T333" s="304">
        <f t="shared" ca="1" si="146"/>
        <v>49.86423000000002</v>
      </c>
      <c r="U333" s="311">
        <f t="shared" ca="1" si="147"/>
        <v>0</v>
      </c>
      <c r="V333" s="306">
        <f t="shared" ca="1" si="148"/>
        <v>1.1611218813428925</v>
      </c>
      <c r="W333" s="304">
        <f t="shared" ca="1" si="149"/>
        <v>32.331410582349591</v>
      </c>
      <c r="Y333" s="314" t="str">
        <f t="shared" ca="1" si="167"/>
        <v/>
      </c>
      <c r="Z333" s="315" t="str">
        <f t="shared" ca="1" si="168"/>
        <v/>
      </c>
      <c r="AA333" s="316" t="str">
        <f t="shared" ca="1" si="169"/>
        <v/>
      </c>
      <c r="AC333" s="310" t="e">
        <f t="shared" ca="1" si="170"/>
        <v>#N/A</v>
      </c>
      <c r="AD333" s="323" t="e">
        <f t="shared" ca="1" si="171"/>
        <v>#N/A</v>
      </c>
      <c r="AE333" s="324" t="e">
        <f t="shared" ca="1" si="150"/>
        <v>#N/A</v>
      </c>
      <c r="AG333" s="306">
        <f t="shared" ca="1" si="172"/>
        <v>3.3970361292940989</v>
      </c>
      <c r="AH333" s="304">
        <f t="shared" ca="1" si="173"/>
        <v>-6.3094393499065031</v>
      </c>
    </row>
    <row r="334" spans="1:34" x14ac:dyDescent="0.2">
      <c r="A334" s="347">
        <f t="shared" ca="1" si="151"/>
        <v>0.1</v>
      </c>
      <c r="B334" s="304">
        <f t="shared" ca="1" si="152"/>
        <v>24.000000000000075</v>
      </c>
      <c r="D334" s="306">
        <f t="shared" ca="1" si="153"/>
        <v>-0.91223767123618682</v>
      </c>
      <c r="E334" s="307">
        <f t="shared" ca="1" si="154"/>
        <v>-3.5150609175440852</v>
      </c>
      <c r="F334" s="304">
        <f t="shared" ca="1" si="155"/>
        <v>3.6315053108687985</v>
      </c>
      <c r="G334" s="306">
        <f t="shared" ca="1" si="156"/>
        <v>13.56640054007555</v>
      </c>
      <c r="H334" s="307">
        <f t="shared" ca="1" si="157"/>
        <v>-94.596586881263434</v>
      </c>
      <c r="I334" s="304">
        <f t="shared" ca="1" si="158"/>
        <v>95.56443623649011</v>
      </c>
      <c r="J334" s="306">
        <f t="shared" ca="1" si="159"/>
        <v>687.97110816123075</v>
      </c>
      <c r="K334" s="307">
        <f t="shared" ca="1" si="160"/>
        <v>525.97162835156757</v>
      </c>
      <c r="L334" s="304">
        <f t="shared" ca="1" si="145"/>
        <v>865.99676644626766</v>
      </c>
      <c r="M334" s="306">
        <f t="shared" ca="1" si="161"/>
        <v>-1.4283543651320887</v>
      </c>
      <c r="N334" s="304">
        <f t="shared" ca="1" si="162"/>
        <v>-81.838676771156841</v>
      </c>
      <c r="P334" s="310">
        <f t="shared" ca="1" si="163"/>
        <v>23</v>
      </c>
      <c r="Q334" s="304">
        <f t="shared" ca="1" si="164"/>
        <v>0</v>
      </c>
      <c r="R334" s="306">
        <f t="shared" ca="1" si="165"/>
        <v>0</v>
      </c>
      <c r="S334" s="307">
        <f t="shared" ca="1" si="166"/>
        <v>5.083000000000002</v>
      </c>
      <c r="T334" s="304">
        <f t="shared" ca="1" si="146"/>
        <v>49.86423000000002</v>
      </c>
      <c r="U334" s="311">
        <f t="shared" ca="1" si="147"/>
        <v>0</v>
      </c>
      <c r="V334" s="306">
        <f t="shared" ca="1" si="148"/>
        <v>1.1622195132686721</v>
      </c>
      <c r="W334" s="304">
        <f t="shared" ca="1" si="149"/>
        <v>32.589988372000647</v>
      </c>
      <c r="Y334" s="314" t="str">
        <f t="shared" ca="1" si="167"/>
        <v/>
      </c>
      <c r="Z334" s="315" t="str">
        <f t="shared" ca="1" si="168"/>
        <v/>
      </c>
      <c r="AA334" s="316" t="str">
        <f t="shared" ca="1" si="169"/>
        <v/>
      </c>
      <c r="AC334" s="310">
        <f t="shared" ca="1" si="170"/>
        <v>24.000000000000075</v>
      </c>
      <c r="AD334" s="323">
        <f t="shared" ca="1" si="171"/>
        <v>687.97110816123075</v>
      </c>
      <c r="AE334" s="324" t="e">
        <f t="shared" ca="1" si="150"/>
        <v>#N/A</v>
      </c>
      <c r="AG334" s="306">
        <f t="shared" ca="1" si="172"/>
        <v>3.3478917261618486</v>
      </c>
      <c r="AH334" s="304">
        <f t="shared" ca="1" si="173"/>
        <v>-6.3606945863367264</v>
      </c>
    </row>
    <row r="335" spans="1:34" x14ac:dyDescent="0.2">
      <c r="A335" s="347">
        <f t="shared" ca="1" si="151"/>
        <v>0.1</v>
      </c>
      <c r="B335" s="304">
        <f t="shared" ca="1" si="152"/>
        <v>24.100000000000076</v>
      </c>
      <c r="D335" s="306">
        <f t="shared" ca="1" si="153"/>
        <v>-0.91019077372576718</v>
      </c>
      <c r="E335" s="307">
        <f t="shared" ca="1" si="154"/>
        <v>-3.4633688246245429</v>
      </c>
      <c r="F335" s="304">
        <f t="shared" ca="1" si="155"/>
        <v>3.5809734514453884</v>
      </c>
      <c r="G335" s="306">
        <f t="shared" ca="1" si="156"/>
        <v>13.475381462702973</v>
      </c>
      <c r="H335" s="307">
        <f t="shared" ca="1" si="157"/>
        <v>-94.942923763725886</v>
      </c>
      <c r="I335" s="304">
        <f t="shared" ca="1" si="158"/>
        <v>95.89444550321997</v>
      </c>
      <c r="J335" s="306">
        <f t="shared" ca="1" si="159"/>
        <v>689.32319726136973</v>
      </c>
      <c r="K335" s="307">
        <f t="shared" ca="1" si="160"/>
        <v>516.49465281931816</v>
      </c>
      <c r="L335" s="304">
        <f t="shared" ca="1" si="145"/>
        <v>861.35544154175125</v>
      </c>
      <c r="M335" s="306">
        <f t="shared" ca="1" si="161"/>
        <v>-1.4298066240127298</v>
      </c>
      <c r="N335" s="304">
        <f t="shared" ca="1" si="162"/>
        <v>-81.921885075777965</v>
      </c>
      <c r="P335" s="310">
        <f t="shared" ca="1" si="163"/>
        <v>23</v>
      </c>
      <c r="Q335" s="304">
        <f t="shared" ca="1" si="164"/>
        <v>0</v>
      </c>
      <c r="R335" s="306">
        <f t="shared" ca="1" si="165"/>
        <v>0</v>
      </c>
      <c r="S335" s="307">
        <f t="shared" ca="1" si="166"/>
        <v>5.083000000000002</v>
      </c>
      <c r="T335" s="304">
        <f t="shared" ca="1" si="146"/>
        <v>49.86423000000002</v>
      </c>
      <c r="U335" s="311">
        <f t="shared" ca="1" si="147"/>
        <v>0</v>
      </c>
      <c r="V335" s="306">
        <f t="shared" ca="1" si="148"/>
        <v>1.1633222172783091</v>
      </c>
      <c r="W335" s="304">
        <f t="shared" ca="1" si="149"/>
        <v>32.846595733423236</v>
      </c>
      <c r="Y335" s="314" t="str">
        <f t="shared" ca="1" si="167"/>
        <v/>
      </c>
      <c r="Z335" s="315" t="str">
        <f t="shared" ca="1" si="168"/>
        <v/>
      </c>
      <c r="AA335" s="316" t="str">
        <f t="shared" ca="1" si="169"/>
        <v/>
      </c>
      <c r="AC335" s="310" t="e">
        <f t="shared" ca="1" si="170"/>
        <v>#N/A</v>
      </c>
      <c r="AD335" s="323" t="e">
        <f t="shared" ca="1" si="171"/>
        <v>#N/A</v>
      </c>
      <c r="AE335" s="324" t="e">
        <f t="shared" ca="1" si="150"/>
        <v>#N/A</v>
      </c>
      <c r="AG335" s="306">
        <f t="shared" ca="1" si="172"/>
        <v>3.2990814337669452</v>
      </c>
      <c r="AH335" s="304">
        <f t="shared" ca="1" si="173"/>
        <v>-6.4115656840449802</v>
      </c>
    </row>
    <row r="336" spans="1:34" x14ac:dyDescent="0.2">
      <c r="A336" s="347">
        <f t="shared" ca="1" si="151"/>
        <v>0.1</v>
      </c>
      <c r="B336" s="304">
        <f t="shared" ca="1" si="152"/>
        <v>24.200000000000077</v>
      </c>
      <c r="D336" s="306">
        <f t="shared" ca="1" si="153"/>
        <v>-0.90806695440444474</v>
      </c>
      <c r="E336" s="307">
        <f t="shared" ca="1" si="154"/>
        <v>-3.4120711648866022</v>
      </c>
      <c r="F336" s="304">
        <f t="shared" ca="1" si="155"/>
        <v>3.5308377515728444</v>
      </c>
      <c r="G336" s="306">
        <f t="shared" ca="1" si="156"/>
        <v>13.38457476726253</v>
      </c>
      <c r="H336" s="307">
        <f t="shared" ca="1" si="157"/>
        <v>-95.284130880214548</v>
      </c>
      <c r="I336" s="304">
        <f t="shared" ca="1" si="158"/>
        <v>96.219605275111661</v>
      </c>
      <c r="J336" s="306">
        <f t="shared" ca="1" si="159"/>
        <v>690.66619507286805</v>
      </c>
      <c r="K336" s="307">
        <f t="shared" ca="1" si="160"/>
        <v>506.98330008712117</v>
      </c>
      <c r="L336" s="304">
        <f t="shared" ca="1" si="145"/>
        <v>856.76826480890441</v>
      </c>
      <c r="M336" s="306">
        <f t="shared" ca="1" si="161"/>
        <v>-1.4312393172168492</v>
      </c>
      <c r="N336" s="304">
        <f t="shared" ca="1" si="162"/>
        <v>-82.003972349711077</v>
      </c>
      <c r="P336" s="310">
        <f t="shared" ca="1" si="163"/>
        <v>23</v>
      </c>
      <c r="Q336" s="304">
        <f t="shared" ca="1" si="164"/>
        <v>0</v>
      </c>
      <c r="R336" s="306">
        <f t="shared" ca="1" si="165"/>
        <v>0</v>
      </c>
      <c r="S336" s="307">
        <f t="shared" ca="1" si="166"/>
        <v>5.083000000000002</v>
      </c>
      <c r="T336" s="304">
        <f t="shared" ca="1" si="146"/>
        <v>49.86423000000002</v>
      </c>
      <c r="U336" s="311">
        <f t="shared" ca="1" si="147"/>
        <v>0</v>
      </c>
      <c r="V336" s="306">
        <f t="shared" ca="1" si="148"/>
        <v>1.1644299460316931</v>
      </c>
      <c r="W336" s="304">
        <f t="shared" ca="1" si="149"/>
        <v>33.101215843373133</v>
      </c>
      <c r="Y336" s="314" t="str">
        <f t="shared" ca="1" si="167"/>
        <v/>
      </c>
      <c r="Z336" s="315" t="str">
        <f t="shared" ca="1" si="168"/>
        <v/>
      </c>
      <c r="AA336" s="316" t="str">
        <f t="shared" ca="1" si="169"/>
        <v/>
      </c>
      <c r="AC336" s="310" t="e">
        <f t="shared" ca="1" si="170"/>
        <v>#N/A</v>
      </c>
      <c r="AD336" s="323" t="e">
        <f t="shared" ca="1" si="171"/>
        <v>#N/A</v>
      </c>
      <c r="AE336" s="324" t="e">
        <f t="shared" ca="1" si="150"/>
        <v>#N/A</v>
      </c>
      <c r="AG336" s="306">
        <f t="shared" ca="1" si="172"/>
        <v>3.2506102125539096</v>
      </c>
      <c r="AH336" s="304">
        <f t="shared" ca="1" si="173"/>
        <v>-6.4620491311082473</v>
      </c>
    </row>
    <row r="337" spans="1:34" x14ac:dyDescent="0.2">
      <c r="A337" s="347">
        <f t="shared" ca="1" si="151"/>
        <v>0.1</v>
      </c>
      <c r="B337" s="304">
        <f t="shared" ca="1" si="152"/>
        <v>24.300000000000079</v>
      </c>
      <c r="D337" s="306">
        <f t="shared" ca="1" si="153"/>
        <v>-0.90586784397507447</v>
      </c>
      <c r="E337" s="307">
        <f t="shared" ca="1" si="154"/>
        <v>-3.3611712769077196</v>
      </c>
      <c r="F337" s="304">
        <f t="shared" ca="1" si="155"/>
        <v>3.4811016795631695</v>
      </c>
      <c r="G337" s="306">
        <f t="shared" ca="1" si="156"/>
        <v>13.293987982865023</v>
      </c>
      <c r="H337" s="307">
        <f t="shared" ca="1" si="157"/>
        <v>-95.620248007905317</v>
      </c>
      <c r="I337" s="304">
        <f t="shared" ca="1" si="158"/>
        <v>96.539949997821523</v>
      </c>
      <c r="J337" s="306">
        <f t="shared" ca="1" si="159"/>
        <v>692.00012321037445</v>
      </c>
      <c r="K337" s="307">
        <f t="shared" ca="1" si="160"/>
        <v>497.43808114271519</v>
      </c>
      <c r="L337" s="304">
        <f t="shared" ca="1" si="145"/>
        <v>852.23753443163946</v>
      </c>
      <c r="M337" s="306">
        <f t="shared" ca="1" si="161"/>
        <v>-1.4326528409006705</v>
      </c>
      <c r="N337" s="304">
        <f t="shared" ca="1" si="162"/>
        <v>-82.084961291035825</v>
      </c>
      <c r="P337" s="310">
        <f t="shared" ca="1" si="163"/>
        <v>23</v>
      </c>
      <c r="Q337" s="304">
        <f t="shared" ca="1" si="164"/>
        <v>0</v>
      </c>
      <c r="R337" s="306">
        <f t="shared" ca="1" si="165"/>
        <v>0</v>
      </c>
      <c r="S337" s="307">
        <f t="shared" ca="1" si="166"/>
        <v>5.083000000000002</v>
      </c>
      <c r="T337" s="304">
        <f t="shared" ca="1" si="146"/>
        <v>49.86423000000002</v>
      </c>
      <c r="U337" s="311">
        <f t="shared" ca="1" si="147"/>
        <v>0</v>
      </c>
      <c r="V337" s="306">
        <f t="shared" ca="1" si="148"/>
        <v>1.1655426525024679</v>
      </c>
      <c r="W337" s="304">
        <f t="shared" ca="1" si="149"/>
        <v>33.353832889511629</v>
      </c>
      <c r="Y337" s="314" t="str">
        <f t="shared" ca="1" si="167"/>
        <v/>
      </c>
      <c r="Z337" s="315" t="str">
        <f t="shared" ca="1" si="168"/>
        <v/>
      </c>
      <c r="AA337" s="316" t="str">
        <f t="shared" ca="1" si="169"/>
        <v/>
      </c>
      <c r="AC337" s="310" t="e">
        <f t="shared" ca="1" si="170"/>
        <v>#N/A</v>
      </c>
      <c r="AD337" s="323" t="e">
        <f t="shared" ca="1" si="171"/>
        <v>#N/A</v>
      </c>
      <c r="AE337" s="324" t="e">
        <f t="shared" ca="1" si="150"/>
        <v>#N/A</v>
      </c>
      <c r="AG337" s="306">
        <f t="shared" ca="1" si="172"/>
        <v>3.2024827694076405</v>
      </c>
      <c r="AH337" s="304">
        <f t="shared" ca="1" si="173"/>
        <v>-6.5121416178188314</v>
      </c>
    </row>
    <row r="338" spans="1:34" x14ac:dyDescent="0.2">
      <c r="A338" s="347">
        <f t="shared" ca="1" si="151"/>
        <v>0.1</v>
      </c>
      <c r="B338" s="304">
        <f t="shared" ca="1" si="152"/>
        <v>24.40000000000008</v>
      </c>
      <c r="D338" s="306">
        <f t="shared" ca="1" si="153"/>
        <v>-0.90359506661013622</v>
      </c>
      <c r="E338" s="307">
        <f t="shared" ca="1" si="154"/>
        <v>-3.3106722979329666</v>
      </c>
      <c r="F338" s="304">
        <f t="shared" ca="1" si="155"/>
        <v>3.4317685103606461</v>
      </c>
      <c r="G338" s="306">
        <f t="shared" ca="1" si="156"/>
        <v>13.20362847620401</v>
      </c>
      <c r="H338" s="307">
        <f t="shared" ca="1" si="157"/>
        <v>-95.951315237698608</v>
      </c>
      <c r="I338" s="304">
        <f t="shared" ca="1" si="158"/>
        <v>96.855514560513484</v>
      </c>
      <c r="J338" s="306">
        <f t="shared" ca="1" si="159"/>
        <v>693.3250040333279</v>
      </c>
      <c r="K338" s="307">
        <f t="shared" ca="1" si="160"/>
        <v>487.85950298043497</v>
      </c>
      <c r="L338" s="304">
        <f t="shared" ca="1" si="145"/>
        <v>847.7655665725822</v>
      </c>
      <c r="M338" s="306">
        <f t="shared" ca="1" si="161"/>
        <v>-1.4340475801025496</v>
      </c>
      <c r="N338" s="304">
        <f t="shared" ca="1" si="162"/>
        <v>-82.164873960824949</v>
      </c>
      <c r="P338" s="310">
        <f t="shared" ca="1" si="163"/>
        <v>23</v>
      </c>
      <c r="Q338" s="304">
        <f t="shared" ca="1" si="164"/>
        <v>0</v>
      </c>
      <c r="R338" s="306">
        <f t="shared" ca="1" si="165"/>
        <v>0</v>
      </c>
      <c r="S338" s="307">
        <f t="shared" ca="1" si="166"/>
        <v>5.083000000000002</v>
      </c>
      <c r="T338" s="304">
        <f t="shared" ca="1" si="146"/>
        <v>49.86423000000002</v>
      </c>
      <c r="U338" s="311">
        <f t="shared" ca="1" si="147"/>
        <v>0</v>
      </c>
      <c r="V338" s="306">
        <f t="shared" ca="1" si="148"/>
        <v>1.1666602899815774</v>
      </c>
      <c r="W338" s="304">
        <f t="shared" ca="1" si="149"/>
        <v>33.604432053250832</v>
      </c>
      <c r="Y338" s="314" t="str">
        <f t="shared" ca="1" si="167"/>
        <v/>
      </c>
      <c r="Z338" s="315" t="str">
        <f t="shared" ca="1" si="168"/>
        <v/>
      </c>
      <c r="AA338" s="316" t="str">
        <f t="shared" ca="1" si="169"/>
        <v/>
      </c>
      <c r="AC338" s="310" t="e">
        <f t="shared" ca="1" si="170"/>
        <v>#N/A</v>
      </c>
      <c r="AD338" s="323" t="e">
        <f t="shared" ca="1" si="171"/>
        <v>#N/A</v>
      </c>
      <c r="AE338" s="324" t="e">
        <f t="shared" ca="1" si="150"/>
        <v>#N/A</v>
      </c>
      <c r="AG338" s="306">
        <f t="shared" ca="1" si="172"/>
        <v>3.1547035631490727</v>
      </c>
      <c r="AH338" s="304">
        <f t="shared" ca="1" si="173"/>
        <v>-6.5618400333487346</v>
      </c>
    </row>
    <row r="339" spans="1:34" x14ac:dyDescent="0.2">
      <c r="A339" s="347">
        <f t="shared" ca="1" si="151"/>
        <v>0.1</v>
      </c>
      <c r="B339" s="304">
        <f t="shared" ca="1" si="152"/>
        <v>24.500000000000082</v>
      </c>
      <c r="D339" s="306">
        <f t="shared" ca="1" si="153"/>
        <v>-0.90125023927560022</v>
      </c>
      <c r="E339" s="307">
        <f t="shared" ca="1" si="154"/>
        <v>-3.2605771672813706</v>
      </c>
      <c r="F339" s="304">
        <f t="shared" ca="1" si="155"/>
        <v>3.3828413290591879</v>
      </c>
      <c r="G339" s="306">
        <f t="shared" ca="1" si="156"/>
        <v>13.113503452276449</v>
      </c>
      <c r="H339" s="307">
        <f t="shared" ca="1" si="157"/>
        <v>-96.277372954426752</v>
      </c>
      <c r="I339" s="304">
        <f t="shared" ca="1" si="158"/>
        <v>97.166334271694382</v>
      </c>
      <c r="J339" s="306">
        <f t="shared" ca="1" si="159"/>
        <v>694.64086062975196</v>
      </c>
      <c r="K339" s="307">
        <f t="shared" ca="1" si="160"/>
        <v>478.24806857082871</v>
      </c>
      <c r="L339" s="304">
        <f t="shared" ca="1" si="145"/>
        <v>843.35469427054863</v>
      </c>
      <c r="M339" s="306">
        <f t="shared" ca="1" si="161"/>
        <v>-1.4354239091276344</v>
      </c>
      <c r="N339" s="304">
        <f t="shared" ca="1" si="162"/>
        <v>-82.243731805183657</v>
      </c>
      <c r="P339" s="310">
        <f t="shared" ca="1" si="163"/>
        <v>23</v>
      </c>
      <c r="Q339" s="304">
        <f t="shared" ca="1" si="164"/>
        <v>0</v>
      </c>
      <c r="R339" s="306">
        <f t="shared" ca="1" si="165"/>
        <v>0</v>
      </c>
      <c r="S339" s="307">
        <f t="shared" ca="1" si="166"/>
        <v>5.083000000000002</v>
      </c>
      <c r="T339" s="304">
        <f t="shared" ca="1" si="146"/>
        <v>49.86423000000002</v>
      </c>
      <c r="U339" s="311">
        <f t="shared" ca="1" si="147"/>
        <v>0</v>
      </c>
      <c r="V339" s="306">
        <f t="shared" ca="1" si="148"/>
        <v>1.1677828120806477</v>
      </c>
      <c r="W339" s="304">
        <f t="shared" ca="1" si="149"/>
        <v>33.852999492420949</v>
      </c>
      <c r="Y339" s="314" t="str">
        <f t="shared" ca="1" si="167"/>
        <v/>
      </c>
      <c r="Z339" s="315" t="str">
        <f t="shared" ca="1" si="168"/>
        <v/>
      </c>
      <c r="AA339" s="316" t="str">
        <f t="shared" ca="1" si="169"/>
        <v/>
      </c>
      <c r="AC339" s="310" t="e">
        <f t="shared" ca="1" si="170"/>
        <v>#N/A</v>
      </c>
      <c r="AD339" s="323" t="e">
        <f t="shared" ca="1" si="171"/>
        <v>#N/A</v>
      </c>
      <c r="AE339" s="324" t="e">
        <f t="shared" ca="1" si="150"/>
        <v>#N/A</v>
      </c>
      <c r="AG339" s="306">
        <f t="shared" ca="1" si="172"/>
        <v>3.1072768099656312</v>
      </c>
      <c r="AH339" s="304">
        <f t="shared" ca="1" si="173"/>
        <v>-6.6111414623747429</v>
      </c>
    </row>
    <row r="340" spans="1:34" x14ac:dyDescent="0.2">
      <c r="A340" s="347">
        <f t="shared" ca="1" si="151"/>
        <v>0.1</v>
      </c>
      <c r="B340" s="304">
        <f t="shared" ca="1" si="152"/>
        <v>24.600000000000083</v>
      </c>
      <c r="D340" s="306">
        <f t="shared" ca="1" si="153"/>
        <v>-0.89883497108074029</v>
      </c>
      <c r="E340" s="307">
        <f t="shared" ca="1" si="154"/>
        <v>-3.2108886297887631</v>
      </c>
      <c r="F340" s="304">
        <f t="shared" ca="1" si="155"/>
        <v>3.3343230344620896</v>
      </c>
      <c r="G340" s="306">
        <f t="shared" ca="1" si="156"/>
        <v>13.023619955168375</v>
      </c>
      <c r="H340" s="307">
        <f t="shared" ca="1" si="157"/>
        <v>-96.598461817405635</v>
      </c>
      <c r="I340" s="304">
        <f t="shared" ca="1" si="158"/>
        <v>97.472444835581271</v>
      </c>
      <c r="J340" s="306">
        <f t="shared" ca="1" si="159"/>
        <v>695.94771680012423</v>
      </c>
      <c r="K340" s="307">
        <f t="shared" ca="1" si="160"/>
        <v>468.60427683223708</v>
      </c>
      <c r="L340" s="304">
        <f t="shared" ca="1" si="145"/>
        <v>839.00726622882701</v>
      </c>
      <c r="M340" s="306">
        <f t="shared" ca="1" si="161"/>
        <v>-1.4367821919169415</v>
      </c>
      <c r="N340" s="304">
        <f t="shared" ca="1" si="162"/>
        <v>-82.321555676396201</v>
      </c>
      <c r="P340" s="310">
        <f t="shared" ca="1" si="163"/>
        <v>23</v>
      </c>
      <c r="Q340" s="304">
        <f t="shared" ca="1" si="164"/>
        <v>0</v>
      </c>
      <c r="R340" s="306">
        <f t="shared" ca="1" si="165"/>
        <v>0</v>
      </c>
      <c r="S340" s="307">
        <f t="shared" ca="1" si="166"/>
        <v>5.083000000000002</v>
      </c>
      <c r="T340" s="304">
        <f t="shared" ca="1" si="146"/>
        <v>49.86423000000002</v>
      </c>
      <c r="U340" s="311">
        <f t="shared" ca="1" si="147"/>
        <v>0</v>
      </c>
      <c r="V340" s="306">
        <f t="shared" ca="1" si="148"/>
        <v>1.1689101727352043</v>
      </c>
      <c r="W340" s="304">
        <f t="shared" ca="1" si="149"/>
        <v>34.099522323780157</v>
      </c>
      <c r="Y340" s="314" t="str">
        <f t="shared" ca="1" si="167"/>
        <v/>
      </c>
      <c r="Z340" s="315" t="str">
        <f t="shared" ca="1" si="168"/>
        <v/>
      </c>
      <c r="AA340" s="316" t="str">
        <f t="shared" ca="1" si="169"/>
        <v/>
      </c>
      <c r="AC340" s="310" t="e">
        <f t="shared" ca="1" si="170"/>
        <v>#N/A</v>
      </c>
      <c r="AD340" s="323" t="e">
        <f t="shared" ca="1" si="171"/>
        <v>#N/A</v>
      </c>
      <c r="AE340" s="324" t="e">
        <f t="shared" ca="1" si="150"/>
        <v>#N/A</v>
      </c>
      <c r="AG340" s="306">
        <f t="shared" ca="1" si="172"/>
        <v>3.0602064887779559</v>
      </c>
      <c r="AH340" s="304">
        <f t="shared" ca="1" si="173"/>
        <v>-6.66004318166849</v>
      </c>
    </row>
    <row r="341" spans="1:34" x14ac:dyDescent="0.2">
      <c r="A341" s="347">
        <f t="shared" ca="1" si="151"/>
        <v>0.1</v>
      </c>
      <c r="B341" s="304">
        <f t="shared" ca="1" si="152"/>
        <v>24.700000000000085</v>
      </c>
      <c r="D341" s="306">
        <f t="shared" ca="1" si="153"/>
        <v>-0.89635086265348485</v>
      </c>
      <c r="E341" s="307">
        <f t="shared" ca="1" si="154"/>
        <v>-3.1616092392829822</v>
      </c>
      <c r="F341" s="304">
        <f t="shared" ca="1" si="155"/>
        <v>3.2862163426803117</v>
      </c>
      <c r="G341" s="306">
        <f t="shared" ca="1" si="156"/>
        <v>12.933984868903027</v>
      </c>
      <c r="H341" s="307">
        <f t="shared" ca="1" si="157"/>
        <v>-96.914622741333929</v>
      </c>
      <c r="I341" s="304">
        <f t="shared" ca="1" si="158"/>
        <v>97.773882328994645</v>
      </c>
      <c r="J341" s="306">
        <f t="shared" ca="1" si="159"/>
        <v>697.24559704132776</v>
      </c>
      <c r="K341" s="307">
        <f t="shared" ca="1" si="160"/>
        <v>458.92862260430007</v>
      </c>
      <c r="L341" s="304">
        <f t="shared" ca="1" si="145"/>
        <v>834.72564549018</v>
      </c>
      <c r="M341" s="306">
        <f t="shared" ca="1" si="161"/>
        <v>-1.4381227824015677</v>
      </c>
      <c r="N341" s="304">
        <f t="shared" ca="1" si="162"/>
        <v>-82.398365853220682</v>
      </c>
      <c r="P341" s="310">
        <f t="shared" ca="1" si="163"/>
        <v>23</v>
      </c>
      <c r="Q341" s="304">
        <f t="shared" ca="1" si="164"/>
        <v>0</v>
      </c>
      <c r="R341" s="306">
        <f t="shared" ca="1" si="165"/>
        <v>0</v>
      </c>
      <c r="S341" s="307">
        <f t="shared" ca="1" si="166"/>
        <v>5.083000000000002</v>
      </c>
      <c r="T341" s="304">
        <f t="shared" ca="1" si="146"/>
        <v>49.86423000000002</v>
      </c>
      <c r="U341" s="311">
        <f t="shared" ca="1" si="147"/>
        <v>0</v>
      </c>
      <c r="V341" s="306">
        <f t="shared" ca="1" si="148"/>
        <v>1.1700423262077246</v>
      </c>
      <c r="W341" s="304">
        <f t="shared" ca="1" si="149"/>
        <v>34.343988605387423</v>
      </c>
      <c r="Y341" s="314" t="str">
        <f t="shared" ca="1" si="167"/>
        <v/>
      </c>
      <c r="Z341" s="315" t="str">
        <f t="shared" ca="1" si="168"/>
        <v/>
      </c>
      <c r="AA341" s="316" t="str">
        <f t="shared" ca="1" si="169"/>
        <v/>
      </c>
      <c r="AC341" s="310" t="e">
        <f t="shared" ca="1" si="170"/>
        <v>#N/A</v>
      </c>
      <c r="AD341" s="323" t="e">
        <f t="shared" ca="1" si="171"/>
        <v>#N/A</v>
      </c>
      <c r="AE341" s="324" t="e">
        <f t="shared" ca="1" si="150"/>
        <v>#N/A</v>
      </c>
      <c r="AG341" s="306">
        <f t="shared" ca="1" si="172"/>
        <v>3.013496346544124</v>
      </c>
      <c r="AH341" s="304">
        <f t="shared" ca="1" si="173"/>
        <v>-6.7085426566555464</v>
      </c>
    </row>
    <row r="342" spans="1:34" x14ac:dyDescent="0.2">
      <c r="A342" s="347">
        <f t="shared" ca="1" si="151"/>
        <v>0.1</v>
      </c>
      <c r="B342" s="304">
        <f t="shared" ca="1" si="152"/>
        <v>24.800000000000086</v>
      </c>
      <c r="D342" s="306">
        <f t="shared" ca="1" si="153"/>
        <v>-0.89379950554096477</v>
      </c>
      <c r="E342" s="307">
        <f t="shared" ca="1" si="154"/>
        <v>-3.1127413620872693</v>
      </c>
      <c r="F342" s="304">
        <f t="shared" ca="1" si="155"/>
        <v>3.2385237907655058</v>
      </c>
      <c r="G342" s="306">
        <f t="shared" ca="1" si="156"/>
        <v>12.84460491834893</v>
      </c>
      <c r="H342" s="307">
        <f t="shared" ca="1" si="157"/>
        <v>-97.225896877542652</v>
      </c>
      <c r="I342" s="304">
        <f t="shared" ca="1" si="158"/>
        <v>98.070683178771787</v>
      </c>
      <c r="J342" s="306">
        <f t="shared" ca="1" si="159"/>
        <v>698.5345265306903</v>
      </c>
      <c r="K342" s="307">
        <f t="shared" ca="1" si="160"/>
        <v>449.22159662335622</v>
      </c>
      <c r="L342" s="304">
        <f t="shared" ca="1" si="145"/>
        <v>830.51220799473685</v>
      </c>
      <c r="M342" s="306">
        <f t="shared" ca="1" si="161"/>
        <v>-1.4394460248427225</v>
      </c>
      <c r="N342" s="304">
        <f t="shared" ca="1" si="162"/>
        <v>-82.474182060371447</v>
      </c>
      <c r="P342" s="310">
        <f t="shared" ca="1" si="163"/>
        <v>23</v>
      </c>
      <c r="Q342" s="304">
        <f t="shared" ca="1" si="164"/>
        <v>0</v>
      </c>
      <c r="R342" s="306">
        <f t="shared" ca="1" si="165"/>
        <v>0</v>
      </c>
      <c r="S342" s="307">
        <f t="shared" ca="1" si="166"/>
        <v>5.083000000000002</v>
      </c>
      <c r="T342" s="304">
        <f t="shared" ca="1" si="146"/>
        <v>49.86423000000002</v>
      </c>
      <c r="U342" s="311">
        <f t="shared" ca="1" si="147"/>
        <v>0</v>
      </c>
      <c r="V342" s="306">
        <f t="shared" ca="1" si="148"/>
        <v>1.1711792270905337</v>
      </c>
      <c r="W342" s="304">
        <f t="shared" ca="1" si="149"/>
        <v>34.58638731885793</v>
      </c>
      <c r="Y342" s="314" t="str">
        <f t="shared" ca="1" si="167"/>
        <v/>
      </c>
      <c r="Z342" s="315" t="str">
        <f t="shared" ca="1" si="168"/>
        <v/>
      </c>
      <c r="AA342" s="316" t="str">
        <f t="shared" ca="1" si="169"/>
        <v/>
      </c>
      <c r="AC342" s="310" t="e">
        <f t="shared" ca="1" si="170"/>
        <v>#N/A</v>
      </c>
      <c r="AD342" s="323" t="e">
        <f t="shared" ca="1" si="171"/>
        <v>#N/A</v>
      </c>
      <c r="AE342" s="324" t="e">
        <f t="shared" ca="1" si="150"/>
        <v>#N/A</v>
      </c>
      <c r="AG342" s="306">
        <f t="shared" ca="1" si="172"/>
        <v>2.9671499035024222</v>
      </c>
      <c r="AH342" s="304">
        <f t="shared" ca="1" si="173"/>
        <v>-6.7566375379475527</v>
      </c>
    </row>
    <row r="343" spans="1:34" x14ac:dyDescent="0.2">
      <c r="A343" s="347">
        <f t="shared" ca="1" si="151"/>
        <v>0.1</v>
      </c>
      <c r="B343" s="304">
        <f t="shared" ca="1" si="152"/>
        <v>24.900000000000087</v>
      </c>
      <c r="D343" s="306">
        <f t="shared" ca="1" si="153"/>
        <v>-0.89118248163486113</v>
      </c>
      <c r="E343" s="307">
        <f t="shared" ca="1" si="154"/>
        <v>-3.0642871805479288</v>
      </c>
      <c r="F343" s="304">
        <f t="shared" ca="1" si="155"/>
        <v>3.1912477403741697</v>
      </c>
      <c r="G343" s="306">
        <f t="shared" ca="1" si="156"/>
        <v>12.755486670185444</v>
      </c>
      <c r="H343" s="307">
        <f t="shared" ca="1" si="157"/>
        <v>-97.532325595597442</v>
      </c>
      <c r="I343" s="304">
        <f t="shared" ca="1" si="158"/>
        <v>98.362884139694231</v>
      </c>
      <c r="J343" s="306">
        <f t="shared" ca="1" si="159"/>
        <v>699.81453111011706</v>
      </c>
      <c r="K343" s="307">
        <f t="shared" ca="1" si="160"/>
        <v>439.48368549969922</v>
      </c>
      <c r="L343" s="304">
        <f t="shared" ca="1" si="145"/>
        <v>826.3693410172425</v>
      </c>
      <c r="M343" s="306">
        <f t="shared" ca="1" si="161"/>
        <v>-1.4407522541582314</v>
      </c>
      <c r="N343" s="304">
        <f t="shared" ca="1" si="162"/>
        <v>-82.549023487226364</v>
      </c>
      <c r="P343" s="310">
        <f t="shared" ca="1" si="163"/>
        <v>23</v>
      </c>
      <c r="Q343" s="304">
        <f t="shared" ca="1" si="164"/>
        <v>0</v>
      </c>
      <c r="R343" s="306">
        <f t="shared" ca="1" si="165"/>
        <v>0</v>
      </c>
      <c r="S343" s="307">
        <f t="shared" ca="1" si="166"/>
        <v>5.083000000000002</v>
      </c>
      <c r="T343" s="304">
        <f t="shared" ca="1" si="146"/>
        <v>49.86423000000002</v>
      </c>
      <c r="U343" s="311">
        <f t="shared" ca="1" si="147"/>
        <v>0</v>
      </c>
      <c r="V343" s="306">
        <f t="shared" ca="1" si="148"/>
        <v>1.1723208303085404</v>
      </c>
      <c r="W343" s="304">
        <f t="shared" ca="1" si="149"/>
        <v>34.826708351520232</v>
      </c>
      <c r="Y343" s="314" t="str">
        <f t="shared" ca="1" si="167"/>
        <v/>
      </c>
      <c r="Z343" s="315" t="str">
        <f t="shared" ca="1" si="168"/>
        <v/>
      </c>
      <c r="AA343" s="316" t="str">
        <f t="shared" ca="1" si="169"/>
        <v/>
      </c>
      <c r="AC343" s="310" t="e">
        <f t="shared" ca="1" si="170"/>
        <v>#N/A</v>
      </c>
      <c r="AD343" s="323" t="e">
        <f t="shared" ca="1" si="171"/>
        <v>#N/A</v>
      </c>
      <c r="AE343" s="324" t="e">
        <f t="shared" ca="1" si="150"/>
        <v>#N/A</v>
      </c>
      <c r="AG343" s="306">
        <f t="shared" ca="1" si="172"/>
        <v>2.921170458353517</v>
      </c>
      <c r="AH343" s="304">
        <f t="shared" ca="1" si="173"/>
        <v>-6.804325657851253</v>
      </c>
    </row>
    <row r="344" spans="1:34" x14ac:dyDescent="0.2">
      <c r="A344" s="347">
        <f t="shared" ca="1" si="151"/>
        <v>0.1</v>
      </c>
      <c r="B344" s="304">
        <f t="shared" ca="1" si="152"/>
        <v>25.000000000000089</v>
      </c>
      <c r="D344" s="306">
        <f t="shared" ca="1" si="153"/>
        <v>-0.88850136262115775</v>
      </c>
      <c r="E344" s="307">
        <f t="shared" ca="1" si="154"/>
        <v>-3.0162486965823616</v>
      </c>
      <c r="F344" s="304">
        <f t="shared" ca="1" si="155"/>
        <v>3.144390381459409</v>
      </c>
      <c r="G344" s="306">
        <f t="shared" ca="1" si="156"/>
        <v>12.666636533923329</v>
      </c>
      <c r="H344" s="307">
        <f t="shared" ca="1" si="157"/>
        <v>-97.833950465255683</v>
      </c>
      <c r="I344" s="304">
        <f t="shared" ca="1" si="158"/>
        <v>98.650522272923737</v>
      </c>
      <c r="J344" s="306">
        <f t="shared" ca="1" si="159"/>
        <v>701.08563727032254</v>
      </c>
      <c r="K344" s="307">
        <f t="shared" ca="1" si="160"/>
        <v>429.71537169665658</v>
      </c>
      <c r="L344" s="304">
        <f t="shared" ca="1" si="145"/>
        <v>822.29944148049253</v>
      </c>
      <c r="M344" s="306">
        <f t="shared" ca="1" si="161"/>
        <v>-1.4420417962361243</v>
      </c>
      <c r="N344" s="304">
        <f t="shared" ca="1" si="162"/>
        <v>-82.622908805794168</v>
      </c>
      <c r="P344" s="310">
        <f t="shared" ca="1" si="163"/>
        <v>23</v>
      </c>
      <c r="Q344" s="304">
        <f t="shared" ca="1" si="164"/>
        <v>0</v>
      </c>
      <c r="R344" s="306">
        <f t="shared" ca="1" si="165"/>
        <v>0</v>
      </c>
      <c r="S344" s="307">
        <f t="shared" ca="1" si="166"/>
        <v>5.083000000000002</v>
      </c>
      <c r="T344" s="304">
        <f t="shared" ca="1" si="146"/>
        <v>49.86423000000002</v>
      </c>
      <c r="U344" s="311">
        <f t="shared" ca="1" si="147"/>
        <v>0</v>
      </c>
      <c r="V344" s="306">
        <f t="shared" ca="1" si="148"/>
        <v>1.1734670911218195</v>
      </c>
      <c r="W344" s="304">
        <f t="shared" ca="1" si="149"/>
        <v>35.064942478493705</v>
      </c>
      <c r="Y344" s="314" t="str">
        <f t="shared" ca="1" si="167"/>
        <v/>
      </c>
      <c r="Z344" s="315" t="str">
        <f t="shared" ca="1" si="168"/>
        <v/>
      </c>
      <c r="AA344" s="316" t="str">
        <f t="shared" ca="1" si="169"/>
        <v/>
      </c>
      <c r="AC344" s="310">
        <f t="shared" ca="1" si="170"/>
        <v>25.000000000000089</v>
      </c>
      <c r="AD344" s="323">
        <f t="shared" ca="1" si="171"/>
        <v>701.08563727032254</v>
      </c>
      <c r="AE344" s="324" t="e">
        <f t="shared" ca="1" si="150"/>
        <v>#N/A</v>
      </c>
      <c r="AG344" s="306">
        <f t="shared" ca="1" si="172"/>
        <v>2.8755610933826654</v>
      </c>
      <c r="AH344" s="304">
        <f t="shared" ca="1" si="173"/>
        <v>-6.8516050268581976</v>
      </c>
    </row>
    <row r="345" spans="1:34" x14ac:dyDescent="0.2">
      <c r="A345" s="347">
        <f t="shared" ca="1" si="151"/>
        <v>0.1</v>
      </c>
      <c r="B345" s="304">
        <f t="shared" ca="1" si="152"/>
        <v>25.10000000000009</v>
      </c>
      <c r="D345" s="306">
        <f t="shared" ca="1" si="153"/>
        <v>-0.88575770945390475</v>
      </c>
      <c r="E345" s="307">
        <f t="shared" ca="1" si="154"/>
        <v>-2.9686277352437216</v>
      </c>
      <c r="F345" s="304">
        <f t="shared" ca="1" si="155"/>
        <v>3.0979537359869167</v>
      </c>
      <c r="G345" s="306">
        <f t="shared" ca="1" si="156"/>
        <v>12.578060762977939</v>
      </c>
      <c r="H345" s="307">
        <f t="shared" ca="1" si="157"/>
        <v>-98.13081323878005</v>
      </c>
      <c r="I345" s="304">
        <f t="shared" ca="1" si="158"/>
        <v>98.933634924940947</v>
      </c>
      <c r="J345" s="306">
        <f t="shared" ca="1" si="159"/>
        <v>702.34787213516756</v>
      </c>
      <c r="K345" s="307">
        <f t="shared" ca="1" si="160"/>
        <v>419.91713351145478</v>
      </c>
      <c r="L345" s="304">
        <f t="shared" ca="1" si="145"/>
        <v>818.3049141422008</v>
      </c>
      <c r="M345" s="306">
        <f t="shared" ca="1" si="161"/>
        <v>-1.4433149682358952</v>
      </c>
      <c r="N345" s="304">
        <f t="shared" ca="1" si="162"/>
        <v>-82.695856187975266</v>
      </c>
      <c r="P345" s="310">
        <f t="shared" ca="1" si="163"/>
        <v>23</v>
      </c>
      <c r="Q345" s="304">
        <f t="shared" ca="1" si="164"/>
        <v>0</v>
      </c>
      <c r="R345" s="306">
        <f t="shared" ca="1" si="165"/>
        <v>0</v>
      </c>
      <c r="S345" s="307">
        <f t="shared" ca="1" si="166"/>
        <v>5.083000000000002</v>
      </c>
      <c r="T345" s="304">
        <f t="shared" ca="1" si="146"/>
        <v>49.86423000000002</v>
      </c>
      <c r="U345" s="311">
        <f t="shared" ca="1" si="147"/>
        <v>0</v>
      </c>
      <c r="V345" s="306">
        <f t="shared" ca="1" si="148"/>
        <v>1.1746179651280422</v>
      </c>
      <c r="W345" s="304">
        <f t="shared" ca="1" si="149"/>
        <v>35.301081344704251</v>
      </c>
      <c r="Y345" s="314" t="str">
        <f t="shared" ca="1" si="167"/>
        <v/>
      </c>
      <c r="Z345" s="315" t="str">
        <f t="shared" ca="1" si="168"/>
        <v/>
      </c>
      <c r="AA345" s="316" t="str">
        <f t="shared" ca="1" si="169"/>
        <v/>
      </c>
      <c r="AC345" s="310" t="e">
        <f t="shared" ca="1" si="170"/>
        <v>#N/A</v>
      </c>
      <c r="AD345" s="323" t="e">
        <f t="shared" ca="1" si="171"/>
        <v>#N/A</v>
      </c>
      <c r="AE345" s="324" t="e">
        <f t="shared" ca="1" si="150"/>
        <v>#N/A</v>
      </c>
      <c r="AG345" s="306">
        <f t="shared" ca="1" si="172"/>
        <v>2.8303246795225521</v>
      </c>
      <c r="AH345" s="304">
        <f t="shared" ca="1" si="173"/>
        <v>-6.8984738301187667</v>
      </c>
    </row>
    <row r="346" spans="1:34" x14ac:dyDescent="0.2">
      <c r="A346" s="347">
        <f t="shared" ca="1" si="151"/>
        <v>0.1</v>
      </c>
      <c r="B346" s="304">
        <f t="shared" ca="1" si="152"/>
        <v>25.200000000000092</v>
      </c>
      <c r="D346" s="306">
        <f t="shared" ca="1" si="153"/>
        <v>-0.88295307185258831</v>
      </c>
      <c r="E346" s="307">
        <f t="shared" ca="1" si="154"/>
        <v>-2.9214259482985865</v>
      </c>
      <c r="F346" s="304">
        <f t="shared" ca="1" si="155"/>
        <v>3.0519396616719372</v>
      </c>
      <c r="G346" s="306">
        <f t="shared" ca="1" si="156"/>
        <v>12.48976545579268</v>
      </c>
      <c r="H346" s="307">
        <f t="shared" ca="1" si="157"/>
        <v>-98.422955833609905</v>
      </c>
      <c r="I346" s="304">
        <f t="shared" ca="1" si="158"/>
        <v>99.212259706980959</v>
      </c>
      <c r="J346" s="306">
        <f t="shared" ca="1" si="159"/>
        <v>703.60126344610615</v>
      </c>
      <c r="K346" s="307">
        <f t="shared" ca="1" si="160"/>
        <v>410.08944505783529</v>
      </c>
      <c r="L346" s="304">
        <f t="shared" ca="1" si="145"/>
        <v>814.38816965302249</v>
      </c>
      <c r="M346" s="306">
        <f t="shared" ca="1" si="161"/>
        <v>-1.4445720788779881</v>
      </c>
      <c r="N346" s="304">
        <f t="shared" ca="1" si="162"/>
        <v>-82.767883322148165</v>
      </c>
      <c r="P346" s="310">
        <f t="shared" ca="1" si="163"/>
        <v>23</v>
      </c>
      <c r="Q346" s="304">
        <f t="shared" ca="1" si="164"/>
        <v>0</v>
      </c>
      <c r="R346" s="306">
        <f t="shared" ca="1" si="165"/>
        <v>0</v>
      </c>
      <c r="S346" s="307">
        <f t="shared" ca="1" si="166"/>
        <v>5.083000000000002</v>
      </c>
      <c r="T346" s="304">
        <f t="shared" ca="1" si="146"/>
        <v>49.86423000000002</v>
      </c>
      <c r="U346" s="311">
        <f t="shared" ca="1" si="147"/>
        <v>0</v>
      </c>
      <c r="V346" s="306">
        <f t="shared" ca="1" si="148"/>
        <v>1.1757734082647553</v>
      </c>
      <c r="W346" s="304">
        <f t="shared" ca="1" si="149"/>
        <v>35.535117446855509</v>
      </c>
      <c r="Y346" s="314" t="str">
        <f t="shared" ca="1" si="167"/>
        <v/>
      </c>
      <c r="Z346" s="315" t="str">
        <f t="shared" ca="1" si="168"/>
        <v/>
      </c>
      <c r="AA346" s="316" t="str">
        <f t="shared" ca="1" si="169"/>
        <v/>
      </c>
      <c r="AC346" s="310" t="e">
        <f t="shared" ca="1" si="170"/>
        <v>#N/A</v>
      </c>
      <c r="AD346" s="323" t="e">
        <f t="shared" ca="1" si="171"/>
        <v>#N/A</v>
      </c>
      <c r="AE346" s="324" t="e">
        <f t="shared" ca="1" si="150"/>
        <v>#N/A</v>
      </c>
      <c r="AG346" s="306">
        <f t="shared" ca="1" si="172"/>
        <v>2.7854638813571242</v>
      </c>
      <c r="AH346" s="304">
        <f t="shared" ca="1" si="173"/>
        <v>-6.9449304239040401</v>
      </c>
    </row>
    <row r="347" spans="1:34" x14ac:dyDescent="0.2">
      <c r="A347" s="347">
        <f t="shared" ca="1" si="151"/>
        <v>0.1</v>
      </c>
      <c r="B347" s="304">
        <f t="shared" ca="1" si="152"/>
        <v>25.300000000000093</v>
      </c>
      <c r="D347" s="306">
        <f t="shared" ca="1" si="153"/>
        <v>-0.88008898782267597</v>
      </c>
      <c r="E347" s="307">
        <f t="shared" ca="1" si="154"/>
        <v>-2.8746448178141399</v>
      </c>
      <c r="F347" s="304">
        <f t="shared" ca="1" si="155"/>
        <v>3.006349855734098</v>
      </c>
      <c r="G347" s="306">
        <f t="shared" ca="1" si="156"/>
        <v>12.401756557010412</v>
      </c>
      <c r="H347" s="307">
        <f t="shared" ca="1" si="157"/>
        <v>-98.710420315391318</v>
      </c>
      <c r="I347" s="304">
        <f t="shared" ca="1" si="158"/>
        <v>99.486434474960305</v>
      </c>
      <c r="J347" s="306">
        <f t="shared" ca="1" si="159"/>
        <v>704.84583954674633</v>
      </c>
      <c r="K347" s="307">
        <f t="shared" ca="1" si="160"/>
        <v>400.23277625038526</v>
      </c>
      <c r="L347" s="304">
        <f t="shared" ca="1" si="145"/>
        <v>810.55162248400234</v>
      </c>
      <c r="M347" s="306">
        <f t="shared" ca="1" si="161"/>
        <v>-1.4458134287220334</v>
      </c>
      <c r="N347" s="304">
        <f t="shared" ca="1" si="162"/>
        <v>-82.839007429111192</v>
      </c>
      <c r="P347" s="310">
        <f t="shared" ca="1" si="163"/>
        <v>23</v>
      </c>
      <c r="Q347" s="304">
        <f t="shared" ca="1" si="164"/>
        <v>0</v>
      </c>
      <c r="R347" s="306">
        <f t="shared" ca="1" si="165"/>
        <v>0</v>
      </c>
      <c r="S347" s="307">
        <f t="shared" ca="1" si="166"/>
        <v>5.083000000000002</v>
      </c>
      <c r="T347" s="304">
        <f t="shared" ca="1" si="146"/>
        <v>49.86423000000002</v>
      </c>
      <c r="U347" s="311">
        <f t="shared" ca="1" si="147"/>
        <v>0</v>
      </c>
      <c r="V347" s="306">
        <f t="shared" ca="1" si="148"/>
        <v>1.1769333768115136</v>
      </c>
      <c r="W347" s="304">
        <f t="shared" ca="1" si="149"/>
        <v>35.767044115372521</v>
      </c>
      <c r="Y347" s="314" t="str">
        <f t="shared" ca="1" si="167"/>
        <v/>
      </c>
      <c r="Z347" s="315" t="str">
        <f t="shared" ca="1" si="168"/>
        <v/>
      </c>
      <c r="AA347" s="316" t="str">
        <f t="shared" ca="1" si="169"/>
        <v/>
      </c>
      <c r="AC347" s="310" t="e">
        <f t="shared" ca="1" si="170"/>
        <v>#N/A</v>
      </c>
      <c r="AD347" s="323" t="e">
        <f t="shared" ca="1" si="171"/>
        <v>#N/A</v>
      </c>
      <c r="AE347" s="324" t="e">
        <f t="shared" ca="1" si="150"/>
        <v>#N/A</v>
      </c>
      <c r="AG347" s="306">
        <f t="shared" ca="1" si="172"/>
        <v>2.740981162066717</v>
      </c>
      <c r="AH347" s="304">
        <f t="shared" ca="1" si="173"/>
        <v>-6.9909733320589211</v>
      </c>
    </row>
    <row r="348" spans="1:34" x14ac:dyDescent="0.2">
      <c r="A348" s="347">
        <f t="shared" ca="1" si="151"/>
        <v>0.1</v>
      </c>
      <c r="B348" s="304">
        <f t="shared" ca="1" si="152"/>
        <v>25.400000000000095</v>
      </c>
      <c r="D348" s="306">
        <f t="shared" ca="1" si="153"/>
        <v>-0.87716698319893893</v>
      </c>
      <c r="E348" s="307">
        <f t="shared" ca="1" si="154"/>
        <v>-2.8282856597514519</v>
      </c>
      <c r="F348" s="304">
        <f t="shared" ca="1" si="155"/>
        <v>2.9611858586671036</v>
      </c>
      <c r="G348" s="306">
        <f t="shared" ca="1" si="156"/>
        <v>12.314039858690517</v>
      </c>
      <c r="H348" s="307">
        <f t="shared" ca="1" si="157"/>
        <v>-98.993248881366469</v>
      </c>
      <c r="I348" s="304">
        <f t="shared" ca="1" si="158"/>
        <v>99.756197309889387</v>
      </c>
      <c r="J348" s="306">
        <f t="shared" ca="1" si="159"/>
        <v>706.08162936753138</v>
      </c>
      <c r="K348" s="307">
        <f t="shared" ca="1" si="160"/>
        <v>390.34759279054737</v>
      </c>
      <c r="L348" s="304">
        <f t="shared" ca="1" si="145"/>
        <v>806.7976887223233</v>
      </c>
      <c r="M348" s="306">
        <f t="shared" ca="1" si="161"/>
        <v>-1.4470393104343384</v>
      </c>
      <c r="N348" s="304">
        <f t="shared" ca="1" si="162"/>
        <v>-82.909245277408544</v>
      </c>
      <c r="P348" s="310">
        <f t="shared" ca="1" si="163"/>
        <v>23</v>
      </c>
      <c r="Q348" s="304">
        <f t="shared" ca="1" si="164"/>
        <v>0</v>
      </c>
      <c r="R348" s="306">
        <f t="shared" ca="1" si="165"/>
        <v>0</v>
      </c>
      <c r="S348" s="307">
        <f t="shared" ca="1" si="166"/>
        <v>5.083000000000002</v>
      </c>
      <c r="T348" s="304">
        <f t="shared" ca="1" si="146"/>
        <v>49.86423000000002</v>
      </c>
      <c r="U348" s="311">
        <f t="shared" ca="1" si="147"/>
        <v>0</v>
      </c>
      <c r="V348" s="306">
        <f t="shared" ca="1" si="148"/>
        <v>1.1780978273918696</v>
      </c>
      <c r="W348" s="304">
        <f t="shared" ca="1" si="149"/>
        <v>35.996855496333978</v>
      </c>
      <c r="Y348" s="314" t="str">
        <f t="shared" ca="1" si="167"/>
        <v/>
      </c>
      <c r="Z348" s="315" t="str">
        <f t="shared" ca="1" si="168"/>
        <v/>
      </c>
      <c r="AA348" s="316" t="str">
        <f t="shared" ca="1" si="169"/>
        <v/>
      </c>
      <c r="AC348" s="310" t="e">
        <f t="shared" ca="1" si="170"/>
        <v>#N/A</v>
      </c>
      <c r="AD348" s="323" t="e">
        <f t="shared" ca="1" si="171"/>
        <v>#N/A</v>
      </c>
      <c r="AE348" s="324" t="e">
        <f t="shared" ca="1" si="150"/>
        <v>#N/A</v>
      </c>
      <c r="AG348" s="306">
        <f t="shared" ca="1" si="172"/>
        <v>2.6968787883146836</v>
      </c>
      <c r="AH348" s="304">
        <f t="shared" ca="1" si="173"/>
        <v>-7.0366012424498345</v>
      </c>
    </row>
    <row r="349" spans="1:34" x14ac:dyDescent="0.2">
      <c r="A349" s="347">
        <f t="shared" ca="1" si="151"/>
        <v>0.1</v>
      </c>
      <c r="B349" s="304">
        <f t="shared" ca="1" si="152"/>
        <v>25.500000000000096</v>
      </c>
      <c r="D349" s="306">
        <f t="shared" ca="1" si="153"/>
        <v>-0.8741885712111096</v>
      </c>
      <c r="E349" s="307">
        <f t="shared" ca="1" si="154"/>
        <v>-2.7823496275616106</v>
      </c>
      <c r="F349" s="304">
        <f t="shared" ca="1" si="155"/>
        <v>2.9164490580204472</v>
      </c>
      <c r="G349" s="306">
        <f t="shared" ca="1" si="156"/>
        <v>12.226621001569406</v>
      </c>
      <c r="H349" s="307">
        <f t="shared" ca="1" si="157"/>
        <v>-99.271483844122628</v>
      </c>
      <c r="I349" s="304">
        <f t="shared" ca="1" si="158"/>
        <v>100.02158649876495</v>
      </c>
      <c r="J349" s="306">
        <f t="shared" ca="1" si="159"/>
        <v>707.30866241054434</v>
      </c>
      <c r="K349" s="307">
        <f t="shared" ca="1" si="160"/>
        <v>380.4343561542729</v>
      </c>
      <c r="L349" s="304">
        <f t="shared" ca="1" si="145"/>
        <v>803.12878373490605</v>
      </c>
      <c r="M349" s="306">
        <f t="shared" ca="1" si="161"/>
        <v>-1.4482500090451038</v>
      </c>
      <c r="N349" s="304">
        <f t="shared" ca="1" si="162"/>
        <v>-82.978613198067748</v>
      </c>
      <c r="P349" s="310">
        <f t="shared" ca="1" si="163"/>
        <v>23</v>
      </c>
      <c r="Q349" s="304">
        <f t="shared" ca="1" si="164"/>
        <v>0</v>
      </c>
      <c r="R349" s="306">
        <f t="shared" ca="1" si="165"/>
        <v>0</v>
      </c>
      <c r="S349" s="307">
        <f t="shared" ca="1" si="166"/>
        <v>5.083000000000002</v>
      </c>
      <c r="T349" s="304">
        <f t="shared" ca="1" si="146"/>
        <v>49.86423000000002</v>
      </c>
      <c r="U349" s="311">
        <f t="shared" ca="1" si="147"/>
        <v>0</v>
      </c>
      <c r="V349" s="306">
        <f t="shared" ca="1" si="148"/>
        <v>1.1792667169752193</v>
      </c>
      <c r="W349" s="304">
        <f t="shared" ca="1" si="149"/>
        <v>36.224546533408677</v>
      </c>
      <c r="Y349" s="314" t="str">
        <f t="shared" ca="1" si="167"/>
        <v/>
      </c>
      <c r="Z349" s="315" t="str">
        <f t="shared" ca="1" si="168"/>
        <v/>
      </c>
      <c r="AA349" s="316" t="str">
        <f t="shared" ca="1" si="169"/>
        <v/>
      </c>
      <c r="AC349" s="310" t="e">
        <f t="shared" ca="1" si="170"/>
        <v>#N/A</v>
      </c>
      <c r="AD349" s="323" t="e">
        <f t="shared" ca="1" si="171"/>
        <v>#N/A</v>
      </c>
      <c r="AE349" s="324" t="e">
        <f t="shared" ca="1" si="150"/>
        <v>#N/A</v>
      </c>
      <c r="AG349" s="306">
        <f t="shared" ca="1" si="172"/>
        <v>2.6531588350756055</v>
      </c>
      <c r="AH349" s="304">
        <f t="shared" ca="1" si="173"/>
        <v>-7.0818130034101836</v>
      </c>
    </row>
    <row r="350" spans="1:34" x14ac:dyDescent="0.2">
      <c r="A350" s="347">
        <f t="shared" ca="1" si="151"/>
        <v>0.1</v>
      </c>
      <c r="B350" s="304">
        <f t="shared" ca="1" si="152"/>
        <v>25.600000000000097</v>
      </c>
      <c r="D350" s="306">
        <f t="shared" ca="1" si="153"/>
        <v>-0.87115525207145628</v>
      </c>
      <c r="E350" s="307">
        <f t="shared" ca="1" si="154"/>
        <v>-2.7368377157815393</v>
      </c>
      <c r="F350" s="304">
        <f t="shared" ca="1" si="155"/>
        <v>2.872140692190408</v>
      </c>
      <c r="G350" s="306">
        <f t="shared" ca="1" si="156"/>
        <v>12.13950547636226</v>
      </c>
      <c r="H350" s="307">
        <f t="shared" ca="1" si="157"/>
        <v>-99.545167615700777</v>
      </c>
      <c r="I350" s="304">
        <f t="shared" ca="1" si="158"/>
        <v>100.28264051593671</v>
      </c>
      <c r="J350" s="306">
        <f t="shared" ca="1" si="159"/>
        <v>708.52696873444097</v>
      </c>
      <c r="K350" s="307">
        <f t="shared" ca="1" si="160"/>
        <v>370.49352358128175</v>
      </c>
      <c r="L350" s="304">
        <f t="shared" ca="1" si="145"/>
        <v>799.54731970014711</v>
      </c>
      <c r="M350" s="306">
        <f t="shared" ca="1" si="161"/>
        <v>-1.4494458021958228</v>
      </c>
      <c r="N350" s="304">
        <f t="shared" ca="1" si="162"/>
        <v>-83.047127098774595</v>
      </c>
      <c r="P350" s="310">
        <f t="shared" ca="1" si="163"/>
        <v>23</v>
      </c>
      <c r="Q350" s="304">
        <f t="shared" ca="1" si="164"/>
        <v>0</v>
      </c>
      <c r="R350" s="306">
        <f t="shared" ca="1" si="165"/>
        <v>0</v>
      </c>
      <c r="S350" s="307">
        <f t="shared" ca="1" si="166"/>
        <v>5.083000000000002</v>
      </c>
      <c r="T350" s="304">
        <f t="shared" ca="1" si="146"/>
        <v>49.86423000000002</v>
      </c>
      <c r="U350" s="311">
        <f t="shared" ca="1" si="147"/>
        <v>0</v>
      </c>
      <c r="V350" s="306">
        <f t="shared" ca="1" si="148"/>
        <v>1.1804400028785087</v>
      </c>
      <c r="W350" s="304">
        <f t="shared" ca="1" si="149"/>
        <v>36.450112949811171</v>
      </c>
      <c r="Y350" s="314" t="str">
        <f t="shared" ca="1" si="167"/>
        <v/>
      </c>
      <c r="Z350" s="315" t="str">
        <f t="shared" ca="1" si="168"/>
        <v/>
      </c>
      <c r="AA350" s="316" t="str">
        <f t="shared" ca="1" si="169"/>
        <v/>
      </c>
      <c r="AC350" s="310" t="e">
        <f t="shared" ca="1" si="170"/>
        <v>#N/A</v>
      </c>
      <c r="AD350" s="323" t="e">
        <f t="shared" ca="1" si="171"/>
        <v>#N/A</v>
      </c>
      <c r="AE350" s="324" t="e">
        <f t="shared" ca="1" si="150"/>
        <v>#N/A</v>
      </c>
      <c r="AG350" s="306">
        <f t="shared" ca="1" si="172"/>
        <v>2.6098231904051179</v>
      </c>
      <c r="AH350" s="304">
        <f t="shared" ca="1" si="173"/>
        <v>-7.1266076201866344</v>
      </c>
    </row>
    <row r="351" spans="1:34" x14ac:dyDescent="0.2">
      <c r="A351" s="347">
        <f t="shared" ca="1" si="151"/>
        <v>0.1</v>
      </c>
      <c r="B351" s="304">
        <f t="shared" ca="1" si="152"/>
        <v>25.700000000000099</v>
      </c>
      <c r="D351" s="306">
        <f t="shared" ca="1" si="153"/>
        <v>-0.8680685125838119</v>
      </c>
      <c r="E351" s="307">
        <f t="shared" ca="1" si="154"/>
        <v>-2.6917507636264917</v>
      </c>
      <c r="F351" s="304">
        <f t="shared" ca="1" si="155"/>
        <v>2.8282618542177582</v>
      </c>
      <c r="G351" s="306">
        <f t="shared" ca="1" si="156"/>
        <v>12.052698625103879</v>
      </c>
      <c r="H351" s="307">
        <f t="shared" ca="1" si="157"/>
        <v>-99.81434269206342</v>
      </c>
      <c r="I351" s="304">
        <f t="shared" ca="1" si="158"/>
        <v>100.53939800494258</v>
      </c>
      <c r="J351" s="306">
        <f t="shared" ca="1" si="159"/>
        <v>709.73657893951429</v>
      </c>
      <c r="K351" s="307">
        <f t="shared" ca="1" si="160"/>
        <v>360.52554806589353</v>
      </c>
      <c r="L351" s="304">
        <f t="shared" ca="1" si="145"/>
        <v>796.05570300889008</v>
      </c>
      <c r="M351" s="306">
        <f t="shared" ca="1" si="161"/>
        <v>-1.4506269603772839</v>
      </c>
      <c r="N351" s="304">
        <f t="shared" ca="1" si="162"/>
        <v>-83.11480247750967</v>
      </c>
      <c r="P351" s="310">
        <f t="shared" ca="1" si="163"/>
        <v>23</v>
      </c>
      <c r="Q351" s="304">
        <f t="shared" ca="1" si="164"/>
        <v>0</v>
      </c>
      <c r="R351" s="306">
        <f t="shared" ca="1" si="165"/>
        <v>0</v>
      </c>
      <c r="S351" s="307">
        <f t="shared" ca="1" si="166"/>
        <v>5.083000000000002</v>
      </c>
      <c r="T351" s="304">
        <f t="shared" ca="1" si="146"/>
        <v>49.86423000000002</v>
      </c>
      <c r="U351" s="311">
        <f t="shared" ca="1" si="147"/>
        <v>0</v>
      </c>
      <c r="V351" s="306">
        <f t="shared" ca="1" si="148"/>
        <v>1.1816176427678047</v>
      </c>
      <c r="W351" s="304">
        <f t="shared" ca="1" si="149"/>
        <v>36.673551230291267</v>
      </c>
      <c r="Y351" s="314" t="str">
        <f t="shared" ca="1" si="167"/>
        <v/>
      </c>
      <c r="Z351" s="315" t="str">
        <f t="shared" ca="1" si="168"/>
        <v/>
      </c>
      <c r="AA351" s="316" t="str">
        <f t="shared" ca="1" si="169"/>
        <v/>
      </c>
      <c r="AC351" s="310" t="e">
        <f t="shared" ca="1" si="170"/>
        <v>#N/A</v>
      </c>
      <c r="AD351" s="323" t="e">
        <f t="shared" ca="1" si="171"/>
        <v>#N/A</v>
      </c>
      <c r="AE351" s="324" t="e">
        <f t="shared" ca="1" si="150"/>
        <v>#N/A</v>
      </c>
      <c r="AG351" s="306">
        <f t="shared" ca="1" si="172"/>
        <v>2.5668735601513522</v>
      </c>
      <c r="AH351" s="304">
        <f t="shared" ca="1" si="173"/>
        <v>-7.1709842513891715</v>
      </c>
    </row>
    <row r="352" spans="1:34" x14ac:dyDescent="0.2">
      <c r="A352" s="347">
        <f t="shared" ca="1" si="151"/>
        <v>0.1</v>
      </c>
      <c r="B352" s="304">
        <f t="shared" ca="1" si="152"/>
        <v>25.8000000000001</v>
      </c>
      <c r="D352" s="306">
        <f t="shared" ca="1" si="153"/>
        <v>-0.86492982577367228</v>
      </c>
      <c r="E352" s="307">
        <f t="shared" ca="1" si="154"/>
        <v>-2.6470894585762608</v>
      </c>
      <c r="F352" s="304">
        <f t="shared" ca="1" si="155"/>
        <v>2.7848134955896842</v>
      </c>
      <c r="G352" s="306">
        <f t="shared" ca="1" si="156"/>
        <v>11.966205642526512</v>
      </c>
      <c r="H352" s="307">
        <f t="shared" ca="1" si="157"/>
        <v>-100.07905163792104</v>
      </c>
      <c r="I352" s="304">
        <f t="shared" ca="1" si="158"/>
        <v>100.79189776080665</v>
      </c>
      <c r="J352" s="306">
        <f t="shared" ca="1" si="159"/>
        <v>710.93752415289578</v>
      </c>
      <c r="K352" s="307">
        <f t="shared" ca="1" si="160"/>
        <v>350.5308783493943</v>
      </c>
      <c r="L352" s="304">
        <f t="shared" ca="1" si="145"/>
        <v>792.65633153659167</v>
      </c>
      <c r="M352" s="306">
        <f t="shared" ca="1" si="161"/>
        <v>-1.4517937471585973</v>
      </c>
      <c r="N352" s="304">
        <f t="shared" ca="1" si="162"/>
        <v>-83.18165443567058</v>
      </c>
      <c r="P352" s="310">
        <f t="shared" ca="1" si="163"/>
        <v>23</v>
      </c>
      <c r="Q352" s="304">
        <f t="shared" ca="1" si="164"/>
        <v>0</v>
      </c>
      <c r="R352" s="306">
        <f t="shared" ca="1" si="165"/>
        <v>0</v>
      </c>
      <c r="S352" s="307">
        <f t="shared" ca="1" si="166"/>
        <v>5.083000000000002</v>
      </c>
      <c r="T352" s="304">
        <f t="shared" ca="1" si="146"/>
        <v>49.86423000000002</v>
      </c>
      <c r="U352" s="311">
        <f t="shared" ca="1" si="147"/>
        <v>0</v>
      </c>
      <c r="V352" s="306">
        <f t="shared" ca="1" si="148"/>
        <v>1.1827995946597307</v>
      </c>
      <c r="W352" s="304">
        <f t="shared" ca="1" si="149"/>
        <v>36.894858603171059</v>
      </c>
      <c r="Y352" s="314" t="str">
        <f t="shared" ca="1" si="167"/>
        <v/>
      </c>
      <c r="Z352" s="315" t="str">
        <f t="shared" ca="1" si="168"/>
        <v/>
      </c>
      <c r="AA352" s="316" t="str">
        <f t="shared" ca="1" si="169"/>
        <v/>
      </c>
      <c r="AC352" s="310" t="e">
        <f t="shared" ca="1" si="170"/>
        <v>#N/A</v>
      </c>
      <c r="AD352" s="323" t="e">
        <f t="shared" ca="1" si="171"/>
        <v>#N/A</v>
      </c>
      <c r="AE352" s="324" t="e">
        <f t="shared" ca="1" si="150"/>
        <v>#N/A</v>
      </c>
      <c r="AG352" s="306">
        <f t="shared" ca="1" si="172"/>
        <v>2.5243114726078746</v>
      </c>
      <c r="AH352" s="304">
        <f t="shared" ca="1" si="173"/>
        <v>-7.2149422054478167</v>
      </c>
    </row>
    <row r="353" spans="1:34" x14ac:dyDescent="0.2">
      <c r="A353" s="347">
        <f t="shared" ca="1" si="151"/>
        <v>0.1</v>
      </c>
      <c r="B353" s="304">
        <f t="shared" ca="1" si="152"/>
        <v>25.900000000000102</v>
      </c>
      <c r="D353" s="306">
        <f t="shared" ca="1" si="153"/>
        <v>-0.86174065053884497</v>
      </c>
      <c r="E353" s="307">
        <f t="shared" ca="1" si="154"/>
        <v>-2.6028543399523416</v>
      </c>
      <c r="F353" s="304">
        <f t="shared" ca="1" si="155"/>
        <v>2.7417964300436042</v>
      </c>
      <c r="G353" s="306">
        <f t="shared" ca="1" si="156"/>
        <v>11.880031577472629</v>
      </c>
      <c r="H353" s="307">
        <f t="shared" ca="1" si="157"/>
        <v>-100.33933707191628</v>
      </c>
      <c r="I353" s="304">
        <f t="shared" ca="1" si="158"/>
        <v>101.04017871279414</v>
      </c>
      <c r="J353" s="306">
        <f t="shared" ca="1" si="159"/>
        <v>712.12983601389578</v>
      </c>
      <c r="K353" s="307">
        <f t="shared" ca="1" si="160"/>
        <v>340.50995891390244</v>
      </c>
      <c r="L353" s="304">
        <f t="shared" ca="1" si="145"/>
        <v>789.35159178956849</v>
      </c>
      <c r="M353" s="306">
        <f t="shared" ca="1" si="161"/>
        <v>-1.4529464194076203</v>
      </c>
      <c r="N353" s="304">
        <f t="shared" ca="1" si="162"/>
        <v>-83.247697690701443</v>
      </c>
      <c r="P353" s="310">
        <f t="shared" ca="1" si="163"/>
        <v>23</v>
      </c>
      <c r="Q353" s="304">
        <f t="shared" ca="1" si="164"/>
        <v>0</v>
      </c>
      <c r="R353" s="306">
        <f t="shared" ca="1" si="165"/>
        <v>0</v>
      </c>
      <c r="S353" s="307">
        <f t="shared" ca="1" si="166"/>
        <v>5.083000000000002</v>
      </c>
      <c r="T353" s="304">
        <f t="shared" ca="1" si="146"/>
        <v>49.86423000000002</v>
      </c>
      <c r="U353" s="311">
        <f t="shared" ca="1" si="147"/>
        <v>0</v>
      </c>
      <c r="V353" s="306">
        <f t="shared" ca="1" si="148"/>
        <v>1.1839858169227726</v>
      </c>
      <c r="W353" s="304">
        <f t="shared" ca="1" si="149"/>
        <v>37.114033022442847</v>
      </c>
      <c r="Y353" s="314" t="str">
        <f t="shared" ca="1" si="167"/>
        <v/>
      </c>
      <c r="Z353" s="315" t="str">
        <f t="shared" ca="1" si="168"/>
        <v/>
      </c>
      <c r="AA353" s="316" t="str">
        <f t="shared" ca="1" si="169"/>
        <v/>
      </c>
      <c r="AC353" s="310" t="e">
        <f t="shared" ca="1" si="170"/>
        <v>#N/A</v>
      </c>
      <c r="AD353" s="323" t="e">
        <f t="shared" ca="1" si="171"/>
        <v>#N/A</v>
      </c>
      <c r="AE353" s="324" t="e">
        <f t="shared" ca="1" si="150"/>
        <v>#N/A</v>
      </c>
      <c r="AG353" s="306">
        <f t="shared" ca="1" si="172"/>
        <v>2.4821382831079921</v>
      </c>
      <c r="AH353" s="304">
        <f t="shared" ca="1" si="173"/>
        <v>-7.2584809370787022</v>
      </c>
    </row>
    <row r="354" spans="1:34" x14ac:dyDescent="0.2">
      <c r="A354" s="347">
        <f t="shared" ca="1" si="151"/>
        <v>0.1</v>
      </c>
      <c r="B354" s="304">
        <f t="shared" ca="1" si="152"/>
        <v>26.000000000000103</v>
      </c>
      <c r="D354" s="306">
        <f t="shared" ca="1" si="153"/>
        <v>-0.85850243132028103</v>
      </c>
      <c r="E354" s="307">
        <f t="shared" ca="1" si="154"/>
        <v>-2.5590458024833671</v>
      </c>
      <c r="F354" s="304">
        <f t="shared" ca="1" si="155"/>
        <v>2.6992113373707096</v>
      </c>
      <c r="G354" s="306">
        <f t="shared" ca="1" si="156"/>
        <v>11.7941813343406</v>
      </c>
      <c r="H354" s="307">
        <f t="shared" ca="1" si="157"/>
        <v>-100.59524165216462</v>
      </c>
      <c r="I354" s="304">
        <f t="shared" ca="1" si="158"/>
        <v>101.28427990761797</v>
      </c>
      <c r="J354" s="306">
        <f t="shared" ca="1" si="159"/>
        <v>713.31354665948641</v>
      </c>
      <c r="K354" s="307">
        <f t="shared" ca="1" si="160"/>
        <v>330.4632299776984</v>
      </c>
      <c r="L354" s="304">
        <f t="shared" ca="1" si="145"/>
        <v>786.14385592919848</v>
      </c>
      <c r="M354" s="306">
        <f t="shared" ca="1" si="161"/>
        <v>-1.4540852275031619</v>
      </c>
      <c r="N354" s="304">
        <f t="shared" ca="1" si="162"/>
        <v>-83.312946588251307</v>
      </c>
      <c r="P354" s="310">
        <f t="shared" ca="1" si="163"/>
        <v>23</v>
      </c>
      <c r="Q354" s="304">
        <f t="shared" ca="1" si="164"/>
        <v>0</v>
      </c>
      <c r="R354" s="306">
        <f t="shared" ca="1" si="165"/>
        <v>0</v>
      </c>
      <c r="S354" s="307">
        <f t="shared" ca="1" si="166"/>
        <v>5.083000000000002</v>
      </c>
      <c r="T354" s="304">
        <f t="shared" ca="1" si="146"/>
        <v>49.86423000000002</v>
      </c>
      <c r="U354" s="311">
        <f t="shared" ca="1" si="147"/>
        <v>0</v>
      </c>
      <c r="V354" s="306">
        <f t="shared" ca="1" si="148"/>
        <v>1.1851762682784555</v>
      </c>
      <c r="W354" s="304">
        <f t="shared" ca="1" si="149"/>
        <v>37.331073149941083</v>
      </c>
      <c r="Y354" s="314" t="str">
        <f t="shared" ca="1" si="167"/>
        <v/>
      </c>
      <c r="Z354" s="315" t="str">
        <f t="shared" ca="1" si="168"/>
        <v/>
      </c>
      <c r="AA354" s="316" t="str">
        <f t="shared" ca="1" si="169"/>
        <v/>
      </c>
      <c r="AC354" s="310">
        <f t="shared" ca="1" si="170"/>
        <v>26.000000000000103</v>
      </c>
      <c r="AD354" s="323">
        <f t="shared" ca="1" si="171"/>
        <v>713.31354665948641</v>
      </c>
      <c r="AE354" s="324" t="e">
        <f t="shared" ca="1" si="150"/>
        <v>#N/A</v>
      </c>
      <c r="AG354" s="306">
        <f t="shared" ca="1" si="172"/>
        <v>2.4403551785603357</v>
      </c>
      <c r="AH354" s="304">
        <f t="shared" ca="1" si="173"/>
        <v>-7.3016000437621154</v>
      </c>
    </row>
    <row r="355" spans="1:34" x14ac:dyDescent="0.2">
      <c r="A355" s="347">
        <f t="shared" ca="1" si="151"/>
        <v>0.1</v>
      </c>
      <c r="B355" s="304">
        <f t="shared" ca="1" si="152"/>
        <v>26.100000000000104</v>
      </c>
      <c r="D355" s="306">
        <f t="shared" ca="1" si="153"/>
        <v>-0.85521659779258308</v>
      </c>
      <c r="E355" s="307">
        <f t="shared" ca="1" si="154"/>
        <v>-2.5156640998561581</v>
      </c>
      <c r="F355" s="304">
        <f t="shared" ca="1" si="155"/>
        <v>2.6570587672170549</v>
      </c>
      <c r="G355" s="306">
        <f t="shared" ca="1" si="156"/>
        <v>11.708659674561341</v>
      </c>
      <c r="H355" s="307">
        <f t="shared" ca="1" si="157"/>
        <v>-100.84680806215023</v>
      </c>
      <c r="I355" s="304">
        <f t="shared" ca="1" si="158"/>
        <v>101.52424049309045</v>
      </c>
      <c r="J355" s="306">
        <f t="shared" ca="1" si="159"/>
        <v>714.48868870993147</v>
      </c>
      <c r="K355" s="307">
        <f t="shared" ca="1" si="160"/>
        <v>320.39112749198267</v>
      </c>
      <c r="L355" s="304">
        <f t="shared" ca="1" si="145"/>
        <v>783.03547867898124</v>
      </c>
      <c r="M355" s="306">
        <f t="shared" ca="1" si="161"/>
        <v>-1.4552104155393113</v>
      </c>
      <c r="N355" s="304">
        <f t="shared" ca="1" si="162"/>
        <v>-83.377415113881284</v>
      </c>
      <c r="P355" s="310">
        <f t="shared" ca="1" si="163"/>
        <v>23</v>
      </c>
      <c r="Q355" s="304">
        <f t="shared" ca="1" si="164"/>
        <v>0</v>
      </c>
      <c r="R355" s="306">
        <f t="shared" ca="1" si="165"/>
        <v>0</v>
      </c>
      <c r="S355" s="307">
        <f t="shared" ca="1" si="166"/>
        <v>5.083000000000002</v>
      </c>
      <c r="T355" s="304">
        <f t="shared" ca="1" si="146"/>
        <v>49.86423000000002</v>
      </c>
      <c r="U355" s="311">
        <f t="shared" ca="1" si="147"/>
        <v>0</v>
      </c>
      <c r="V355" s="306">
        <f t="shared" ca="1" si="148"/>
        <v>1.1863709078023916</v>
      </c>
      <c r="W355" s="304">
        <f t="shared" ca="1" si="149"/>
        <v>37.545978337599863</v>
      </c>
      <c r="Y355" s="314" t="str">
        <f t="shared" ca="1" si="167"/>
        <v/>
      </c>
      <c r="Z355" s="315" t="str">
        <f t="shared" ca="1" si="168"/>
        <v/>
      </c>
      <c r="AA355" s="316" t="str">
        <f t="shared" ca="1" si="169"/>
        <v/>
      </c>
      <c r="AC355" s="310" t="e">
        <f t="shared" ca="1" si="170"/>
        <v>#N/A</v>
      </c>
      <c r="AD355" s="323" t="e">
        <f t="shared" ca="1" si="171"/>
        <v>#N/A</v>
      </c>
      <c r="AE355" s="324" t="e">
        <f t="shared" ca="1" si="150"/>
        <v>#N/A</v>
      </c>
      <c r="AG355" s="306">
        <f t="shared" ca="1" si="172"/>
        <v>2.3989631819253994</v>
      </c>
      <c r="AH355" s="304">
        <f t="shared" ca="1" si="173"/>
        <v>-7.3442992622351113</v>
      </c>
    </row>
    <row r="356" spans="1:34" x14ac:dyDescent="0.2">
      <c r="A356" s="347">
        <f t="shared" ca="1" si="151"/>
        <v>0.1</v>
      </c>
      <c r="B356" s="304">
        <f t="shared" ca="1" si="152"/>
        <v>26.200000000000106</v>
      </c>
      <c r="D356" s="306">
        <f t="shared" ca="1" si="153"/>
        <v>-0.85188456457377792</v>
      </c>
      <c r="E356" s="307">
        <f t="shared" ca="1" si="154"/>
        <v>-2.4727093482500795</v>
      </c>
      <c r="F356" s="304">
        <f t="shared" ca="1" si="155"/>
        <v>2.6153391428804005</v>
      </c>
      <c r="G356" s="306">
        <f t="shared" ca="1" si="156"/>
        <v>11.623471218103964</v>
      </c>
      <c r="H356" s="307">
        <f t="shared" ca="1" si="157"/>
        <v>-101.09407899697524</v>
      </c>
      <c r="I356" s="304">
        <f t="shared" ca="1" si="158"/>
        <v>101.76009970221511</v>
      </c>
      <c r="J356" s="306">
        <f t="shared" ca="1" si="159"/>
        <v>715.65529525456475</v>
      </c>
      <c r="K356" s="307">
        <f t="shared" ca="1" si="160"/>
        <v>310.29408313902638</v>
      </c>
      <c r="L356" s="304">
        <f t="shared" ca="1" si="145"/>
        <v>780.02879412043967</v>
      </c>
      <c r="M356" s="306">
        <f t="shared" ca="1" si="161"/>
        <v>-1.4563222215222289</v>
      </c>
      <c r="N356" s="304">
        <f t="shared" ca="1" si="162"/>
        <v>-83.441116904339864</v>
      </c>
      <c r="P356" s="310">
        <f t="shared" ca="1" si="163"/>
        <v>23</v>
      </c>
      <c r="Q356" s="304">
        <f t="shared" ca="1" si="164"/>
        <v>0</v>
      </c>
      <c r="R356" s="306">
        <f t="shared" ca="1" si="165"/>
        <v>0</v>
      </c>
      <c r="S356" s="307">
        <f t="shared" ca="1" si="166"/>
        <v>5.083000000000002</v>
      </c>
      <c r="T356" s="304">
        <f t="shared" ca="1" si="146"/>
        <v>49.86423000000002</v>
      </c>
      <c r="U356" s="311">
        <f t="shared" ca="1" si="147"/>
        <v>0</v>
      </c>
      <c r="V356" s="306">
        <f t="shared" ca="1" si="148"/>
        <v>1.1875696949252093</v>
      </c>
      <c r="W356" s="304">
        <f t="shared" ca="1" si="149"/>
        <v>37.758748609808492</v>
      </c>
      <c r="Y356" s="314" t="str">
        <f t="shared" ca="1" si="167"/>
        <v/>
      </c>
      <c r="Z356" s="315" t="str">
        <f t="shared" ca="1" si="168"/>
        <v/>
      </c>
      <c r="AA356" s="316" t="str">
        <f t="shared" ca="1" si="169"/>
        <v/>
      </c>
      <c r="AC356" s="310" t="e">
        <f t="shared" ca="1" si="170"/>
        <v>#N/A</v>
      </c>
      <c r="AD356" s="323" t="e">
        <f t="shared" ca="1" si="171"/>
        <v>#N/A</v>
      </c>
      <c r="AE356" s="324" t="e">
        <f t="shared" ca="1" si="150"/>
        <v>#N/A</v>
      </c>
      <c r="AG356" s="306">
        <f t="shared" ca="1" si="172"/>
        <v>2.3579631566329855</v>
      </c>
      <c r="AH356" s="304">
        <f t="shared" ca="1" si="173"/>
        <v>-7.3865784650009534</v>
      </c>
    </row>
    <row r="357" spans="1:34" x14ac:dyDescent="0.2">
      <c r="A357" s="347">
        <f t="shared" ca="1" si="151"/>
        <v>0.1</v>
      </c>
      <c r="B357" s="304">
        <f t="shared" ca="1" si="152"/>
        <v>26.300000000000107</v>
      </c>
      <c r="D357" s="306">
        <f t="shared" ca="1" si="153"/>
        <v>-0.84850773095387799</v>
      </c>
      <c r="E357" s="307">
        <f t="shared" ca="1" si="154"/>
        <v>-2.4301815298521525</v>
      </c>
      <c r="F357" s="304">
        <f t="shared" ca="1" si="155"/>
        <v>2.5740527651007947</v>
      </c>
      <c r="G357" s="306">
        <f t="shared" ca="1" si="156"/>
        <v>11.538620445008576</v>
      </c>
      <c r="H357" s="307">
        <f t="shared" ca="1" si="157"/>
        <v>-101.33709714996046</v>
      </c>
      <c r="I357" s="304">
        <f t="shared" ca="1" si="158"/>
        <v>101.99189683771203</v>
      </c>
      <c r="J357" s="306">
        <f t="shared" ca="1" si="159"/>
        <v>716.81339983772034</v>
      </c>
      <c r="K357" s="307">
        <f t="shared" ca="1" si="160"/>
        <v>300.1725243316796</v>
      </c>
      <c r="L357" s="304">
        <f t="shared" ca="1" si="145"/>
        <v>777.12611238496186</v>
      </c>
      <c r="M357" s="306">
        <f t="shared" ca="1" si="161"/>
        <v>-1.4574208775597155</v>
      </c>
      <c r="N357" s="304">
        <f t="shared" ca="1" si="162"/>
        <v>-83.504065258424404</v>
      </c>
      <c r="P357" s="310">
        <f t="shared" ca="1" si="163"/>
        <v>23</v>
      </c>
      <c r="Q357" s="304">
        <f t="shared" ca="1" si="164"/>
        <v>0</v>
      </c>
      <c r="R357" s="306">
        <f t="shared" ca="1" si="165"/>
        <v>0</v>
      </c>
      <c r="S357" s="307">
        <f t="shared" ca="1" si="166"/>
        <v>5.083000000000002</v>
      </c>
      <c r="T357" s="304">
        <f t="shared" ca="1" si="146"/>
        <v>49.86423000000002</v>
      </c>
      <c r="U357" s="311">
        <f t="shared" ca="1" si="147"/>
        <v>0</v>
      </c>
      <c r="V357" s="306">
        <f t="shared" ca="1" si="148"/>
        <v>1.1887725894333587</v>
      </c>
      <c r="W357" s="304">
        <f t="shared" ca="1" si="149"/>
        <v>37.969384645875408</v>
      </c>
      <c r="Y357" s="314" t="str">
        <f t="shared" ca="1" si="167"/>
        <v/>
      </c>
      <c r="Z357" s="315" t="str">
        <f t="shared" ca="1" si="168"/>
        <v/>
      </c>
      <c r="AA357" s="316" t="str">
        <f t="shared" ca="1" si="169"/>
        <v/>
      </c>
      <c r="AC357" s="310" t="e">
        <f t="shared" ca="1" si="170"/>
        <v>#N/A</v>
      </c>
      <c r="AD357" s="323" t="e">
        <f t="shared" ca="1" si="171"/>
        <v>#N/A</v>
      </c>
      <c r="AE357" s="324" t="e">
        <f t="shared" ca="1" si="150"/>
        <v>#N/A</v>
      </c>
      <c r="AG357" s="306">
        <f t="shared" ca="1" si="172"/>
        <v>2.3173558109402022</v>
      </c>
      <c r="AH357" s="304">
        <f t="shared" ca="1" si="173"/>
        <v>-7.428437656857855</v>
      </c>
    </row>
    <row r="358" spans="1:34" x14ac:dyDescent="0.2">
      <c r="A358" s="347">
        <f t="shared" ca="1" si="151"/>
        <v>0.1</v>
      </c>
      <c r="B358" s="304">
        <f t="shared" ca="1" si="152"/>
        <v>26.400000000000109</v>
      </c>
      <c r="D358" s="306">
        <f t="shared" ca="1" si="153"/>
        <v>-0.8450874806418005</v>
      </c>
      <c r="E358" s="307">
        <f t="shared" ca="1" si="154"/>
        <v>-2.3880804963508977</v>
      </c>
      <c r="F358" s="304">
        <f t="shared" ca="1" si="155"/>
        <v>2.5331998158434037</v>
      </c>
      <c r="G358" s="306">
        <f t="shared" ca="1" si="156"/>
        <v>11.454111696944395</v>
      </c>
      <c r="H358" s="307">
        <f t="shared" ca="1" si="157"/>
        <v>-101.57590519959555</v>
      </c>
      <c r="I358" s="304">
        <f t="shared" ca="1" si="158"/>
        <v>102.21967125697138</v>
      </c>
      <c r="J358" s="306">
        <f t="shared" ca="1" si="159"/>
        <v>717.96303644481804</v>
      </c>
      <c r="K358" s="307">
        <f t="shared" ca="1" si="160"/>
        <v>290.02687421420183</v>
      </c>
      <c r="L358" s="304">
        <f t="shared" ca="1" si="145"/>
        <v>774.32971624981792</v>
      </c>
      <c r="M358" s="306">
        <f t="shared" ca="1" si="161"/>
        <v>-1.4585066100438655</v>
      </c>
      <c r="N358" s="304">
        <f t="shared" ca="1" si="162"/>
        <v>-83.566273147446452</v>
      </c>
      <c r="P358" s="310">
        <f t="shared" ca="1" si="163"/>
        <v>23</v>
      </c>
      <c r="Q358" s="304">
        <f t="shared" ca="1" si="164"/>
        <v>0</v>
      </c>
      <c r="R358" s="306">
        <f t="shared" ca="1" si="165"/>
        <v>0</v>
      </c>
      <c r="S358" s="307">
        <f t="shared" ca="1" si="166"/>
        <v>5.083000000000002</v>
      </c>
      <c r="T358" s="304">
        <f t="shared" ca="1" si="146"/>
        <v>49.86423000000002</v>
      </c>
      <c r="U358" s="311">
        <f t="shared" ca="1" si="147"/>
        <v>0</v>
      </c>
      <c r="V358" s="306">
        <f t="shared" ca="1" si="148"/>
        <v>1.1899795514697999</v>
      </c>
      <c r="W358" s="304">
        <f t="shared" ca="1" si="149"/>
        <v>38.177887762611803</v>
      </c>
      <c r="Y358" s="314" t="str">
        <f t="shared" ca="1" si="167"/>
        <v/>
      </c>
      <c r="Z358" s="315" t="str">
        <f t="shared" ca="1" si="168"/>
        <v/>
      </c>
      <c r="AA358" s="316" t="str">
        <f t="shared" ca="1" si="169"/>
        <v/>
      </c>
      <c r="AC358" s="310" t="e">
        <f t="shared" ca="1" si="170"/>
        <v>#N/A</v>
      </c>
      <c r="AD358" s="323" t="e">
        <f t="shared" ca="1" si="171"/>
        <v>#N/A</v>
      </c>
      <c r="AE358" s="324" t="e">
        <f t="shared" ca="1" si="150"/>
        <v>#N/A</v>
      </c>
      <c r="AG358" s="306">
        <f t="shared" ca="1" si="172"/>
        <v>2.2771417022298843</v>
      </c>
      <c r="AH358" s="304">
        <f t="shared" ca="1" si="173"/>
        <v>-7.4698769714490245</v>
      </c>
    </row>
    <row r="359" spans="1:34" x14ac:dyDescent="0.2">
      <c r="A359" s="347">
        <f t="shared" ca="1" si="151"/>
        <v>0.1</v>
      </c>
      <c r="B359" s="304">
        <f t="shared" ca="1" si="152"/>
        <v>26.50000000000011</v>
      </c>
      <c r="D359" s="306">
        <f t="shared" ca="1" si="153"/>
        <v>-0.84162518153018284</v>
      </c>
      <c r="E359" s="307">
        <f t="shared" ca="1" si="154"/>
        <v>-2.3464059724065676</v>
      </c>
      <c r="F359" s="304">
        <f t="shared" ca="1" si="155"/>
        <v>2.4927803620718216</v>
      </c>
      <c r="G359" s="306">
        <f t="shared" ca="1" si="156"/>
        <v>11.369949178791376</v>
      </c>
      <c r="H359" s="307">
        <f t="shared" ca="1" si="157"/>
        <v>-101.81054579683621</v>
      </c>
      <c r="I359" s="304">
        <f t="shared" ca="1" si="158"/>
        <v>102.44346235742906</v>
      </c>
      <c r="J359" s="306">
        <f t="shared" ca="1" si="159"/>
        <v>719.10423948860489</v>
      </c>
      <c r="K359" s="307">
        <f t="shared" ca="1" si="160"/>
        <v>279.85755166438025</v>
      </c>
      <c r="L359" s="304">
        <f t="shared" ca="1" si="145"/>
        <v>771.6418576477472</v>
      </c>
      <c r="M359" s="306">
        <f t="shared" ca="1" si="161"/>
        <v>-1.4595796398270917</v>
      </c>
      <c r="N359" s="304">
        <f t="shared" ca="1" si="162"/>
        <v>-83.62775322531715</v>
      </c>
      <c r="P359" s="310">
        <f t="shared" ca="1" si="163"/>
        <v>23</v>
      </c>
      <c r="Q359" s="304">
        <f t="shared" ca="1" si="164"/>
        <v>0</v>
      </c>
      <c r="R359" s="306">
        <f t="shared" ca="1" si="165"/>
        <v>0</v>
      </c>
      <c r="S359" s="307">
        <f t="shared" ca="1" si="166"/>
        <v>5.083000000000002</v>
      </c>
      <c r="T359" s="304">
        <f t="shared" ca="1" si="146"/>
        <v>49.86423000000002</v>
      </c>
      <c r="U359" s="311">
        <f t="shared" ca="1" si="147"/>
        <v>0</v>
      </c>
      <c r="V359" s="306">
        <f t="shared" ca="1" si="148"/>
        <v>1.1911905415345754</v>
      </c>
      <c r="W359" s="304">
        <f t="shared" ca="1" si="149"/>
        <v>38.384259897044487</v>
      </c>
      <c r="Y359" s="314" t="str">
        <f t="shared" ca="1" si="167"/>
        <v/>
      </c>
      <c r="Z359" s="315" t="str">
        <f t="shared" ca="1" si="168"/>
        <v/>
      </c>
      <c r="AA359" s="316" t="str">
        <f t="shared" ca="1" si="169"/>
        <v/>
      </c>
      <c r="AC359" s="310" t="e">
        <f t="shared" ca="1" si="170"/>
        <v>#N/A</v>
      </c>
      <c r="AD359" s="323" t="e">
        <f t="shared" ca="1" si="171"/>
        <v>#N/A</v>
      </c>
      <c r="AE359" s="324" t="e">
        <f t="shared" ca="1" si="150"/>
        <v>#N/A</v>
      </c>
      <c r="AG359" s="306">
        <f t="shared" ca="1" si="172"/>
        <v>2.237321241249143</v>
      </c>
      <c r="AH359" s="304">
        <f t="shared" ca="1" si="173"/>
        <v>-7.5108966678362759</v>
      </c>
    </row>
    <row r="360" spans="1:34" x14ac:dyDescent="0.2">
      <c r="A360" s="347">
        <f t="shared" ca="1" si="151"/>
        <v>0.1</v>
      </c>
      <c r="B360" s="304">
        <f t="shared" ca="1" si="152"/>
        <v>26.600000000000112</v>
      </c>
      <c r="D360" s="306">
        <f t="shared" ca="1" si="153"/>
        <v>-0.83812218547764417</v>
      </c>
      <c r="E360" s="307">
        <f t="shared" ca="1" si="154"/>
        <v>-2.3051575590959024</v>
      </c>
      <c r="F360" s="304">
        <f t="shared" ca="1" si="155"/>
        <v>2.4527943595105564</v>
      </c>
      <c r="G360" s="306">
        <f t="shared" ca="1" si="156"/>
        <v>11.286136960243612</v>
      </c>
      <c r="H360" s="307">
        <f t="shared" ca="1" si="157"/>
        <v>-102.0410615527458</v>
      </c>
      <c r="I360" s="304">
        <f t="shared" ca="1" si="158"/>
        <v>102.66330956235842</v>
      </c>
      <c r="J360" s="306">
        <f t="shared" ca="1" si="159"/>
        <v>720.23704379555659</v>
      </c>
      <c r="K360" s="307">
        <f t="shared" ca="1" si="160"/>
        <v>269.66497129690117</v>
      </c>
      <c r="L360" s="304">
        <f t="shared" ca="1" si="145"/>
        <v>769.0647541006681</v>
      </c>
      <c r="M360" s="306">
        <f t="shared" ca="1" si="161"/>
        <v>-1.460640182391798</v>
      </c>
      <c r="N360" s="304">
        <f t="shared" ca="1" si="162"/>
        <v>-83.688517838268808</v>
      </c>
      <c r="P360" s="310">
        <f t="shared" ca="1" si="163"/>
        <v>23</v>
      </c>
      <c r="Q360" s="304">
        <f t="shared" ca="1" si="164"/>
        <v>0</v>
      </c>
      <c r="R360" s="306">
        <f t="shared" ca="1" si="165"/>
        <v>0</v>
      </c>
      <c r="S360" s="307">
        <f t="shared" ca="1" si="166"/>
        <v>5.083000000000002</v>
      </c>
      <c r="T360" s="304">
        <f t="shared" ca="1" si="146"/>
        <v>49.86423000000002</v>
      </c>
      <c r="U360" s="311">
        <f t="shared" ca="1" si="147"/>
        <v>0</v>
      </c>
      <c r="V360" s="306">
        <f t="shared" ca="1" si="148"/>
        <v>1.1924055204852686</v>
      </c>
      <c r="W360" s="304">
        <f t="shared" ca="1" si="149"/>
        <v>38.58850358926788</v>
      </c>
      <c r="Y360" s="314" t="str">
        <f t="shared" ca="1" si="167"/>
        <v/>
      </c>
      <c r="Z360" s="315" t="str">
        <f t="shared" ca="1" si="168"/>
        <v/>
      </c>
      <c r="AA360" s="316" t="str">
        <f t="shared" ca="1" si="169"/>
        <v/>
      </c>
      <c r="AC360" s="310" t="e">
        <f t="shared" ca="1" si="170"/>
        <v>#N/A</v>
      </c>
      <c r="AD360" s="323" t="e">
        <f t="shared" ca="1" si="171"/>
        <v>#N/A</v>
      </c>
      <c r="AE360" s="324" t="e">
        <f t="shared" ca="1" si="150"/>
        <v>#N/A</v>
      </c>
      <c r="AG360" s="306">
        <f t="shared" ca="1" si="172"/>
        <v>2.1978946962878583</v>
      </c>
      <c r="AH360" s="304">
        <f t="shared" ca="1" si="173"/>
        <v>-7.5514971270990499</v>
      </c>
    </row>
    <row r="361" spans="1:34" x14ac:dyDescent="0.2">
      <c r="A361" s="347">
        <f t="shared" ca="1" si="151"/>
        <v>0.1</v>
      </c>
      <c r="B361" s="304">
        <f t="shared" ca="1" si="152"/>
        <v>26.700000000000113</v>
      </c>
      <c r="D361" s="306">
        <f t="shared" ca="1" si="153"/>
        <v>-0.83457982810804843</v>
      </c>
      <c r="E361" s="307">
        <f t="shared" ca="1" si="154"/>
        <v>-2.2643347373293681</v>
      </c>
      <c r="F361" s="304">
        <f t="shared" ca="1" si="155"/>
        <v>2.4132416563952561</v>
      </c>
      <c r="G361" s="306">
        <f t="shared" ca="1" si="156"/>
        <v>11.202678977432807</v>
      </c>
      <c r="H361" s="307">
        <f t="shared" ca="1" si="157"/>
        <v>-102.26749502647874</v>
      </c>
      <c r="I361" s="304">
        <f t="shared" ca="1" si="158"/>
        <v>102.87925230707243</v>
      </c>
      <c r="J361" s="306">
        <f t="shared" ca="1" si="159"/>
        <v>721.36148459244043</v>
      </c>
      <c r="K361" s="307">
        <f t="shared" ca="1" si="160"/>
        <v>259.44954346793992</v>
      </c>
      <c r="L361" s="304">
        <f t="shared" ca="1" si="145"/>
        <v>766.6005850892185</v>
      </c>
      <c r="M361" s="306">
        <f t="shared" ca="1" si="161"/>
        <v>-1.4616884480139631</v>
      </c>
      <c r="N361" s="304">
        <f t="shared" ca="1" si="162"/>
        <v>-83.748579034227518</v>
      </c>
      <c r="P361" s="310">
        <f t="shared" ca="1" si="163"/>
        <v>23</v>
      </c>
      <c r="Q361" s="304">
        <f t="shared" ca="1" si="164"/>
        <v>0</v>
      </c>
      <c r="R361" s="306">
        <f t="shared" ca="1" si="165"/>
        <v>0</v>
      </c>
      <c r="S361" s="307">
        <f t="shared" ca="1" si="166"/>
        <v>5.083000000000002</v>
      </c>
      <c r="T361" s="304">
        <f t="shared" ca="1" si="146"/>
        <v>49.86423000000002</v>
      </c>
      <c r="U361" s="311">
        <f t="shared" ca="1" si="147"/>
        <v>0</v>
      </c>
      <c r="V361" s="306">
        <f t="shared" ca="1" si="148"/>
        <v>1.1936244495373567</v>
      </c>
      <c r="W361" s="304">
        <f t="shared" ca="1" si="149"/>
        <v>38.790621965444146</v>
      </c>
      <c r="Y361" s="314" t="str">
        <f t="shared" ca="1" si="167"/>
        <v/>
      </c>
      <c r="Z361" s="315" t="str">
        <f t="shared" ca="1" si="168"/>
        <v/>
      </c>
      <c r="AA361" s="316" t="str">
        <f t="shared" ca="1" si="169"/>
        <v/>
      </c>
      <c r="AC361" s="310" t="e">
        <f t="shared" ca="1" si="170"/>
        <v>#N/A</v>
      </c>
      <c r="AD361" s="323" t="e">
        <f t="shared" ca="1" si="171"/>
        <v>#N/A</v>
      </c>
      <c r="AE361" s="324" t="e">
        <f t="shared" ca="1" si="150"/>
        <v>#N/A</v>
      </c>
      <c r="AG361" s="306">
        <f t="shared" ca="1" si="172"/>
        <v>2.1588621972968749</v>
      </c>
      <c r="AH361" s="304">
        <f t="shared" ca="1" si="173"/>
        <v>-7.5916788489608233</v>
      </c>
    </row>
    <row r="362" spans="1:34" x14ac:dyDescent="0.2">
      <c r="A362" s="347">
        <f t="shared" ca="1" si="151"/>
        <v>0.1</v>
      </c>
      <c r="B362" s="304">
        <f t="shared" ca="1" si="152"/>
        <v>26.800000000000114</v>
      </c>
      <c r="D362" s="306">
        <f t="shared" ca="1" si="153"/>
        <v>-0.8309994286263106</v>
      </c>
      <c r="E362" s="307">
        <f t="shared" ca="1" si="154"/>
        <v>-2.2239368712391059</v>
      </c>
      <c r="F362" s="304">
        <f t="shared" ca="1" si="155"/>
        <v>2.3741219972095027</v>
      </c>
      <c r="G362" s="306">
        <f t="shared" ca="1" si="156"/>
        <v>11.119579034570176</v>
      </c>
      <c r="H362" s="307">
        <f t="shared" ca="1" si="157"/>
        <v>-102.48988871360265</v>
      </c>
      <c r="I362" s="304">
        <f t="shared" ca="1" si="158"/>
        <v>103.09133002552984</v>
      </c>
      <c r="J362" s="306">
        <f t="shared" ca="1" si="159"/>
        <v>722.47759749304055</v>
      </c>
      <c r="K362" s="307">
        <f t="shared" ca="1" si="160"/>
        <v>249.21167428093585</v>
      </c>
      <c r="L362" s="304">
        <f t="shared" ca="1" si="145"/>
        <v>764.25148837095708</v>
      </c>
      <c r="M362" s="306">
        <f t="shared" ca="1" si="161"/>
        <v>-1.4627246419208833</v>
      </c>
      <c r="N362" s="304">
        <f t="shared" ca="1" si="162"/>
        <v>-83.807948571851213</v>
      </c>
      <c r="P362" s="310">
        <f t="shared" ca="1" si="163"/>
        <v>23</v>
      </c>
      <c r="Q362" s="304">
        <f t="shared" ca="1" si="164"/>
        <v>0</v>
      </c>
      <c r="R362" s="306">
        <f t="shared" ca="1" si="165"/>
        <v>0</v>
      </c>
      <c r="S362" s="307">
        <f t="shared" ca="1" si="166"/>
        <v>5.083000000000002</v>
      </c>
      <c r="T362" s="304">
        <f t="shared" ca="1" si="146"/>
        <v>49.86423000000002</v>
      </c>
      <c r="U362" s="311">
        <f t="shared" ca="1" si="147"/>
        <v>0</v>
      </c>
      <c r="V362" s="306">
        <f t="shared" ca="1" si="148"/>
        <v>1.1948472902644505</v>
      </c>
      <c r="W362" s="304">
        <f t="shared" ca="1" si="149"/>
        <v>38.990618720959823</v>
      </c>
      <c r="Y362" s="314" t="str">
        <f t="shared" ca="1" si="167"/>
        <v/>
      </c>
      <c r="Z362" s="315" t="str">
        <f t="shared" ca="1" si="168"/>
        <v/>
      </c>
      <c r="AA362" s="316" t="str">
        <f t="shared" ca="1" si="169"/>
        <v/>
      </c>
      <c r="AC362" s="310" t="e">
        <f t="shared" ca="1" si="170"/>
        <v>#N/A</v>
      </c>
      <c r="AD362" s="323" t="e">
        <f t="shared" ca="1" si="171"/>
        <v>#N/A</v>
      </c>
      <c r="AE362" s="324" t="e">
        <f t="shared" ca="1" si="150"/>
        <v>#N/A</v>
      </c>
      <c r="AG362" s="306">
        <f t="shared" ca="1" si="172"/>
        <v>2.120223739945688</v>
      </c>
      <c r="AH362" s="304">
        <f t="shared" ca="1" si="173"/>
        <v>-7.6314424484446448</v>
      </c>
    </row>
    <row r="363" spans="1:34" x14ac:dyDescent="0.2">
      <c r="A363" s="347">
        <f t="shared" ca="1" si="151"/>
        <v>0.1</v>
      </c>
      <c r="B363" s="304">
        <f t="shared" ca="1" si="152"/>
        <v>26.900000000000116</v>
      </c>
      <c r="D363" s="306">
        <f t="shared" ca="1" si="153"/>
        <v>-0.8273822896503148</v>
      </c>
      <c r="E363" s="307">
        <f t="shared" ca="1" si="154"/>
        <v>-2.1839632115358771</v>
      </c>
      <c r="F363" s="304">
        <f t="shared" ca="1" si="155"/>
        <v>2.3354350264070933</v>
      </c>
      <c r="G363" s="306">
        <f t="shared" ca="1" si="156"/>
        <v>11.036840805605145</v>
      </c>
      <c r="H363" s="307">
        <f t="shared" ca="1" si="157"/>
        <v>-102.70828503475624</v>
      </c>
      <c r="I363" s="304">
        <f t="shared" ca="1" si="158"/>
        <v>103.29958213733977</v>
      </c>
      <c r="J363" s="306">
        <f t="shared" ca="1" si="159"/>
        <v>723.58541848504933</v>
      </c>
      <c r="K363" s="307">
        <f t="shared" ca="1" si="160"/>
        <v>238.95176559351791</v>
      </c>
      <c r="L363" s="304">
        <f t="shared" ca="1" si="145"/>
        <v>762.01955626115239</v>
      </c>
      <c r="M363" s="306">
        <f t="shared" ca="1" si="161"/>
        <v>-1.4637489644433153</v>
      </c>
      <c r="N363" s="304">
        <f t="shared" ca="1" si="162"/>
        <v>-83.866637929246764</v>
      </c>
      <c r="P363" s="310">
        <f t="shared" ca="1" si="163"/>
        <v>23</v>
      </c>
      <c r="Q363" s="304">
        <f t="shared" ca="1" si="164"/>
        <v>0</v>
      </c>
      <c r="R363" s="306">
        <f t="shared" ca="1" si="165"/>
        <v>0</v>
      </c>
      <c r="S363" s="307">
        <f t="shared" ca="1" si="166"/>
        <v>5.083000000000002</v>
      </c>
      <c r="T363" s="304">
        <f t="shared" ca="1" si="146"/>
        <v>49.86423000000002</v>
      </c>
      <c r="U363" s="311">
        <f t="shared" ca="1" si="147"/>
        <v>0</v>
      </c>
      <c r="V363" s="306">
        <f t="shared" ca="1" si="148"/>
        <v>1.1960740045984315</v>
      </c>
      <c r="W363" s="304">
        <f t="shared" ca="1" si="149"/>
        <v>39.188498103747314</v>
      </c>
      <c r="Y363" s="314" t="str">
        <f t="shared" ca="1" si="167"/>
        <v/>
      </c>
      <c r="Z363" s="315" t="str">
        <f t="shared" ca="1" si="168"/>
        <v/>
      </c>
      <c r="AA363" s="316" t="str">
        <f t="shared" ca="1" si="169"/>
        <v/>
      </c>
      <c r="AC363" s="310" t="e">
        <f t="shared" ca="1" si="170"/>
        <v>#N/A</v>
      </c>
      <c r="AD363" s="323" t="e">
        <f t="shared" ca="1" si="171"/>
        <v>#N/A</v>
      </c>
      <c r="AE363" s="324" t="e">
        <f t="shared" ca="1" si="150"/>
        <v>#N/A</v>
      </c>
      <c r="AG363" s="306">
        <f t="shared" ca="1" si="172"/>
        <v>2.0819791896194522</v>
      </c>
      <c r="AH363" s="304">
        <f t="shared" ca="1" si="173"/>
        <v>-7.670788652559474</v>
      </c>
    </row>
    <row r="364" spans="1:34" x14ac:dyDescent="0.2">
      <c r="A364" s="347">
        <f t="shared" ca="1" si="151"/>
        <v>0.1</v>
      </c>
      <c r="B364" s="304">
        <f t="shared" ca="1" si="152"/>
        <v>27.000000000000117</v>
      </c>
      <c r="D364" s="306">
        <f t="shared" ca="1" si="153"/>
        <v>-0.82372969705848742</v>
      </c>
      <c r="E364" s="307">
        <f t="shared" ca="1" si="154"/>
        <v>-2.1444128988333429</v>
      </c>
      <c r="F364" s="304">
        <f t="shared" ca="1" si="155"/>
        <v>2.2971802921187723</v>
      </c>
      <c r="G364" s="306">
        <f t="shared" ca="1" si="156"/>
        <v>10.954467835899296</v>
      </c>
      <c r="H364" s="307">
        <f t="shared" ca="1" si="157"/>
        <v>-102.92272632463958</v>
      </c>
      <c r="I364" s="304">
        <f t="shared" ca="1" si="158"/>
        <v>103.50404803515856</v>
      </c>
      <c r="J364" s="306">
        <f t="shared" ca="1" si="159"/>
        <v>724.68498391712455</v>
      </c>
      <c r="K364" s="307">
        <f t="shared" ca="1" si="160"/>
        <v>228.67021502554812</v>
      </c>
      <c r="L364" s="304">
        <f t="shared" ca="1" si="145"/>
        <v>759.90683189111644</v>
      </c>
      <c r="M364" s="306">
        <f t="shared" ca="1" si="161"/>
        <v>-1.4647616111622472</v>
      </c>
      <c r="N364" s="304">
        <f t="shared" ca="1" si="162"/>
        <v>-83.924658312379336</v>
      </c>
      <c r="P364" s="310">
        <f t="shared" ca="1" si="163"/>
        <v>23</v>
      </c>
      <c r="Q364" s="304">
        <f t="shared" ca="1" si="164"/>
        <v>0</v>
      </c>
      <c r="R364" s="306">
        <f t="shared" ca="1" si="165"/>
        <v>0</v>
      </c>
      <c r="S364" s="307">
        <f t="shared" ca="1" si="166"/>
        <v>5.083000000000002</v>
      </c>
      <c r="T364" s="304">
        <f t="shared" ca="1" si="146"/>
        <v>49.86423000000002</v>
      </c>
      <c r="U364" s="311">
        <f t="shared" ca="1" si="147"/>
        <v>0</v>
      </c>
      <c r="V364" s="306">
        <f t="shared" ca="1" si="148"/>
        <v>1.1973045548294889</v>
      </c>
      <c r="W364" s="304">
        <f t="shared" ca="1" si="149"/>
        <v>39.384264897778749</v>
      </c>
      <c r="Y364" s="314" t="str">
        <f t="shared" ca="1" si="167"/>
        <v/>
      </c>
      <c r="Z364" s="315" t="str">
        <f t="shared" ca="1" si="168"/>
        <v/>
      </c>
      <c r="AA364" s="316" t="str">
        <f t="shared" ca="1" si="169"/>
        <v/>
      </c>
      <c r="AC364" s="310">
        <f t="shared" ca="1" si="170"/>
        <v>27.000000000000117</v>
      </c>
      <c r="AD364" s="323">
        <f t="shared" ca="1" si="171"/>
        <v>724.68498391712455</v>
      </c>
      <c r="AE364" s="324" t="e">
        <f t="shared" ca="1" si="150"/>
        <v>#N/A</v>
      </c>
      <c r="AG364" s="306">
        <f t="shared" ca="1" si="172"/>
        <v>2.0441282853551037</v>
      </c>
      <c r="AH364" s="304">
        <f t="shared" ca="1" si="173"/>
        <v>-7.7097182970189451</v>
      </c>
    </row>
    <row r="365" spans="1:34" x14ac:dyDescent="0.2">
      <c r="A365" s="347">
        <f t="shared" ca="1" si="151"/>
        <v>0.1</v>
      </c>
      <c r="B365" s="304">
        <f t="shared" ca="1" si="152"/>
        <v>27.100000000000119</v>
      </c>
      <c r="D365" s="306">
        <f t="shared" ca="1" si="153"/>
        <v>-0.82004291985258371</v>
      </c>
      <c r="E365" s="307">
        <f t="shared" ca="1" si="154"/>
        <v>-2.1052849669381448</v>
      </c>
      <c r="F365" s="304">
        <f t="shared" ca="1" si="155"/>
        <v>2.2593572498425512</v>
      </c>
      <c r="G365" s="306">
        <f t="shared" ca="1" si="156"/>
        <v>10.872463543914037</v>
      </c>
      <c r="H365" s="307">
        <f t="shared" ca="1" si="157"/>
        <v>-103.1332548213334</v>
      </c>
      <c r="I365" s="304">
        <f t="shared" ca="1" si="158"/>
        <v>103.70476707247275</v>
      </c>
      <c r="J365" s="306">
        <f t="shared" ca="1" si="159"/>
        <v>725.77633048611517</v>
      </c>
      <c r="K365" s="307">
        <f t="shared" ca="1" si="160"/>
        <v>218.36741596824947</v>
      </c>
      <c r="L365" s="304">
        <f t="shared" ca="1" si="145"/>
        <v>757.9153054600107</v>
      </c>
      <c r="M365" s="306">
        <f t="shared" ca="1" si="161"/>
        <v>-1.4657627730505132</v>
      </c>
      <c r="N365" s="304">
        <f t="shared" ca="1" si="162"/>
        <v>-83.982020663186333</v>
      </c>
      <c r="P365" s="310">
        <f t="shared" ca="1" si="163"/>
        <v>23</v>
      </c>
      <c r="Q365" s="304">
        <f t="shared" ca="1" si="164"/>
        <v>0</v>
      </c>
      <c r="R365" s="306">
        <f t="shared" ca="1" si="165"/>
        <v>0</v>
      </c>
      <c r="S365" s="307">
        <f t="shared" ca="1" si="166"/>
        <v>5.083000000000002</v>
      </c>
      <c r="T365" s="304">
        <f t="shared" ca="1" si="146"/>
        <v>49.86423000000002</v>
      </c>
      <c r="U365" s="311">
        <f t="shared" ca="1" si="147"/>
        <v>0</v>
      </c>
      <c r="V365" s="306">
        <f t="shared" ca="1" si="148"/>
        <v>1.1985389036060512</v>
      </c>
      <c r="W365" s="304">
        <f t="shared" ca="1" si="149"/>
        <v>39.577924406739193</v>
      </c>
      <c r="Y365" s="314" t="str">
        <f t="shared" ca="1" si="167"/>
        <v/>
      </c>
      <c r="Z365" s="315" t="str">
        <f t="shared" ca="1" si="168"/>
        <v/>
      </c>
      <c r="AA365" s="316" t="str">
        <f t="shared" ca="1" si="169"/>
        <v/>
      </c>
      <c r="AC365" s="310" t="e">
        <f t="shared" ca="1" si="170"/>
        <v>#N/A</v>
      </c>
      <c r="AD365" s="323" t="e">
        <f t="shared" ca="1" si="171"/>
        <v>#N/A</v>
      </c>
      <c r="AE365" s="324" t="e">
        <f t="shared" ca="1" si="150"/>
        <v>#N/A</v>
      </c>
      <c r="AG365" s="306">
        <f t="shared" ca="1" si="172"/>
        <v>2.0066706437164541</v>
      </c>
      <c r="AH365" s="304">
        <f t="shared" ca="1" si="173"/>
        <v>-7.7482323229940455</v>
      </c>
    </row>
    <row r="366" spans="1:34" x14ac:dyDescent="0.2">
      <c r="A366" s="347">
        <f t="shared" ca="1" si="151"/>
        <v>0.1</v>
      </c>
      <c r="B366" s="304">
        <f t="shared" ca="1" si="152"/>
        <v>27.20000000000012</v>
      </c>
      <c r="D366" s="306">
        <f t="shared" ca="1" si="153"/>
        <v>-0.81632321003525199</v>
      </c>
      <c r="E366" s="307">
        <f t="shared" ca="1" si="154"/>
        <v>-2.0665783461044018</v>
      </c>
      <c r="F366" s="304">
        <f t="shared" ca="1" si="155"/>
        <v>2.2219652661168814</v>
      </c>
      <c r="G366" s="306">
        <f t="shared" ca="1" si="156"/>
        <v>10.790831222910512</v>
      </c>
      <c r="H366" s="307">
        <f t="shared" ca="1" si="157"/>
        <v>-103.33991265594383</v>
      </c>
      <c r="I366" s="304">
        <f t="shared" ca="1" si="158"/>
        <v>103.90177855176225</v>
      </c>
      <c r="J366" s="306">
        <f t="shared" ca="1" si="159"/>
        <v>726.8594952244564</v>
      </c>
      <c r="K366" s="307">
        <f t="shared" ca="1" si="160"/>
        <v>208.04375759438562</v>
      </c>
      <c r="L366" s="304">
        <f t="shared" ca="1" si="145"/>
        <v>756.04691049692349</v>
      </c>
      <c r="M366" s="306">
        <f t="shared" ca="1" si="161"/>
        <v>-1.4667526366094599</v>
      </c>
      <c r="N366" s="304">
        <f t="shared" ca="1" si="162"/>
        <v>-84.038735667407778</v>
      </c>
      <c r="P366" s="310">
        <f t="shared" ca="1" si="163"/>
        <v>23</v>
      </c>
      <c r="Q366" s="304">
        <f t="shared" ca="1" si="164"/>
        <v>0</v>
      </c>
      <c r="R366" s="306">
        <f t="shared" ca="1" si="165"/>
        <v>0</v>
      </c>
      <c r="S366" s="307">
        <f t="shared" ca="1" si="166"/>
        <v>5.083000000000002</v>
      </c>
      <c r="T366" s="304">
        <f t="shared" ca="1" si="146"/>
        <v>49.86423000000002</v>
      </c>
      <c r="U366" s="311">
        <f t="shared" ca="1" si="147"/>
        <v>0</v>
      </c>
      <c r="V366" s="306">
        <f t="shared" ca="1" si="148"/>
        <v>1.1997770139346273</v>
      </c>
      <c r="W366" s="304">
        <f t="shared" ca="1" si="149"/>
        <v>39.769482437886289</v>
      </c>
      <c r="Y366" s="314" t="str">
        <f t="shared" ca="1" si="167"/>
        <v/>
      </c>
      <c r="Z366" s="315" t="str">
        <f t="shared" ca="1" si="168"/>
        <v/>
      </c>
      <c r="AA366" s="316" t="str">
        <f t="shared" ca="1" si="169"/>
        <v/>
      </c>
      <c r="AC366" s="310" t="e">
        <f t="shared" ca="1" si="170"/>
        <v>#N/A</v>
      </c>
      <c r="AD366" s="323" t="e">
        <f t="shared" ca="1" si="171"/>
        <v>#N/A</v>
      </c>
      <c r="AE366" s="324" t="e">
        <f t="shared" ca="1" si="150"/>
        <v>#N/A</v>
      </c>
      <c r="AG366" s="306">
        <f t="shared" ca="1" si="172"/>
        <v>1.9696057626081265</v>
      </c>
      <c r="AH366" s="304">
        <f t="shared" ca="1" si="173"/>
        <v>-7.786331773901078</v>
      </c>
    </row>
    <row r="367" spans="1:34" x14ac:dyDescent="0.2">
      <c r="A367" s="347">
        <f t="shared" ca="1" si="151"/>
        <v>0.1</v>
      </c>
      <c r="B367" s="304">
        <f t="shared" ca="1" si="152"/>
        <v>27.300000000000122</v>
      </c>
      <c r="D367" s="306">
        <f t="shared" ca="1" si="153"/>
        <v>-0.81257180250194128</v>
      </c>
      <c r="E367" s="307">
        <f t="shared" ca="1" si="154"/>
        <v>-2.0282918662511884</v>
      </c>
      <c r="F367" s="304">
        <f t="shared" ca="1" si="155"/>
        <v>2.185003622175941</v>
      </c>
      <c r="G367" s="306">
        <f t="shared" ca="1" si="156"/>
        <v>10.709574042660318</v>
      </c>
      <c r="H367" s="307">
        <f t="shared" ca="1" si="157"/>
        <v>-103.54274184256896</v>
      </c>
      <c r="I367" s="304">
        <f t="shared" ca="1" si="158"/>
        <v>104.09512171303756</v>
      </c>
      <c r="J367" s="306">
        <f t="shared" ca="1" si="159"/>
        <v>727.93451548773498</v>
      </c>
      <c r="K367" s="307">
        <f t="shared" ca="1" si="160"/>
        <v>197.69962486946</v>
      </c>
      <c r="L367" s="304">
        <f t="shared" ca="1" si="145"/>
        <v>754.30352015080018</v>
      </c>
      <c r="M367" s="306">
        <f t="shared" ca="1" si="161"/>
        <v>-1.467731384000863</v>
      </c>
      <c r="N367" s="304">
        <f t="shared" ca="1" si="162"/>
        <v>-84.094813762144611</v>
      </c>
      <c r="P367" s="310">
        <f t="shared" ca="1" si="163"/>
        <v>23</v>
      </c>
      <c r="Q367" s="304">
        <f t="shared" ca="1" si="164"/>
        <v>0</v>
      </c>
      <c r="R367" s="306">
        <f t="shared" ca="1" si="165"/>
        <v>0</v>
      </c>
      <c r="S367" s="307">
        <f t="shared" ca="1" si="166"/>
        <v>5.083000000000002</v>
      </c>
      <c r="T367" s="304">
        <f t="shared" ca="1" si="146"/>
        <v>49.86423000000002</v>
      </c>
      <c r="U367" s="311">
        <f t="shared" ca="1" si="147"/>
        <v>0</v>
      </c>
      <c r="V367" s="306">
        <f t="shared" ca="1" si="148"/>
        <v>1.2010188491795484</v>
      </c>
      <c r="W367" s="304">
        <f t="shared" ca="1" si="149"/>
        <v>39.958945286102086</v>
      </c>
      <c r="Y367" s="314" t="str">
        <f t="shared" ca="1" si="167"/>
        <v/>
      </c>
      <c r="Z367" s="315" t="str">
        <f t="shared" ca="1" si="168"/>
        <v/>
      </c>
      <c r="AA367" s="316" t="str">
        <f t="shared" ca="1" si="169"/>
        <v/>
      </c>
      <c r="AC367" s="310" t="e">
        <f t="shared" ca="1" si="170"/>
        <v>#N/A</v>
      </c>
      <c r="AD367" s="323" t="e">
        <f t="shared" ca="1" si="171"/>
        <v>#N/A</v>
      </c>
      <c r="AE367" s="324" t="e">
        <f t="shared" ca="1" si="150"/>
        <v>#N/A</v>
      </c>
      <c r="AG367" s="306">
        <f t="shared" ca="1" si="172"/>
        <v>1.9329330250281664</v>
      </c>
      <c r="AH367" s="304">
        <f t="shared" ca="1" si="173"/>
        <v>-7.8240177922262983</v>
      </c>
    </row>
    <row r="368" spans="1:34" x14ac:dyDescent="0.2">
      <c r="A368" s="347">
        <f t="shared" ca="1" si="151"/>
        <v>0.1</v>
      </c>
      <c r="B368" s="304">
        <f t="shared" ca="1" si="152"/>
        <v>27.400000000000123</v>
      </c>
      <c r="D368" s="306">
        <f t="shared" ca="1" si="153"/>
        <v>-0.80878991494671959</v>
      </c>
      <c r="E368" s="307">
        <f t="shared" ca="1" si="154"/>
        <v>-1.9904242601418263</v>
      </c>
      <c r="F368" s="304">
        <f t="shared" ca="1" si="155"/>
        <v>2.1484715175865512</v>
      </c>
      <c r="G368" s="306">
        <f t="shared" ca="1" si="156"/>
        <v>10.628695051165646</v>
      </c>
      <c r="H368" s="307">
        <f t="shared" ca="1" si="157"/>
        <v>-103.74178426858315</v>
      </c>
      <c r="I368" s="304">
        <f t="shared" ca="1" si="158"/>
        <v>104.28483572274503</v>
      </c>
      <c r="J368" s="306">
        <f t="shared" ca="1" si="159"/>
        <v>729.00142894242629</v>
      </c>
      <c r="K368" s="307">
        <f t="shared" ca="1" si="160"/>
        <v>187.3353985639024</v>
      </c>
      <c r="L368" s="304">
        <f t="shared" ca="1" si="145"/>
        <v>752.68694352645412</v>
      </c>
      <c r="M368" s="306">
        <f t="shared" ca="1" si="161"/>
        <v>-1.4686991931742832</v>
      </c>
      <c r="N368" s="304">
        <f t="shared" ca="1" si="162"/>
        <v>-84.150265143155636</v>
      </c>
      <c r="P368" s="310">
        <f t="shared" ca="1" si="163"/>
        <v>23</v>
      </c>
      <c r="Q368" s="304">
        <f t="shared" ca="1" si="164"/>
        <v>0</v>
      </c>
      <c r="R368" s="306">
        <f t="shared" ca="1" si="165"/>
        <v>0</v>
      </c>
      <c r="S368" s="307">
        <f t="shared" ca="1" si="166"/>
        <v>5.083000000000002</v>
      </c>
      <c r="T368" s="304">
        <f t="shared" ca="1" si="146"/>
        <v>49.86423000000002</v>
      </c>
      <c r="U368" s="311">
        <f t="shared" ca="1" si="147"/>
        <v>0</v>
      </c>
      <c r="V368" s="306">
        <f t="shared" ca="1" si="148"/>
        <v>1.2022643730626175</v>
      </c>
      <c r="W368" s="304">
        <f t="shared" ca="1" si="149"/>
        <v>40.146319718143253</v>
      </c>
      <c r="Y368" s="314" t="str">
        <f t="shared" ca="1" si="167"/>
        <v/>
      </c>
      <c r="Z368" s="315" t="str">
        <f t="shared" ca="1" si="168"/>
        <v/>
      </c>
      <c r="AA368" s="316" t="str">
        <f t="shared" ca="1" si="169"/>
        <v/>
      </c>
      <c r="AC368" s="310" t="e">
        <f t="shared" ca="1" si="170"/>
        <v>#N/A</v>
      </c>
      <c r="AD368" s="323" t="e">
        <f t="shared" ca="1" si="171"/>
        <v>#N/A</v>
      </c>
      <c r="AE368" s="324" t="e">
        <f t="shared" ca="1" si="150"/>
        <v>#N/A</v>
      </c>
      <c r="AG368" s="306">
        <f t="shared" ca="1" si="172"/>
        <v>1.8966517027593319</v>
      </c>
      <c r="AH368" s="304">
        <f t="shared" ca="1" si="173"/>
        <v>-7.8612916163883675</v>
      </c>
    </row>
    <row r="369" spans="1:34" x14ac:dyDescent="0.2">
      <c r="A369" s="347">
        <f t="shared" ca="1" si="151"/>
        <v>0.1</v>
      </c>
      <c r="B369" s="304">
        <f t="shared" ca="1" si="152"/>
        <v>27.500000000000124</v>
      </c>
      <c r="D369" s="306">
        <f t="shared" ca="1" si="153"/>
        <v>-0.80497874778156631</v>
      </c>
      <c r="E369" s="307">
        <f t="shared" ca="1" si="154"/>
        <v>-1.952974166523763</v>
      </c>
      <c r="F369" s="304">
        <f t="shared" ca="1" si="155"/>
        <v>2.1123680738661919</v>
      </c>
      <c r="G369" s="306">
        <f t="shared" ca="1" si="156"/>
        <v>10.54819717638749</v>
      </c>
      <c r="H369" s="307">
        <f t="shared" ca="1" si="157"/>
        <v>-103.93708168523553</v>
      </c>
      <c r="I369" s="304">
        <f t="shared" ca="1" si="158"/>
        <v>104.47095966303398</v>
      </c>
      <c r="J369" s="306">
        <f t="shared" ca="1" si="159"/>
        <v>730.060273553804</v>
      </c>
      <c r="K369" s="307">
        <f t="shared" ca="1" si="160"/>
        <v>176.95145526621147</v>
      </c>
      <c r="L369" s="304">
        <f t="shared" ca="1" si="145"/>
        <v>751.19892208541216</v>
      </c>
      <c r="M369" s="306">
        <f t="shared" ca="1" si="161"/>
        <v>-1.4696562379900411</v>
      </c>
      <c r="N369" s="304">
        <f t="shared" ca="1" si="162"/>
        <v>-84.205099771903434</v>
      </c>
      <c r="P369" s="310">
        <f t="shared" ca="1" si="163"/>
        <v>23</v>
      </c>
      <c r="Q369" s="304">
        <f t="shared" ca="1" si="164"/>
        <v>0</v>
      </c>
      <c r="R369" s="306">
        <f t="shared" ca="1" si="165"/>
        <v>0</v>
      </c>
      <c r="S369" s="307">
        <f t="shared" ca="1" si="166"/>
        <v>5.083000000000002</v>
      </c>
      <c r="T369" s="304">
        <f t="shared" ca="1" si="146"/>
        <v>49.86423000000002</v>
      </c>
      <c r="U369" s="311">
        <f t="shared" ca="1" si="147"/>
        <v>0</v>
      </c>
      <c r="V369" s="306">
        <f t="shared" ca="1" si="148"/>
        <v>1.2035135496626741</v>
      </c>
      <c r="W369" s="304">
        <f t="shared" ca="1" si="149"/>
        <v>40.331612957094983</v>
      </c>
      <c r="Y369" s="314" t="str">
        <f t="shared" ca="1" si="167"/>
        <v/>
      </c>
      <c r="Z369" s="315" t="str">
        <f t="shared" ca="1" si="168"/>
        <v/>
      </c>
      <c r="AA369" s="316" t="str">
        <f t="shared" ca="1" si="169"/>
        <v/>
      </c>
      <c r="AC369" s="310" t="e">
        <f t="shared" ca="1" si="170"/>
        <v>#N/A</v>
      </c>
      <c r="AD369" s="323" t="e">
        <f t="shared" ca="1" si="171"/>
        <v>#N/A</v>
      </c>
      <c r="AE369" s="324" t="e">
        <f t="shared" ca="1" si="150"/>
        <v>#N/A</v>
      </c>
      <c r="AG369" s="306">
        <f t="shared" ca="1" si="172"/>
        <v>1.8607609599989194</v>
      </c>
      <c r="AH369" s="304">
        <f t="shared" ca="1" si="173"/>
        <v>-7.8981545776398265</v>
      </c>
    </row>
    <row r="370" spans="1:34" x14ac:dyDescent="0.2">
      <c r="A370" s="347">
        <f t="shared" ca="1" si="151"/>
        <v>0.1</v>
      </c>
      <c r="B370" s="304">
        <f t="shared" ca="1" si="152"/>
        <v>27.600000000000126</v>
      </c>
      <c r="D370" s="306">
        <f t="shared" ca="1" si="153"/>
        <v>-0.8011394840687277</v>
      </c>
      <c r="E370" s="307">
        <f t="shared" ca="1" si="154"/>
        <v>-1.9159401332279398</v>
      </c>
      <c r="F370" s="304">
        <f t="shared" ca="1" si="155"/>
        <v>2.0766923380817399</v>
      </c>
      <c r="G370" s="306">
        <f t="shared" ca="1" si="156"/>
        <v>10.468083227980618</v>
      </c>
      <c r="H370" s="307">
        <f t="shared" ca="1" si="157"/>
        <v>-104.12867569855833</v>
      </c>
      <c r="I370" s="304">
        <f t="shared" ca="1" si="158"/>
        <v>104.65353252137962</v>
      </c>
      <c r="J370" s="306">
        <f t="shared" ca="1" si="159"/>
        <v>731.11108757402235</v>
      </c>
      <c r="K370" s="307">
        <f t="shared" ca="1" si="160"/>
        <v>166.54816739702179</v>
      </c>
      <c r="L370" s="304">
        <f t="shared" ca="1" si="145"/>
        <v>749.84112613071329</v>
      </c>
      <c r="M370" s="306">
        <f t="shared" ca="1" si="161"/>
        <v>-1.4706026883379852</v>
      </c>
      <c r="N370" s="304">
        <f t="shared" ca="1" si="162"/>
        <v>-84.259327382359317</v>
      </c>
      <c r="P370" s="310">
        <f t="shared" ca="1" si="163"/>
        <v>23</v>
      </c>
      <c r="Q370" s="304">
        <f t="shared" ca="1" si="164"/>
        <v>0</v>
      </c>
      <c r="R370" s="306">
        <f t="shared" ca="1" si="165"/>
        <v>0</v>
      </c>
      <c r="S370" s="307">
        <f t="shared" ca="1" si="166"/>
        <v>5.083000000000002</v>
      </c>
      <c r="T370" s="304">
        <f t="shared" ca="1" si="146"/>
        <v>49.86423000000002</v>
      </c>
      <c r="U370" s="311">
        <f t="shared" ca="1" si="147"/>
        <v>0</v>
      </c>
      <c r="V370" s="306">
        <f t="shared" ca="1" si="148"/>
        <v>1.2047663434150633</v>
      </c>
      <c r="W370" s="304">
        <f t="shared" ca="1" si="149"/>
        <v>40.514832667033318</v>
      </c>
      <c r="Y370" s="314" t="str">
        <f t="shared" ca="1" si="167"/>
        <v/>
      </c>
      <c r="Z370" s="315" t="str">
        <f t="shared" ca="1" si="168"/>
        <v/>
      </c>
      <c r="AA370" s="316" t="str">
        <f t="shared" ca="1" si="169"/>
        <v/>
      </c>
      <c r="AC370" s="310" t="e">
        <f t="shared" ca="1" si="170"/>
        <v>#N/A</v>
      </c>
      <c r="AD370" s="323" t="e">
        <f t="shared" ca="1" si="171"/>
        <v>#N/A</v>
      </c>
      <c r="AE370" s="324" t="e">
        <f t="shared" ca="1" si="150"/>
        <v>#N/A</v>
      </c>
      <c r="AG370" s="306">
        <f t="shared" ca="1" si="172"/>
        <v>1.8252598569271088</v>
      </c>
      <c r="AH370" s="304">
        <f t="shared" ca="1" si="173"/>
        <v>-7.9346080970086499</v>
      </c>
    </row>
    <row r="371" spans="1:34" x14ac:dyDescent="0.2">
      <c r="A371" s="347">
        <f t="shared" ca="1" si="151"/>
        <v>0.1</v>
      </c>
      <c r="B371" s="304">
        <f t="shared" ca="1" si="152"/>
        <v>27.700000000000127</v>
      </c>
      <c r="D371" s="306">
        <f t="shared" ca="1" si="153"/>
        <v>-0.79727328946569587</v>
      </c>
      <c r="E371" s="307">
        <f t="shared" ca="1" si="154"/>
        <v>-1.8793206202267259</v>
      </c>
      <c r="F371" s="304">
        <f t="shared" ca="1" si="155"/>
        <v>2.0414432864287013</v>
      </c>
      <c r="G371" s="306">
        <f t="shared" ca="1" si="156"/>
        <v>10.388355899034048</v>
      </c>
      <c r="H371" s="307">
        <f t="shared" ca="1" si="157"/>
        <v>-104.31660776058099</v>
      </c>
      <c r="I371" s="304">
        <f t="shared" ca="1" si="158"/>
        <v>104.83259318055575</v>
      </c>
      <c r="J371" s="306">
        <f t="shared" ca="1" si="159"/>
        <v>732.15390953037308</v>
      </c>
      <c r="K371" s="307">
        <f t="shared" ca="1" si="160"/>
        <v>156.12590322406481</v>
      </c>
      <c r="L371" s="304">
        <f t="shared" ca="1" si="145"/>
        <v>748.61515139498727</v>
      </c>
      <c r="M371" s="306">
        <f t="shared" ca="1" si="161"/>
        <v>-1.4715387102522162</v>
      </c>
      <c r="N371" s="304">
        <f t="shared" ca="1" si="162"/>
        <v>-84.312957487576512</v>
      </c>
      <c r="P371" s="310">
        <f t="shared" ca="1" si="163"/>
        <v>23</v>
      </c>
      <c r="Q371" s="304">
        <f t="shared" ca="1" si="164"/>
        <v>0</v>
      </c>
      <c r="R371" s="306">
        <f t="shared" ca="1" si="165"/>
        <v>0</v>
      </c>
      <c r="S371" s="307">
        <f t="shared" ca="1" si="166"/>
        <v>5.083000000000002</v>
      </c>
      <c r="T371" s="304">
        <f t="shared" ca="1" si="146"/>
        <v>49.86423000000002</v>
      </c>
      <c r="U371" s="311">
        <f t="shared" ca="1" si="147"/>
        <v>0</v>
      </c>
      <c r="V371" s="306">
        <f t="shared" ca="1" si="148"/>
        <v>1.2060227191110287</v>
      </c>
      <c r="W371" s="304">
        <f t="shared" ca="1" si="149"/>
        <v>40.695986937901004</v>
      </c>
      <c r="Y371" s="314" t="str">
        <f t="shared" ca="1" si="167"/>
        <v/>
      </c>
      <c r="Z371" s="315" t="str">
        <f t="shared" ca="1" si="168"/>
        <v/>
      </c>
      <c r="AA371" s="316" t="str">
        <f t="shared" ca="1" si="169"/>
        <v/>
      </c>
      <c r="AC371" s="310" t="e">
        <f t="shared" ca="1" si="170"/>
        <v>#N/A</v>
      </c>
      <c r="AD371" s="323" t="e">
        <f t="shared" ca="1" si="171"/>
        <v>#N/A</v>
      </c>
      <c r="AE371" s="324" t="e">
        <f t="shared" ca="1" si="150"/>
        <v>#N/A</v>
      </c>
      <c r="AG371" s="306">
        <f t="shared" ca="1" si="172"/>
        <v>1.7901473532138699</v>
      </c>
      <c r="AH371" s="304">
        <f t="shared" ca="1" si="173"/>
        <v>-7.9706536822807994</v>
      </c>
    </row>
    <row r="372" spans="1:34" x14ac:dyDescent="0.2">
      <c r="A372" s="347">
        <f t="shared" ca="1" si="151"/>
        <v>0.1</v>
      </c>
      <c r="B372" s="304">
        <f t="shared" ca="1" si="152"/>
        <v>27.800000000000129</v>
      </c>
      <c r="D372" s="306">
        <f t="shared" ca="1" si="153"/>
        <v>-0.79338131218242591</v>
      </c>
      <c r="E372" s="307">
        <f t="shared" ca="1" si="154"/>
        <v>-1.8431140026493642</v>
      </c>
      <c r="F372" s="304">
        <f t="shared" ca="1" si="155"/>
        <v>2.0066198277906229</v>
      </c>
      <c r="G372" s="306">
        <f t="shared" ca="1" si="156"/>
        <v>10.309017767815805</v>
      </c>
      <c r="H372" s="307">
        <f t="shared" ca="1" si="157"/>
        <v>-104.50091916084592</v>
      </c>
      <c r="I372" s="304">
        <f t="shared" ca="1" si="158"/>
        <v>105.00818040895098</v>
      </c>
      <c r="J372" s="306">
        <f t="shared" ca="1" si="159"/>
        <v>733.18877821371552</v>
      </c>
      <c r="K372" s="307">
        <f t="shared" ca="1" si="160"/>
        <v>145.68502687799347</v>
      </c>
      <c r="L372" s="304">
        <f t="shared" ca="1" si="145"/>
        <v>747.52251575117293</v>
      </c>
      <c r="M372" s="306">
        <f t="shared" ca="1" si="161"/>
        <v>-1.4724644660219257</v>
      </c>
      <c r="N372" s="304">
        <f t="shared" ca="1" si="162"/>
        <v>-84.365999386040755</v>
      </c>
      <c r="P372" s="310">
        <f t="shared" ca="1" si="163"/>
        <v>23</v>
      </c>
      <c r="Q372" s="304">
        <f t="shared" ca="1" si="164"/>
        <v>0</v>
      </c>
      <c r="R372" s="306">
        <f t="shared" ca="1" si="165"/>
        <v>0</v>
      </c>
      <c r="S372" s="307">
        <f t="shared" ca="1" si="166"/>
        <v>5.083000000000002</v>
      </c>
      <c r="T372" s="304">
        <f t="shared" ca="1" si="146"/>
        <v>49.86423000000002</v>
      </c>
      <c r="U372" s="311">
        <f t="shared" ca="1" si="147"/>
        <v>0</v>
      </c>
      <c r="V372" s="306">
        <f t="shared" ca="1" si="148"/>
        <v>1.2072826418970179</v>
      </c>
      <c r="W372" s="304">
        <f t="shared" ca="1" si="149"/>
        <v>40.875084270600539</v>
      </c>
      <c r="Y372" s="314" t="str">
        <f t="shared" ca="1" si="167"/>
        <v/>
      </c>
      <c r="Z372" s="315" t="str">
        <f t="shared" ca="1" si="168"/>
        <v/>
      </c>
      <c r="AA372" s="316" t="str">
        <f t="shared" ca="1" si="169"/>
        <v/>
      </c>
      <c r="AC372" s="310" t="e">
        <f t="shared" ca="1" si="170"/>
        <v>#N/A</v>
      </c>
      <c r="AD372" s="323" t="e">
        <f t="shared" ca="1" si="171"/>
        <v>#N/A</v>
      </c>
      <c r="AE372" s="324" t="e">
        <f t="shared" ca="1" si="150"/>
        <v>#N/A</v>
      </c>
      <c r="AG372" s="306">
        <f t="shared" ca="1" si="172"/>
        <v>1.7554223114643648</v>
      </c>
      <c r="AH372" s="304">
        <f t="shared" ca="1" si="173"/>
        <v>-8.0062929250247858</v>
      </c>
    </row>
    <row r="373" spans="1:34" x14ac:dyDescent="0.2">
      <c r="A373" s="347">
        <f t="shared" ca="1" si="151"/>
        <v>0.1</v>
      </c>
      <c r="B373" s="304">
        <f t="shared" ca="1" si="152"/>
        <v>27.90000000000013</v>
      </c>
      <c r="D373" s="306">
        <f t="shared" ca="1" si="153"/>
        <v>-0.78946468295034933</v>
      </c>
      <c r="E373" s="307">
        <f t="shared" ca="1" si="154"/>
        <v>-1.8073185737542108</v>
      </c>
      <c r="F373" s="304">
        <f t="shared" ca="1" si="155"/>
        <v>1.97222080727865</v>
      </c>
      <c r="G373" s="306">
        <f t="shared" ca="1" si="156"/>
        <v>10.23007129952077</v>
      </c>
      <c r="H373" s="307">
        <f t="shared" ca="1" si="157"/>
        <v>-104.68165101822134</v>
      </c>
      <c r="I373" s="304">
        <f t="shared" ca="1" si="158"/>
        <v>105.18033285122253</v>
      </c>
      <c r="J373" s="306">
        <f t="shared" ca="1" si="159"/>
        <v>734.21573266708231</v>
      </c>
      <c r="K373" s="307">
        <f t="shared" ca="1" si="160"/>
        <v>135.2258983690401</v>
      </c>
      <c r="L373" s="304">
        <f t="shared" ca="1" si="145"/>
        <v>746.5646560650822</v>
      </c>
      <c r="M373" s="306">
        <f t="shared" ca="1" si="161"/>
        <v>-1.4733801142985008</v>
      </c>
      <c r="N373" s="304">
        <f t="shared" ca="1" si="162"/>
        <v>-84.418462167806936</v>
      </c>
      <c r="P373" s="310">
        <f t="shared" ca="1" si="163"/>
        <v>23</v>
      </c>
      <c r="Q373" s="304">
        <f t="shared" ca="1" si="164"/>
        <v>0</v>
      </c>
      <c r="R373" s="306">
        <f t="shared" ca="1" si="165"/>
        <v>0</v>
      </c>
      <c r="S373" s="307">
        <f t="shared" ca="1" si="166"/>
        <v>5.083000000000002</v>
      </c>
      <c r="T373" s="304">
        <f t="shared" ca="1" si="146"/>
        <v>49.86423000000002</v>
      </c>
      <c r="U373" s="311">
        <f t="shared" ca="1" si="147"/>
        <v>0</v>
      </c>
      <c r="V373" s="306">
        <f t="shared" ca="1" si="148"/>
        <v>1.2085460772739092</v>
      </c>
      <c r="W373" s="304">
        <f t="shared" ca="1" si="149"/>
        <v>41.052133562308583</v>
      </c>
      <c r="Y373" s="314" t="str">
        <f t="shared" ca="1" si="167"/>
        <v/>
      </c>
      <c r="Z373" s="315" t="str">
        <f t="shared" ca="1" si="168"/>
        <v/>
      </c>
      <c r="AA373" s="316" t="str">
        <f t="shared" ca="1" si="169"/>
        <v/>
      </c>
      <c r="AC373" s="310" t="e">
        <f t="shared" ca="1" si="170"/>
        <v>#N/A</v>
      </c>
      <c r="AD373" s="323" t="e">
        <f t="shared" ca="1" si="171"/>
        <v>#N/A</v>
      </c>
      <c r="AE373" s="324" t="e">
        <f t="shared" ca="1" si="150"/>
        <v>#N/A</v>
      </c>
      <c r="AG373" s="306">
        <f t="shared" ca="1" si="172"/>
        <v>1.7210835006029725</v>
      </c>
      <c r="AH373" s="304">
        <f t="shared" ca="1" si="173"/>
        <v>-8.041527497658965</v>
      </c>
    </row>
    <row r="374" spans="1:34" x14ac:dyDescent="0.2">
      <c r="A374" s="347">
        <f t="shared" ca="1" si="151"/>
        <v>0.1</v>
      </c>
      <c r="B374" s="304">
        <f t="shared" ca="1" si="152"/>
        <v>28.000000000000131</v>
      </c>
      <c r="D374" s="306">
        <f t="shared" ca="1" si="153"/>
        <v>-0.78552451500280529</v>
      </c>
      <c r="E374" s="307">
        <f t="shared" ca="1" si="154"/>
        <v>-1.7719325478569008</v>
      </c>
      <c r="F374" s="304">
        <f t="shared" ca="1" si="155"/>
        <v>1.9382450097510997</v>
      </c>
      <c r="G374" s="306">
        <f t="shared" ca="1" si="156"/>
        <v>10.151518848020489</v>
      </c>
      <c r="H374" s="307">
        <f t="shared" ca="1" si="157"/>
        <v>-104.85884427300704</v>
      </c>
      <c r="I374" s="304">
        <f t="shared" ca="1" si="158"/>
        <v>105.34908901928131</v>
      </c>
      <c r="J374" s="306">
        <f t="shared" ca="1" si="159"/>
        <v>735.23481217445942</v>
      </c>
      <c r="K374" s="307">
        <f t="shared" ca="1" si="160"/>
        <v>124.74887360447867</v>
      </c>
      <c r="L374" s="304">
        <f t="shared" ca="1" si="145"/>
        <v>745.74292520867994</v>
      </c>
      <c r="M374" s="306">
        <f t="shared" ca="1" si="161"/>
        <v>-1.4742858101990379</v>
      </c>
      <c r="N374" s="304">
        <f t="shared" ca="1" si="162"/>
        <v>-84.470354720430009</v>
      </c>
      <c r="P374" s="310">
        <f t="shared" ca="1" si="163"/>
        <v>23</v>
      </c>
      <c r="Q374" s="304">
        <f t="shared" ca="1" si="164"/>
        <v>0</v>
      </c>
      <c r="R374" s="306">
        <f t="shared" ca="1" si="165"/>
        <v>0</v>
      </c>
      <c r="S374" s="307">
        <f t="shared" ca="1" si="166"/>
        <v>5.083000000000002</v>
      </c>
      <c r="T374" s="304">
        <f t="shared" ca="1" si="146"/>
        <v>49.86423000000002</v>
      </c>
      <c r="U374" s="311">
        <f t="shared" ca="1" si="147"/>
        <v>0</v>
      </c>
      <c r="V374" s="306">
        <f t="shared" ca="1" si="148"/>
        <v>1.2098129910961601</v>
      </c>
      <c r="W374" s="304">
        <f t="shared" ca="1" si="149"/>
        <v>41.227144092014996</v>
      </c>
      <c r="Y374" s="314" t="str">
        <f t="shared" ca="1" si="167"/>
        <v/>
      </c>
      <c r="Z374" s="315" t="str">
        <f t="shared" ca="1" si="168"/>
        <v/>
      </c>
      <c r="AA374" s="316" t="str">
        <f t="shared" ca="1" si="169"/>
        <v/>
      </c>
      <c r="AC374" s="310">
        <f t="shared" ca="1" si="170"/>
        <v>28.000000000000131</v>
      </c>
      <c r="AD374" s="323">
        <f t="shared" ca="1" si="171"/>
        <v>735.23481217445942</v>
      </c>
      <c r="AE374" s="324" t="e">
        <f t="shared" ca="1" si="150"/>
        <v>#N/A</v>
      </c>
      <c r="AG374" s="306">
        <f t="shared" ca="1" si="172"/>
        <v>1.6871295991959858</v>
      </c>
      <c r="AH374" s="304">
        <f t="shared" ca="1" si="173"/>
        <v>-8.0763591505623786</v>
      </c>
    </row>
    <row r="375" spans="1:34" x14ac:dyDescent="0.2">
      <c r="A375" s="347">
        <f t="shared" ca="1" si="151"/>
        <v>0.1</v>
      </c>
      <c r="B375" s="304">
        <f t="shared" ca="1" si="152"/>
        <v>28.100000000000133</v>
      </c>
      <c r="D375" s="306">
        <f t="shared" ca="1" si="153"/>
        <v>-0.78156190406646231</v>
      </c>
      <c r="E375" s="307">
        <f t="shared" ca="1" si="154"/>
        <v>-1.7369540632138278</v>
      </c>
      <c r="F375" s="304">
        <f t="shared" ca="1" si="155"/>
        <v>1.9046911633131027</v>
      </c>
      <c r="G375" s="306">
        <f t="shared" ca="1" si="156"/>
        <v>10.073362657613842</v>
      </c>
      <c r="H375" s="307">
        <f t="shared" ca="1" si="157"/>
        <v>-105.03253967932842</v>
      </c>
      <c r="I375" s="304">
        <f t="shared" ca="1" si="158"/>
        <v>105.51448728360248</v>
      </c>
      <c r="J375" s="306">
        <f t="shared" ca="1" si="159"/>
        <v>736.24605624974117</v>
      </c>
      <c r="K375" s="307">
        <f t="shared" ca="1" si="160"/>
        <v>114.25430440686191</v>
      </c>
      <c r="L375" s="304">
        <f t="shared" ca="1" si="145"/>
        <v>745.05858925241102</v>
      </c>
      <c r="M375" s="306">
        <f t="shared" ca="1" si="161"/>
        <v>-1.4751817054064023</v>
      </c>
      <c r="N375" s="304">
        <f t="shared" ca="1" si="162"/>
        <v>-84.521685734697982</v>
      </c>
      <c r="P375" s="310">
        <f t="shared" ca="1" si="163"/>
        <v>23</v>
      </c>
      <c r="Q375" s="304">
        <f t="shared" ca="1" si="164"/>
        <v>0</v>
      </c>
      <c r="R375" s="306">
        <f t="shared" ca="1" si="165"/>
        <v>0</v>
      </c>
      <c r="S375" s="307">
        <f t="shared" ca="1" si="166"/>
        <v>5.083000000000002</v>
      </c>
      <c r="T375" s="304">
        <f t="shared" ca="1" si="146"/>
        <v>49.86423000000002</v>
      </c>
      <c r="U375" s="311">
        <f t="shared" ca="1" si="147"/>
        <v>0</v>
      </c>
      <c r="V375" s="306">
        <f t="shared" ca="1" si="148"/>
        <v>1.2110833495708822</v>
      </c>
      <c r="W375" s="304">
        <f t="shared" ca="1" si="149"/>
        <v>41.40012550628979</v>
      </c>
      <c r="Y375" s="314" t="str">
        <f t="shared" ca="1" si="167"/>
        <v/>
      </c>
      <c r="Z375" s="315" t="str">
        <f t="shared" ca="1" si="168"/>
        <v/>
      </c>
      <c r="AA375" s="316" t="str">
        <f t="shared" ca="1" si="169"/>
        <v/>
      </c>
      <c r="AC375" s="310" t="e">
        <f t="shared" ca="1" si="170"/>
        <v>#N/A</v>
      </c>
      <c r="AD375" s="323" t="e">
        <f t="shared" ca="1" si="171"/>
        <v>#N/A</v>
      </c>
      <c r="AE375" s="324" t="e">
        <f t="shared" ca="1" si="150"/>
        <v>#N/A</v>
      </c>
      <c r="AG375" s="306">
        <f t="shared" ca="1" si="172"/>
        <v>1.653559198713122</v>
      </c>
      <c r="AH375" s="304">
        <f t="shared" ca="1" si="173"/>
        <v>-8.1107897092297812</v>
      </c>
    </row>
    <row r="376" spans="1:34" x14ac:dyDescent="0.2">
      <c r="A376" s="347">
        <f t="shared" ca="1" si="151"/>
        <v>0.1</v>
      </c>
      <c r="B376" s="304">
        <f t="shared" ca="1" si="152"/>
        <v>28.200000000000134</v>
      </c>
      <c r="D376" s="306">
        <f t="shared" ca="1" si="153"/>
        <v>-0.77757792836337924</v>
      </c>
      <c r="E376" s="307">
        <f t="shared" ca="1" si="154"/>
        <v>-1.7023811848602115</v>
      </c>
      <c r="F376" s="304">
        <f t="shared" ca="1" si="155"/>
        <v>1.8715579427963063</v>
      </c>
      <c r="G376" s="306">
        <f t="shared" ca="1" si="156"/>
        <v>9.9956048647775049</v>
      </c>
      <c r="H376" s="307">
        <f t="shared" ca="1" si="157"/>
        <v>-105.20277779781445</v>
      </c>
      <c r="I376" s="304">
        <f t="shared" ca="1" si="158"/>
        <v>105.67656586485523</v>
      </c>
      <c r="J376" s="306">
        <f t="shared" ca="1" si="159"/>
        <v>737.24950462586071</v>
      </c>
      <c r="K376" s="307">
        <f t="shared" ca="1" si="160"/>
        <v>103.74253853300476</v>
      </c>
      <c r="L376" s="304">
        <f t="shared" ca="1" si="145"/>
        <v>744.51282485417869</v>
      </c>
      <c r="M376" s="306">
        <f t="shared" ca="1" si="161"/>
        <v>-1.4760679482659689</v>
      </c>
      <c r="N376" s="304">
        <f t="shared" ca="1" si="162"/>
        <v>-84.572463710174759</v>
      </c>
      <c r="P376" s="310">
        <f t="shared" ca="1" si="163"/>
        <v>23</v>
      </c>
      <c r="Q376" s="304">
        <f t="shared" ca="1" si="164"/>
        <v>0</v>
      </c>
      <c r="R376" s="306">
        <f t="shared" ca="1" si="165"/>
        <v>0</v>
      </c>
      <c r="S376" s="307">
        <f t="shared" ca="1" si="166"/>
        <v>5.083000000000002</v>
      </c>
      <c r="T376" s="304">
        <f t="shared" ca="1" si="146"/>
        <v>49.86423000000002</v>
      </c>
      <c r="U376" s="311">
        <f t="shared" ca="1" si="147"/>
        <v>0</v>
      </c>
      <c r="V376" s="306">
        <f t="shared" ca="1" si="148"/>
        <v>1.2123571192568401</v>
      </c>
      <c r="W376" s="304">
        <f t="shared" ca="1" si="149"/>
        <v>41.57108780528069</v>
      </c>
      <c r="Y376" s="314" t="str">
        <f t="shared" ca="1" si="167"/>
        <v/>
      </c>
      <c r="Z376" s="315" t="str">
        <f t="shared" ca="1" si="168"/>
        <v/>
      </c>
      <c r="AA376" s="316" t="str">
        <f t="shared" ca="1" si="169"/>
        <v/>
      </c>
      <c r="AC376" s="310" t="e">
        <f t="shared" ca="1" si="170"/>
        <v>#N/A</v>
      </c>
      <c r="AD376" s="323" t="e">
        <f t="shared" ca="1" si="171"/>
        <v>#N/A</v>
      </c>
      <c r="AE376" s="324" t="e">
        <f t="shared" ca="1" si="150"/>
        <v>#N/A</v>
      </c>
      <c r="AG376" s="306">
        <f t="shared" ca="1" si="172"/>
        <v>1.6203708067279017</v>
      </c>
      <c r="AH376" s="304">
        <f t="shared" ca="1" si="173"/>
        <v>-8.1448210714715277</v>
      </c>
    </row>
    <row r="377" spans="1:34" x14ac:dyDescent="0.2">
      <c r="A377" s="347">
        <f t="shared" ca="1" si="151"/>
        <v>0.1</v>
      </c>
      <c r="B377" s="304">
        <f t="shared" ca="1" si="152"/>
        <v>28.300000000000136</v>
      </c>
      <c r="D377" s="306">
        <f t="shared" ca="1" si="153"/>
        <v>-0.77357364862326028</v>
      </c>
      <c r="E377" s="307">
        <f t="shared" ca="1" si="154"/>
        <v>-1.6682119074022648</v>
      </c>
      <c r="F377" s="304">
        <f t="shared" ca="1" si="155"/>
        <v>1.8388439732187736</v>
      </c>
      <c r="G377" s="306">
        <f t="shared" ca="1" si="156"/>
        <v>9.9182474999151786</v>
      </c>
      <c r="H377" s="307">
        <f t="shared" ca="1" si="157"/>
        <v>-105.36959898855467</v>
      </c>
      <c r="I377" s="304">
        <f t="shared" ca="1" si="158"/>
        <v>105.83536282584568</v>
      </c>
      <c r="J377" s="306">
        <f t="shared" ca="1" si="159"/>
        <v>738.24519724409538</v>
      </c>
      <c r="K377" s="307">
        <f t="shared" ca="1" si="160"/>
        <v>93.213919693686307</v>
      </c>
      <c r="L377" s="304">
        <f t="shared" ca="1" si="145"/>
        <v>744.10671686165711</v>
      </c>
      <c r="M377" s="306">
        <f t="shared" ca="1" si="161"/>
        <v>-1.4769446838791653</v>
      </c>
      <c r="N377" s="304">
        <f t="shared" ca="1" si="162"/>
        <v>-84.622696960559722</v>
      </c>
      <c r="P377" s="310">
        <f t="shared" ca="1" si="163"/>
        <v>23</v>
      </c>
      <c r="Q377" s="304">
        <f t="shared" ca="1" si="164"/>
        <v>0</v>
      </c>
      <c r="R377" s="306">
        <f t="shared" ca="1" si="165"/>
        <v>0</v>
      </c>
      <c r="S377" s="307">
        <f t="shared" ca="1" si="166"/>
        <v>5.083000000000002</v>
      </c>
      <c r="T377" s="304">
        <f t="shared" ca="1" si="146"/>
        <v>49.86423000000002</v>
      </c>
      <c r="U377" s="311">
        <f t="shared" ca="1" si="147"/>
        <v>0</v>
      </c>
      <c r="V377" s="306">
        <f t="shared" ca="1" si="148"/>
        <v>1.213634267063384</v>
      </c>
      <c r="W377" s="304">
        <f t="shared" ca="1" si="149"/>
        <v>41.740041328943626</v>
      </c>
      <c r="Y377" s="314" t="str">
        <f t="shared" ca="1" si="167"/>
        <v/>
      </c>
      <c r="Z377" s="315" t="str">
        <f t="shared" ca="1" si="168"/>
        <v/>
      </c>
      <c r="AA377" s="316" t="str">
        <f t="shared" ca="1" si="169"/>
        <v/>
      </c>
      <c r="AC377" s="310" t="e">
        <f t="shared" ca="1" si="170"/>
        <v>#N/A</v>
      </c>
      <c r="AD377" s="323" t="e">
        <f t="shared" ca="1" si="171"/>
        <v>#N/A</v>
      </c>
      <c r="AE377" s="324" t="e">
        <f t="shared" ca="1" si="150"/>
        <v>#N/A</v>
      </c>
      <c r="AG377" s="306">
        <f t="shared" ca="1" si="172"/>
        <v>1.5875628500571946</v>
      </c>
      <c r="AH377" s="304">
        <f t="shared" ca="1" si="173"/>
        <v>-8.1784552046587979</v>
      </c>
    </row>
    <row r="378" spans="1:34" x14ac:dyDescent="0.2">
      <c r="A378" s="347">
        <f t="shared" ca="1" si="151"/>
        <v>0.1</v>
      </c>
      <c r="B378" s="304">
        <f t="shared" ca="1" si="152"/>
        <v>28.400000000000137</v>
      </c>
      <c r="D378" s="306">
        <f t="shared" ca="1" si="153"/>
        <v>-0.76955010810558633</v>
      </c>
      <c r="E378" s="307">
        <f t="shared" ca="1" si="154"/>
        <v>-1.6344441577629567</v>
      </c>
      <c r="F378" s="304">
        <f t="shared" ca="1" si="155"/>
        <v>1.8065478332252318</v>
      </c>
      <c r="G378" s="306">
        <f t="shared" ca="1" si="156"/>
        <v>9.8412924891046192</v>
      </c>
      <c r="H378" s="307">
        <f t="shared" ca="1" si="157"/>
        <v>-105.53304340433097</v>
      </c>
      <c r="I378" s="304">
        <f t="shared" ca="1" si="158"/>
        <v>105.99091606376705</v>
      </c>
      <c r="J378" s="306">
        <f t="shared" ca="1" si="159"/>
        <v>739.23317424354639</v>
      </c>
      <c r="K378" s="307">
        <f t="shared" ca="1" si="160"/>
        <v>82.668787574042028</v>
      </c>
      <c r="L378" s="304">
        <f t="shared" ca="1" si="145"/>
        <v>743.84125614350774</v>
      </c>
      <c r="M378" s="306">
        <f t="shared" ca="1" si="161"/>
        <v>-1.4778120541939437</v>
      </c>
      <c r="N378" s="304">
        <f t="shared" ca="1" si="162"/>
        <v>-84.672393618871467</v>
      </c>
      <c r="P378" s="310">
        <f t="shared" ca="1" si="163"/>
        <v>23</v>
      </c>
      <c r="Q378" s="304">
        <f t="shared" ca="1" si="164"/>
        <v>0</v>
      </c>
      <c r="R378" s="306">
        <f t="shared" ca="1" si="165"/>
        <v>0</v>
      </c>
      <c r="S378" s="307">
        <f t="shared" ca="1" si="166"/>
        <v>5.083000000000002</v>
      </c>
      <c r="T378" s="304">
        <f t="shared" ca="1" si="146"/>
        <v>49.86423000000002</v>
      </c>
      <c r="U378" s="311">
        <f t="shared" ca="1" si="147"/>
        <v>0</v>
      </c>
      <c r="V378" s="306">
        <f t="shared" ca="1" si="148"/>
        <v>1.2149147602493091</v>
      </c>
      <c r="W378" s="304">
        <f t="shared" ca="1" si="149"/>
        <v>41.906996743508557</v>
      </c>
      <c r="Y378" s="314" t="str">
        <f t="shared" ca="1" si="167"/>
        <v/>
      </c>
      <c r="Z378" s="315" t="str">
        <f t="shared" ca="1" si="168"/>
        <v/>
      </c>
      <c r="AA378" s="316" t="str">
        <f t="shared" ca="1" si="169"/>
        <v/>
      </c>
      <c r="AC378" s="310" t="e">
        <f t="shared" ca="1" si="170"/>
        <v>#N/A</v>
      </c>
      <c r="AD378" s="323" t="e">
        <f t="shared" ca="1" si="171"/>
        <v>#N/A</v>
      </c>
      <c r="AE378" s="324" t="e">
        <f t="shared" ca="1" si="150"/>
        <v>#N/A</v>
      </c>
      <c r="AG378" s="306">
        <f t="shared" ca="1" si="172"/>
        <v>1.5551336778400273</v>
      </c>
      <c r="AH378" s="304">
        <f t="shared" ca="1" si="173"/>
        <v>-8.2116941430146788</v>
      </c>
    </row>
    <row r="379" spans="1:34" x14ac:dyDescent="0.2">
      <c r="A379" s="347">
        <f t="shared" ca="1" si="151"/>
        <v>0.1</v>
      </c>
      <c r="B379" s="304">
        <f t="shared" ca="1" si="152"/>
        <v>28.500000000000139</v>
      </c>
      <c r="D379" s="306">
        <f t="shared" ca="1" si="153"/>
        <v>-0.76550833263118345</v>
      </c>
      <c r="E379" s="307">
        <f t="shared" ca="1" si="154"/>
        <v>-1.6010757978809114</v>
      </c>
      <c r="F379" s="304">
        <f t="shared" ca="1" si="155"/>
        <v>1.7746680585077796</v>
      </c>
      <c r="G379" s="306">
        <f t="shared" ca="1" si="156"/>
        <v>9.764741655841501</v>
      </c>
      <c r="H379" s="307">
        <f t="shared" ca="1" si="157"/>
        <v>-105.69315098411906</v>
      </c>
      <c r="I379" s="304">
        <f t="shared" ca="1" si="158"/>
        <v>106.14326330275094</v>
      </c>
      <c r="J379" s="306">
        <f t="shared" ca="1" si="159"/>
        <v>740.21347595079374</v>
      </c>
      <c r="K379" s="307">
        <f t="shared" ca="1" si="160"/>
        <v>72.107477854619532</v>
      </c>
      <c r="L379" s="304">
        <f t="shared" ca="1" si="145"/>
        <v>743.71733766378657</v>
      </c>
      <c r="M379" s="306">
        <f t="shared" ca="1" si="161"/>
        <v>-1.4786701980922905</v>
      </c>
      <c r="N379" s="304">
        <f t="shared" ca="1" si="162"/>
        <v>-84.721561642461637</v>
      </c>
      <c r="P379" s="310">
        <f t="shared" ca="1" si="163"/>
        <v>23</v>
      </c>
      <c r="Q379" s="304">
        <f t="shared" ca="1" si="164"/>
        <v>0</v>
      </c>
      <c r="R379" s="306">
        <f t="shared" ca="1" si="165"/>
        <v>0</v>
      </c>
      <c r="S379" s="307">
        <f t="shared" ca="1" si="166"/>
        <v>5.083000000000002</v>
      </c>
      <c r="T379" s="304">
        <f t="shared" ca="1" si="146"/>
        <v>49.86423000000002</v>
      </c>
      <c r="U379" s="311">
        <f t="shared" ca="1" si="147"/>
        <v>0</v>
      </c>
      <c r="V379" s="306">
        <f t="shared" ca="1" si="148"/>
        <v>1.216198566421651</v>
      </c>
      <c r="W379" s="304">
        <f t="shared" ca="1" si="149"/>
        <v>42.071965028182071</v>
      </c>
      <c r="Y379" s="314" t="str">
        <f t="shared" ca="1" si="167"/>
        <v/>
      </c>
      <c r="Z379" s="315" t="str">
        <f t="shared" ca="1" si="168"/>
        <v/>
      </c>
      <c r="AA379" s="316" t="str">
        <f t="shared" ca="1" si="169"/>
        <v/>
      </c>
      <c r="AC379" s="310" t="e">
        <f t="shared" ca="1" si="170"/>
        <v>#N/A</v>
      </c>
      <c r="AD379" s="323" t="e">
        <f t="shared" ca="1" si="171"/>
        <v>#N/A</v>
      </c>
      <c r="AE379" s="324" t="e">
        <f t="shared" ca="1" si="150"/>
        <v>#N/A</v>
      </c>
      <c r="AG379" s="306">
        <f t="shared" ca="1" si="172"/>
        <v>1.523081564555941</v>
      </c>
      <c r="AH379" s="304">
        <f t="shared" ca="1" si="173"/>
        <v>-8.2445399849515137</v>
      </c>
    </row>
    <row r="380" spans="1:34" x14ac:dyDescent="0.2">
      <c r="A380" s="347">
        <f t="shared" ca="1" si="151"/>
        <v>0.1</v>
      </c>
      <c r="B380" s="304">
        <f t="shared" ca="1" si="152"/>
        <v>28.60000000000014</v>
      </c>
      <c r="D380" s="306">
        <f t="shared" ca="1" si="153"/>
        <v>-0.76144933062291764</v>
      </c>
      <c r="E380" s="307">
        <f t="shared" ca="1" si="154"/>
        <v>-1.568104627362116</v>
      </c>
      <c r="F380" s="304">
        <f t="shared" ca="1" si="155"/>
        <v>1.7432031452072849</v>
      </c>
      <c r="G380" s="306">
        <f t="shared" ca="1" si="156"/>
        <v>9.6885967227792094</v>
      </c>
      <c r="H380" s="307">
        <f t="shared" ca="1" si="157"/>
        <v>-105.84996144685527</v>
      </c>
      <c r="I380" s="304">
        <f t="shared" ca="1" si="158"/>
        <v>106.29244208671375</v>
      </c>
      <c r="J380" s="306">
        <f t="shared" ca="1" si="159"/>
        <v>741.18614286972479</v>
      </c>
      <c r="K380" s="307">
        <f t="shared" ca="1" si="160"/>
        <v>61.530322233070812</v>
      </c>
      <c r="L380" s="304">
        <f t="shared" ca="1" si="145"/>
        <v>743.73575881236582</v>
      </c>
      <c r="M380" s="306">
        <f t="shared" ca="1" si="161"/>
        <v>-1.4795192514748909</v>
      </c>
      <c r="N380" s="304">
        <f t="shared" ca="1" si="162"/>
        <v>-84.770208817865949</v>
      </c>
      <c r="P380" s="310">
        <f t="shared" ca="1" si="163"/>
        <v>23</v>
      </c>
      <c r="Q380" s="304">
        <f t="shared" ca="1" si="164"/>
        <v>0</v>
      </c>
      <c r="R380" s="306">
        <f t="shared" ca="1" si="165"/>
        <v>0</v>
      </c>
      <c r="S380" s="307">
        <f t="shared" ca="1" si="166"/>
        <v>5.083000000000002</v>
      </c>
      <c r="T380" s="304">
        <f t="shared" ca="1" si="146"/>
        <v>49.86423000000002</v>
      </c>
      <c r="U380" s="311">
        <f t="shared" ca="1" si="147"/>
        <v>0</v>
      </c>
      <c r="V380" s="306">
        <f t="shared" ca="1" si="148"/>
        <v>1.217485653534419</v>
      </c>
      <c r="W380" s="304">
        <f t="shared" ca="1" si="149"/>
        <v>42.234957462088708</v>
      </c>
      <c r="Y380" s="314" t="str">
        <f t="shared" ca="1" si="167"/>
        <v/>
      </c>
      <c r="Z380" s="315" t="str">
        <f t="shared" ca="1" si="168"/>
        <v/>
      </c>
      <c r="AA380" s="316" t="str">
        <f t="shared" ca="1" si="169"/>
        <v/>
      </c>
      <c r="AC380" s="310" t="e">
        <f t="shared" ca="1" si="170"/>
        <v>#N/A</v>
      </c>
      <c r="AD380" s="323" t="e">
        <f t="shared" ca="1" si="171"/>
        <v>#N/A</v>
      </c>
      <c r="AE380" s="324" t="e">
        <f t="shared" ca="1" si="150"/>
        <v>#N/A</v>
      </c>
      <c r="AG380" s="306">
        <f t="shared" ca="1" si="172"/>
        <v>1.4914047129831456</v>
      </c>
      <c r="AH380" s="304">
        <f t="shared" ca="1" si="173"/>
        <v>-8.2769948904548603</v>
      </c>
    </row>
    <row r="381" spans="1:34" x14ac:dyDescent="0.2">
      <c r="A381" s="347">
        <f t="shared" ca="1" si="151"/>
        <v>0.1</v>
      </c>
      <c r="B381" s="304">
        <f t="shared" ca="1" si="152"/>
        <v>28.700000000000141</v>
      </c>
      <c r="D381" s="306">
        <f t="shared" ca="1" si="153"/>
        <v>-0.75737409315511117</v>
      </c>
      <c r="E381" s="307">
        <f t="shared" ca="1" si="154"/>
        <v>-1.5355283860840778</v>
      </c>
      <c r="F381" s="304">
        <f t="shared" ca="1" si="155"/>
        <v>1.7121515532955895</v>
      </c>
      <c r="G381" s="306">
        <f t="shared" ca="1" si="156"/>
        <v>9.6128593134636979</v>
      </c>
      <c r="H381" s="307">
        <f t="shared" ca="1" si="157"/>
        <v>-106.00351428546368</v>
      </c>
      <c r="I381" s="304">
        <f t="shared" ca="1" si="158"/>
        <v>106.4384897724923</v>
      </c>
      <c r="J381" s="306">
        <f t="shared" ca="1" si="159"/>
        <v>742.15121567153699</v>
      </c>
      <c r="K381" s="307">
        <f t="shared" ca="1" si="160"/>
        <v>50.937648446454865</v>
      </c>
      <c r="L381" s="304">
        <f t="shared" ca="1" si="145"/>
        <v>743.89721800259133</v>
      </c>
      <c r="M381" s="306">
        <f t="shared" ca="1" si="161"/>
        <v>-1.4803593473430507</v>
      </c>
      <c r="N381" s="304">
        <f t="shared" ca="1" si="162"/>
        <v>-84.818342765497889</v>
      </c>
      <c r="P381" s="310">
        <f t="shared" ca="1" si="163"/>
        <v>23</v>
      </c>
      <c r="Q381" s="304">
        <f t="shared" ca="1" si="164"/>
        <v>0</v>
      </c>
      <c r="R381" s="306">
        <f t="shared" ca="1" si="165"/>
        <v>0</v>
      </c>
      <c r="S381" s="307">
        <f t="shared" ca="1" si="166"/>
        <v>5.083000000000002</v>
      </c>
      <c r="T381" s="304">
        <f t="shared" ca="1" si="146"/>
        <v>49.86423000000002</v>
      </c>
      <c r="U381" s="311">
        <f t="shared" ca="1" si="147"/>
        <v>0</v>
      </c>
      <c r="V381" s="306">
        <f t="shared" ca="1" si="148"/>
        <v>1.2187759898872619</v>
      </c>
      <c r="W381" s="304">
        <f t="shared" ca="1" si="149"/>
        <v>42.395985611451792</v>
      </c>
      <c r="Y381" s="314" t="str">
        <f t="shared" ca="1" si="167"/>
        <v/>
      </c>
      <c r="Z381" s="315" t="str">
        <f t="shared" ca="1" si="168"/>
        <v/>
      </c>
      <c r="AA381" s="316" t="str">
        <f t="shared" ca="1" si="169"/>
        <v/>
      </c>
      <c r="AC381" s="310" t="e">
        <f t="shared" ca="1" si="170"/>
        <v>#N/A</v>
      </c>
      <c r="AD381" s="323" t="e">
        <f t="shared" ca="1" si="171"/>
        <v>#N/A</v>
      </c>
      <c r="AE381" s="324" t="e">
        <f t="shared" ca="1" si="150"/>
        <v>#N/A</v>
      </c>
      <c r="AG381" s="306">
        <f t="shared" ca="1" si="172"/>
        <v>1.4601012570967207</v>
      </c>
      <c r="AH381" s="304">
        <f t="shared" ca="1" si="173"/>
        <v>-8.3090610785144001</v>
      </c>
    </row>
    <row r="382" spans="1:34" x14ac:dyDescent="0.2">
      <c r="A382" s="347">
        <f t="shared" ca="1" si="151"/>
        <v>0.1</v>
      </c>
      <c r="B382" s="304">
        <f t="shared" ca="1" si="152"/>
        <v>28.800000000000143</v>
      </c>
      <c r="D382" s="306">
        <f t="shared" ca="1" si="153"/>
        <v>-0.75328359401133582</v>
      </c>
      <c r="E382" s="307">
        <f t="shared" ca="1" si="154"/>
        <v>-1.5033447567522593</v>
      </c>
      <c r="F382" s="304">
        <f t="shared" ca="1" si="155"/>
        <v>1.6815117099387518</v>
      </c>
      <c r="G382" s="306">
        <f t="shared" ca="1" si="156"/>
        <v>9.5375309540625643</v>
      </c>
      <c r="H382" s="307">
        <f t="shared" ca="1" si="157"/>
        <v>-106.1538487611389</v>
      </c>
      <c r="I382" s="304">
        <f t="shared" ca="1" si="158"/>
        <v>106.58144352326278</v>
      </c>
      <c r="J382" s="306">
        <f t="shared" ca="1" si="159"/>
        <v>743.10873518491326</v>
      </c>
      <c r="K382" s="307">
        <f t="shared" ca="1" si="160"/>
        <v>40.329780294124731</v>
      </c>
      <c r="L382" s="304">
        <f t="shared" ca="1" si="145"/>
        <v>744.20231354564726</v>
      </c>
      <c r="M382" s="306">
        <f t="shared" ca="1" si="161"/>
        <v>-1.4811906158779755</v>
      </c>
      <c r="N382" s="304">
        <f t="shared" ca="1" si="162"/>
        <v>-84.865970944191105</v>
      </c>
      <c r="P382" s="310">
        <f t="shared" ca="1" si="163"/>
        <v>23</v>
      </c>
      <c r="Q382" s="304">
        <f t="shared" ca="1" si="164"/>
        <v>0</v>
      </c>
      <c r="R382" s="306">
        <f t="shared" ca="1" si="165"/>
        <v>0</v>
      </c>
      <c r="S382" s="307">
        <f t="shared" ca="1" si="166"/>
        <v>5.083000000000002</v>
      </c>
      <c r="T382" s="304">
        <f t="shared" ca="1" si="146"/>
        <v>49.86423000000002</v>
      </c>
      <c r="U382" s="311">
        <f t="shared" ca="1" si="147"/>
        <v>0</v>
      </c>
      <c r="V382" s="306">
        <f t="shared" ca="1" si="148"/>
        <v>1.2200695441240812</v>
      </c>
      <c r="W382" s="304">
        <f t="shared" ca="1" si="149"/>
        <v>42.555061317015266</v>
      </c>
      <c r="Y382" s="314" t="str">
        <f t="shared" ca="1" si="167"/>
        <v/>
      </c>
      <c r="Z382" s="315" t="str">
        <f t="shared" ca="1" si="168"/>
        <v/>
      </c>
      <c r="AA382" s="316" t="str">
        <f t="shared" ca="1" si="169"/>
        <v/>
      </c>
      <c r="AC382" s="310" t="e">
        <f t="shared" ca="1" si="170"/>
        <v>#N/A</v>
      </c>
      <c r="AD382" s="323" t="e">
        <f t="shared" ca="1" si="171"/>
        <v>#N/A</v>
      </c>
      <c r="AE382" s="324" t="e">
        <f t="shared" ca="1" si="150"/>
        <v>#N/A</v>
      </c>
      <c r="AG382" s="306">
        <f t="shared" ca="1" si="172"/>
        <v>1.42916926490728</v>
      </c>
      <c r="AH382" s="304">
        <f t="shared" ca="1" si="173"/>
        <v>-8.3407408246019621</v>
      </c>
    </row>
    <row r="383" spans="1:34" x14ac:dyDescent="0.2">
      <c r="A383" s="347">
        <f t="shared" ca="1" si="151"/>
        <v>0.1</v>
      </c>
      <c r="B383" s="304">
        <f t="shared" ca="1" si="152"/>
        <v>28.900000000000144</v>
      </c>
      <c r="D383" s="306">
        <f t="shared" ca="1" si="153"/>
        <v>-0.74917878975026286</v>
      </c>
      <c r="E383" s="307">
        <f t="shared" ca="1" si="154"/>
        <v>-1.4715513674084573</v>
      </c>
      <c r="F383" s="304">
        <f t="shared" ca="1" si="155"/>
        <v>1.6512820128413466</v>
      </c>
      <c r="G383" s="306">
        <f t="shared" ca="1" si="156"/>
        <v>9.4626130750875372</v>
      </c>
      <c r="H383" s="307">
        <f t="shared" ca="1" si="157"/>
        <v>-106.30100389787975</v>
      </c>
      <c r="I383" s="304">
        <f t="shared" ca="1" si="158"/>
        <v>106.72134030223695</v>
      </c>
      <c r="J383" s="306">
        <f t="shared" ca="1" si="159"/>
        <v>744.0587423863708</v>
      </c>
      <c r="K383" s="307">
        <f t="shared" ca="1" si="160"/>
        <v>29.7070376611738</v>
      </c>
      <c r="L383" s="304">
        <f t="shared" ca="1" si="145"/>
        <v>744.65154280924583</v>
      </c>
      <c r="M383" s="306">
        <f t="shared" ca="1" si="161"/>
        <v>-1.4820131845175102</v>
      </c>
      <c r="N383" s="304">
        <f t="shared" ca="1" si="162"/>
        <v>-84.913100655596253</v>
      </c>
      <c r="P383" s="310">
        <f t="shared" ca="1" si="163"/>
        <v>23</v>
      </c>
      <c r="Q383" s="304">
        <f t="shared" ca="1" si="164"/>
        <v>0</v>
      </c>
      <c r="R383" s="306">
        <f t="shared" ca="1" si="165"/>
        <v>0</v>
      </c>
      <c r="S383" s="307">
        <f t="shared" ca="1" si="166"/>
        <v>5.083000000000002</v>
      </c>
      <c r="T383" s="304">
        <f t="shared" ca="1" si="146"/>
        <v>49.86423000000002</v>
      </c>
      <c r="U383" s="311">
        <f t="shared" ca="1" si="147"/>
        <v>0</v>
      </c>
      <c r="V383" s="306">
        <f t="shared" ca="1" si="148"/>
        <v>1.2213662852315801</v>
      </c>
      <c r="W383" s="304">
        <f t="shared" ca="1" si="149"/>
        <v>42.712196681706587</v>
      </c>
      <c r="Y383" s="314" t="str">
        <f t="shared" ca="1" si="167"/>
        <v/>
      </c>
      <c r="Z383" s="315" t="str">
        <f t="shared" ca="1" si="168"/>
        <v/>
      </c>
      <c r="AA383" s="316" t="str">
        <f t="shared" ca="1" si="169"/>
        <v/>
      </c>
      <c r="AC383" s="310" t="e">
        <f t="shared" ca="1" si="170"/>
        <v>#N/A</v>
      </c>
      <c r="AD383" s="323" t="e">
        <f t="shared" ca="1" si="171"/>
        <v>#N/A</v>
      </c>
      <c r="AE383" s="324" t="e">
        <f t="shared" ca="1" si="150"/>
        <v>#N/A</v>
      </c>
      <c r="AG383" s="306">
        <f t="shared" ca="1" si="172"/>
        <v>1.3986067412402683</v>
      </c>
      <c r="AH383" s="304">
        <f t="shared" ca="1" si="173"/>
        <v>-8.3720364581969804</v>
      </c>
    </row>
    <row r="384" spans="1:34" x14ac:dyDescent="0.2">
      <c r="A384" s="347">
        <f t="shared" ca="1" si="151"/>
        <v>0.1</v>
      </c>
      <c r="B384" s="304">
        <f t="shared" ca="1" si="152"/>
        <v>29.000000000000146</v>
      </c>
      <c r="D384" s="306">
        <f t="shared" ca="1" si="153"/>
        <v>-0.7450606197791656</v>
      </c>
      <c r="E384" s="307">
        <f t="shared" ca="1" si="154"/>
        <v>-1.4401457938911761</v>
      </c>
      <c r="F384" s="304">
        <f t="shared" ca="1" si="155"/>
        <v>1.621460833572048</v>
      </c>
      <c r="G384" s="306">
        <f t="shared" ca="1" si="156"/>
        <v>9.3881070131096198</v>
      </c>
      <c r="H384" s="307">
        <f t="shared" ca="1" si="157"/>
        <v>-106.44501847726887</v>
      </c>
      <c r="I384" s="304">
        <f t="shared" ca="1" si="158"/>
        <v>106.85821686662992</v>
      </c>
      <c r="J384" s="306">
        <f t="shared" ca="1" si="159"/>
        <v>745.00127839078061</v>
      </c>
      <c r="K384" s="307">
        <f t="shared" ca="1" si="160"/>
        <v>19.069736542416365</v>
      </c>
      <c r="L384" s="304">
        <f t="shared" ca="1" si="145"/>
        <v>745.24530166630007</v>
      </c>
      <c r="M384" s="306">
        <f t="shared" ca="1" si="161"/>
        <v>-1.4828271780304259</v>
      </c>
      <c r="N384" s="304">
        <f t="shared" ca="1" si="162"/>
        <v>-84.959739048437342</v>
      </c>
      <c r="P384" s="310">
        <f t="shared" ca="1" si="163"/>
        <v>23</v>
      </c>
      <c r="Q384" s="304">
        <f t="shared" ca="1" si="164"/>
        <v>0</v>
      </c>
      <c r="R384" s="306">
        <f t="shared" ca="1" si="165"/>
        <v>0</v>
      </c>
      <c r="S384" s="307">
        <f t="shared" ca="1" si="166"/>
        <v>5.083000000000002</v>
      </c>
      <c r="T384" s="304">
        <f t="shared" ca="1" si="146"/>
        <v>49.86423000000002</v>
      </c>
      <c r="U384" s="311">
        <f t="shared" ca="1" si="147"/>
        <v>0</v>
      </c>
      <c r="V384" s="306">
        <f t="shared" ca="1" si="148"/>
        <v>1.2226661825377612</v>
      </c>
      <c r="W384" s="304">
        <f t="shared" ca="1" si="149"/>
        <v>42.867404058541723</v>
      </c>
      <c r="Y384" s="314" t="str">
        <f t="shared" ca="1" si="167"/>
        <v/>
      </c>
      <c r="Z384" s="315" t="str">
        <f t="shared" ca="1" si="168"/>
        <v/>
      </c>
      <c r="AA384" s="316" t="str">
        <f t="shared" ca="1" si="169"/>
        <v/>
      </c>
      <c r="AC384" s="310">
        <f t="shared" ca="1" si="170"/>
        <v>29.000000000000146</v>
      </c>
      <c r="AD384" s="323">
        <f t="shared" ca="1" si="171"/>
        <v>745.00127839078061</v>
      </c>
      <c r="AE384" s="324" t="e">
        <f t="shared" ca="1" si="150"/>
        <v>#N/A</v>
      </c>
      <c r="AG384" s="306">
        <f t="shared" ca="1" si="172"/>
        <v>1.3684116304564871</v>
      </c>
      <c r="AH384" s="304">
        <f t="shared" ca="1" si="173"/>
        <v>-8.4029503603593483</v>
      </c>
    </row>
    <row r="385" spans="1:34" x14ac:dyDescent="0.2">
      <c r="A385" s="347">
        <f t="shared" ca="1" si="151"/>
        <v>0.1</v>
      </c>
      <c r="B385" s="304">
        <f t="shared" ca="1" si="152"/>
        <v>29.100000000000147</v>
      </c>
      <c r="D385" s="306">
        <f t="shared" ca="1" si="153"/>
        <v>-0.74093000643480444</v>
      </c>
      <c r="E385" s="307">
        <f t="shared" ca="1" si="154"/>
        <v>-1.4091255622477021</v>
      </c>
      <c r="F385" s="304">
        <f t="shared" ca="1" si="155"/>
        <v>1.5920465208703489</v>
      </c>
      <c r="G385" s="306">
        <f t="shared" ca="1" si="156"/>
        <v>9.3140140124661386</v>
      </c>
      <c r="H385" s="307">
        <f t="shared" ca="1" si="157"/>
        <v>-106.58593103349365</v>
      </c>
      <c r="I385" s="304">
        <f t="shared" ca="1" si="158"/>
        <v>106.99210976189356</v>
      </c>
      <c r="J385" s="306">
        <f t="shared" ca="1" si="159"/>
        <v>745.93638444205942</v>
      </c>
      <c r="K385" s="307">
        <f t="shared" ca="1" si="160"/>
        <v>8.418189066878238</v>
      </c>
      <c r="L385" s="304">
        <f t="shared" ca="1" si="145"/>
        <v>745.98388423722497</v>
      </c>
      <c r="M385" s="306">
        <f t="shared" ca="1" si="161"/>
        <v>-1.4836327185883471</v>
      </c>
      <c r="N385" s="304">
        <f t="shared" ca="1" si="162"/>
        <v>-85.005893122632855</v>
      </c>
      <c r="P385" s="310">
        <f t="shared" ca="1" si="163"/>
        <v>23</v>
      </c>
      <c r="Q385" s="304">
        <f t="shared" ca="1" si="164"/>
        <v>0</v>
      </c>
      <c r="R385" s="306">
        <f t="shared" ca="1" si="165"/>
        <v>0</v>
      </c>
      <c r="S385" s="307">
        <f t="shared" ca="1" si="166"/>
        <v>5.083000000000002</v>
      </c>
      <c r="T385" s="304">
        <f t="shared" ca="1" si="146"/>
        <v>49.86423000000002</v>
      </c>
      <c r="U385" s="311">
        <f t="shared" ca="1" si="147"/>
        <v>0</v>
      </c>
      <c r="V385" s="306">
        <f t="shared" ca="1" si="148"/>
        <v>1.2239692057103686</v>
      </c>
      <c r="W385" s="304">
        <f t="shared" ca="1" si="149"/>
        <v>43.020696038772186</v>
      </c>
      <c r="Y385" s="314" t="str">
        <f t="shared" ca="1" si="167"/>
        <v/>
      </c>
      <c r="Z385" s="315" t="str">
        <f t="shared" ca="1" si="168"/>
        <v/>
      </c>
      <c r="AA385" s="316" t="str">
        <f t="shared" ca="1" si="169"/>
        <v/>
      </c>
      <c r="AC385" s="310" t="e">
        <f t="shared" ca="1" si="170"/>
        <v>#N/A</v>
      </c>
      <c r="AD385" s="323" t="e">
        <f t="shared" ca="1" si="171"/>
        <v>#N/A</v>
      </c>
      <c r="AE385" s="324" t="e">
        <f t="shared" ca="1" si="150"/>
        <v>#N/A</v>
      </c>
      <c r="AG385" s="306">
        <f t="shared" ca="1" si="172"/>
        <v>1.338581819114026</v>
      </c>
      <c r="AH385" s="304">
        <f t="shared" ca="1" si="173"/>
        <v>-8.433484961349933</v>
      </c>
    </row>
    <row r="386" spans="1:34" x14ac:dyDescent="0.2">
      <c r="A386" s="347">
        <f t="shared" ca="1" si="151"/>
        <v>0.1</v>
      </c>
      <c r="B386" s="304">
        <f t="shared" ca="1" si="152"/>
        <v>29.200000000000149</v>
      </c>
      <c r="D386" s="306">
        <f t="shared" ca="1" si="153"/>
        <v>-0.73678785507132361</v>
      </c>
      <c r="E386" s="307">
        <f t="shared" ca="1" si="154"/>
        <v>-1.3784881510979723</v>
      </c>
      <c r="F386" s="304">
        <f t="shared" ca="1" si="155"/>
        <v>1.5630374039344381</v>
      </c>
      <c r="G386" s="306">
        <f t="shared" ca="1" si="156"/>
        <v>9.2403352269590062</v>
      </c>
      <c r="H386" s="307">
        <f t="shared" ca="1" si="157"/>
        <v>-106.72377984860344</v>
      </c>
      <c r="I386" s="304">
        <f t="shared" ca="1" si="158"/>
        <v>107.12305531620984</v>
      </c>
      <c r="J386" s="306">
        <f t="shared" ca="1" si="159"/>
        <v>746.86410190403069</v>
      </c>
      <c r="K386" s="307">
        <f t="shared" ca="1" si="160"/>
        <v>-2.247296477226616</v>
      </c>
      <c r="L386" s="304">
        <f t="shared" ca="1" si="145"/>
        <v>746.86748292744062</v>
      </c>
      <c r="M386" s="306">
        <f t="shared" ca="1" si="161"/>
        <v>-1.4844299258354046</v>
      </c>
      <c r="N386" s="304">
        <f t="shared" ca="1" si="162"/>
        <v>-85.051569733286485</v>
      </c>
      <c r="P386" s="310">
        <f t="shared" ca="1" si="163"/>
        <v>23</v>
      </c>
      <c r="Q386" s="304">
        <f t="shared" ca="1" si="164"/>
        <v>0</v>
      </c>
      <c r="R386" s="306">
        <f t="shared" ca="1" si="165"/>
        <v>0</v>
      </c>
      <c r="S386" s="307">
        <f t="shared" ca="1" si="166"/>
        <v>5.083000000000002</v>
      </c>
      <c r="T386" s="304">
        <f t="shared" ca="1" si="146"/>
        <v>49.86423000000002</v>
      </c>
      <c r="U386" s="311">
        <f t="shared" ca="1" si="147"/>
        <v>0</v>
      </c>
      <c r="V386" s="306">
        <f t="shared" ca="1" si="148"/>
        <v>1.2252753247552781</v>
      </c>
      <c r="W386" s="304">
        <f t="shared" ca="1" si="149"/>
        <v>43.172085440273932</v>
      </c>
      <c r="Y386" s="314" t="str">
        <f t="shared" ca="1" si="167"/>
        <v>Impact balistique</v>
      </c>
      <c r="Z386" s="315" t="str">
        <f t="shared" ca="1" si="168"/>
        <v/>
      </c>
      <c r="AA386" s="316" t="str">
        <f t="shared" ca="1" si="169"/>
        <v/>
      </c>
      <c r="AC386" s="310" t="e">
        <f t="shared" ca="1" si="170"/>
        <v>#N/A</v>
      </c>
      <c r="AD386" s="323" t="e">
        <f t="shared" ca="1" si="171"/>
        <v>#N/A</v>
      </c>
      <c r="AE386" s="324" t="e">
        <f t="shared" ca="1" si="150"/>
        <v>#N/A</v>
      </c>
      <c r="AG386" s="306">
        <f t="shared" ca="1" si="172"/>
        <v>1.3091151385721442</v>
      </c>
      <c r="AH386" s="304">
        <f t="shared" ca="1" si="173"/>
        <v>-8.4636427382986756</v>
      </c>
    </row>
    <row r="387" spans="1:34" x14ac:dyDescent="0.2">
      <c r="A387" s="347">
        <f t="shared" ca="1" si="151"/>
        <v>1E-4</v>
      </c>
      <c r="B387" s="304">
        <f t="shared" ca="1" si="152"/>
        <v>29.200100000000148</v>
      </c>
      <c r="D387" s="306">
        <f t="shared" ca="1" si="153"/>
        <v>-0.73263505415485175</v>
      </c>
      <c r="E387" s="307">
        <f t="shared" ca="1" si="154"/>
        <v>-1.3482309939501835</v>
      </c>
      <c r="F387" s="304">
        <f t="shared" ca="1" si="155"/>
        <v>1.534431795689982</v>
      </c>
      <c r="G387" s="306">
        <f t="shared" ca="1" si="156"/>
        <v>9.240261963453591</v>
      </c>
      <c r="H387" s="307">
        <f t="shared" ca="1" si="157"/>
        <v>-106.72391467170284</v>
      </c>
      <c r="I387" s="304">
        <f t="shared" ca="1" si="158"/>
        <v>107.12318331718004</v>
      </c>
      <c r="J387" s="306">
        <f t="shared" ca="1" si="159"/>
        <v>746.86410190403069</v>
      </c>
      <c r="K387" s="307">
        <f t="shared" ca="1" si="160"/>
        <v>-2.2579688619526315</v>
      </c>
      <c r="L387" s="304">
        <f t="shared" ca="1" si="145"/>
        <v>746.86751511650039</v>
      </c>
      <c r="M387" s="306">
        <f t="shared" ca="1" si="161"/>
        <v>-1.4844307157685075</v>
      </c>
      <c r="N387" s="304">
        <f t="shared" ca="1" si="162"/>
        <v>-85.051614993119387</v>
      </c>
      <c r="P387" s="310">
        <f t="shared" ca="1" si="163"/>
        <v>23</v>
      </c>
      <c r="Q387" s="304">
        <f t="shared" ca="1" si="164"/>
        <v>0</v>
      </c>
      <c r="R387" s="306">
        <f t="shared" ca="1" si="165"/>
        <v>0</v>
      </c>
      <c r="S387" s="307">
        <f t="shared" ca="1" si="166"/>
        <v>5.083000000000002</v>
      </c>
      <c r="T387" s="304">
        <f t="shared" ca="1" si="146"/>
        <v>49.86423000000002</v>
      </c>
      <c r="U387" s="311">
        <f t="shared" ca="1" si="147"/>
        <v>0</v>
      </c>
      <c r="V387" s="306">
        <f t="shared" ca="1" si="148"/>
        <v>1.2252766324169584</v>
      </c>
      <c r="W387" s="304">
        <f t="shared" ca="1" si="149"/>
        <v>43.172234687734047</v>
      </c>
      <c r="Y387" s="314" t="str">
        <f t="shared" ca="1" si="167"/>
        <v/>
      </c>
      <c r="Z387" s="315" t="str">
        <f t="shared" ca="1" si="168"/>
        <v/>
      </c>
      <c r="AA387" s="316" t="str">
        <f t="shared" ca="1" si="169"/>
        <v/>
      </c>
      <c r="AC387" s="310" t="e">
        <f t="shared" ca="1" si="170"/>
        <v>#N/A</v>
      </c>
      <c r="AD387" s="323" t="e">
        <f t="shared" ca="1" si="171"/>
        <v>#N/A</v>
      </c>
      <c r="AE387" s="324" t="e">
        <f t="shared" ca="1" si="150"/>
        <v>#N/A</v>
      </c>
      <c r="AG387" s="306">
        <f t="shared" ca="1" si="172"/>
        <v>1.2800093675375432</v>
      </c>
      <c r="AH387" s="304">
        <f t="shared" ca="1" si="173"/>
        <v>-8.4934262129203066</v>
      </c>
    </row>
    <row r="388" spans="1:34" x14ac:dyDescent="0.2">
      <c r="A388" s="347">
        <f t="shared" ca="1" si="151"/>
        <v>1E-4</v>
      </c>
      <c r="B388" s="304">
        <f t="shared" ca="1" si="152"/>
        <v>29.200200000000148</v>
      </c>
      <c r="D388" s="306">
        <f t="shared" ca="1" si="153"/>
        <v>-0.73263090264593655</v>
      </c>
      <c r="E388" s="307">
        <f t="shared" ca="1" si="154"/>
        <v>-1.34820116257678</v>
      </c>
      <c r="F388" s="304">
        <f t="shared" ca="1" si="155"/>
        <v>1.5344036021481378</v>
      </c>
      <c r="G388" s="306">
        <f t="shared" ca="1" si="156"/>
        <v>9.2401887003633263</v>
      </c>
      <c r="H388" s="307">
        <f t="shared" ca="1" si="157"/>
        <v>-106.7240494918191</v>
      </c>
      <c r="I388" s="304">
        <f t="shared" ca="1" si="158"/>
        <v>107.12331131528084</v>
      </c>
      <c r="J388" s="306">
        <f t="shared" ca="1" si="159"/>
        <v>746.86410190403069</v>
      </c>
      <c r="K388" s="307">
        <f t="shared" ca="1" si="160"/>
        <v>-2.2686412601608077</v>
      </c>
      <c r="L388" s="304">
        <f t="shared" ref="L388:L451" ca="1" si="174">SQRT(pos_x^2+pos_z^2)</f>
        <v>746.86754745810299</v>
      </c>
      <c r="M388" s="306">
        <f t="shared" ca="1" si="161"/>
        <v>-1.4844315056934594</v>
      </c>
      <c r="N388" s="304">
        <f t="shared" ca="1" si="162"/>
        <v>-85.051660252485249</v>
      </c>
      <c r="P388" s="310">
        <f t="shared" ca="1" si="163"/>
        <v>23</v>
      </c>
      <c r="Q388" s="304">
        <f t="shared" ca="1" si="164"/>
        <v>0</v>
      </c>
      <c r="R388" s="306">
        <f t="shared" ca="1" si="165"/>
        <v>0</v>
      </c>
      <c r="S388" s="307">
        <f t="shared" ca="1" si="166"/>
        <v>5.083000000000002</v>
      </c>
      <c r="T388" s="304">
        <f t="shared" ref="T388:T451" ca="1" si="175">m*g</f>
        <v>49.86423000000002</v>
      </c>
      <c r="U388" s="311">
        <f t="shared" ref="U388:U451" ca="1" si="176">IF(pos_xz&lt;L_rampe,Poids*COS(Beta),0)</f>
        <v>0</v>
      </c>
      <c r="V388" s="306">
        <f t="shared" ref="V388:V451" ca="1" si="177">Rho_moyen*(20000-Alt_rampe-pos_z)/(20000+Alt_rampe+pos_z)</f>
        <v>1.2252779400816867</v>
      </c>
      <c r="W388" s="304">
        <f t="shared" ref="W388:W451" ca="1" si="178">1/2*Rho*Sref*Cx*vit_xz^2</f>
        <v>43.172383933332249</v>
      </c>
      <c r="Y388" s="314" t="str">
        <f t="shared" ca="1" si="167"/>
        <v/>
      </c>
      <c r="Z388" s="315" t="str">
        <f t="shared" ca="1" si="168"/>
        <v/>
      </c>
      <c r="AA388" s="316" t="str">
        <f t="shared" ca="1" si="169"/>
        <v/>
      </c>
      <c r="AC388" s="310" t="e">
        <f t="shared" ca="1" si="170"/>
        <v>#N/A</v>
      </c>
      <c r="AD388" s="323" t="e">
        <f t="shared" ca="1" si="171"/>
        <v>#N/A</v>
      </c>
      <c r="AE388" s="324" t="e">
        <f t="shared" ref="AE388:AE451" ca="1" si="179">IF(t&lt;T_para, pos_z, NA())</f>
        <v>#N/A</v>
      </c>
      <c r="AG388" s="306">
        <f t="shared" ca="1" si="172"/>
        <v>1.2799806738955901</v>
      </c>
      <c r="AH388" s="304">
        <f t="shared" ca="1" si="173"/>
        <v>-8.4934555750017768</v>
      </c>
    </row>
    <row r="389" spans="1:34" x14ac:dyDescent="0.2">
      <c r="A389" s="347">
        <f t="shared" ref="A389:A452" ca="1" si="180">IF(B388+0.01&lt;=T_ini+ROUNDUP(Temps_fin_propu,0), 0.01, IF(K388&gt;0, 0.1, 0.0001))</f>
        <v>1E-4</v>
      </c>
      <c r="B389" s="304">
        <f t="shared" ref="B389:B452" ca="1" si="181">B388+pas</f>
        <v>29.200300000000148</v>
      </c>
      <c r="D389" s="306">
        <f t="shared" ref="D389:D452" ca="1" si="182">IF(AND(L388&lt;L_rampe,Poussee&lt;Poids*SIN(M388)),0,(-W388+Poussee)/m*COS(M388)-U388/m*SIN(M388))</f>
        <v>-0.73262675112772524</v>
      </c>
      <c r="E389" s="307">
        <f t="shared" ref="E389:E452" ca="1" si="183">IF(AND(L388&lt;L_rampe,Poussee&lt;Poids*SIN(M388)),0,(-W388+Poussee)/m*SIN(M388)+U388/m*COS(M388)-Poids/m)</f>
        <v>-1.3481713315755641</v>
      </c>
      <c r="F389" s="304">
        <f t="shared" ref="F389:F452" ca="1" si="184">SQRT(acc_x^2+acc_z^2)</f>
        <v>1.5343754090020458</v>
      </c>
      <c r="G389" s="306">
        <f t="shared" ref="G389:G452" ca="1" si="185">G388+acc_x*pas</f>
        <v>9.240115437688214</v>
      </c>
      <c r="H389" s="307">
        <f t="shared" ref="H389:H452" ca="1" si="186">H388+acc_z*pas</f>
        <v>-106.72418430895226</v>
      </c>
      <c r="I389" s="304">
        <f t="shared" ref="I389:I452" ca="1" si="187">SQRT(vit_x^2+vit_z^2)</f>
        <v>107.12343931051232</v>
      </c>
      <c r="J389" s="306">
        <f t="shared" ref="J389:J452" ca="1" si="188">J388+0.5*(vit_x+G388)*pas*(K388&gt;=0)</f>
        <v>746.86410190403069</v>
      </c>
      <c r="K389" s="307">
        <f t="shared" ref="K389:K452" ca="1" si="189">K388+0.5*(vit_z+H388)*pas</f>
        <v>-2.2793136718508462</v>
      </c>
      <c r="L389" s="304">
        <f t="shared" ca="1" si="174"/>
        <v>746.867579952249</v>
      </c>
      <c r="M389" s="306">
        <f t="shared" ref="M389:M452" ca="1" si="190">IF(AND(L388&gt;L_rampe,G389&gt;0),ATAN2(G389,H389),$M$4)</f>
        <v>-1.4844322956102607</v>
      </c>
      <c r="N389" s="304">
        <f t="shared" ref="N389:N452" ca="1" si="191">DEGREES(Beta)</f>
        <v>-85.051705511384142</v>
      </c>
      <c r="P389" s="310">
        <f t="shared" ref="P389:P452" ca="1" si="192">MATCH(t-pas/2-T_ini,CdP_t)</f>
        <v>23</v>
      </c>
      <c r="Q389" s="304">
        <f t="shared" ref="Q389:Q452" ca="1" si="193">(INDEX(CdP,2,i_P+1)-INDEX(CdP,2,i_P+0))/(INDEX(CdP,1,i_P+1)-INDEX(CdP,1,i_P+0))*(t-pas/2-T_ini-INDEX(CdP,1,i_P+0))+INDEX(CdP,2,i_P+0)</f>
        <v>0</v>
      </c>
      <c r="R389" s="306">
        <f t="shared" ref="R389:R452" ca="1" si="194">Poussee/(g*ISP)</f>
        <v>0</v>
      </c>
      <c r="S389" s="307">
        <f t="shared" ref="S389:S452" ca="1" si="195">S388-Débit*pas</f>
        <v>5.083000000000002</v>
      </c>
      <c r="T389" s="304">
        <f t="shared" ca="1" si="175"/>
        <v>49.86423000000002</v>
      </c>
      <c r="U389" s="311">
        <f t="shared" ca="1" si="176"/>
        <v>0</v>
      </c>
      <c r="V389" s="306">
        <f t="shared" ca="1" si="177"/>
        <v>1.2252792477494625</v>
      </c>
      <c r="W389" s="304">
        <f t="shared" ca="1" si="178"/>
        <v>43.172533177068544</v>
      </c>
      <c r="Y389" s="314" t="str">
        <f t="shared" ref="Y389:Y452" ca="1" si="196">IF(AND(pos_z&lt;=0,K388&gt;0),"Impact balistique","") &amp; IF(AND(H390&lt;0,vit_z&gt;=0),"Apogée","") &amp; IF(AND(Poussee=0,Q388&gt;0),"Fin de propulsion","") &amp; IF(AND(L390&gt;L_rampe,pos_xz&lt;=L_rampe),"Sortie de rampe","")</f>
        <v/>
      </c>
      <c r="Z389" s="315" t="str">
        <f t="shared" ref="Z389:Z452" ca="1" si="197">IF(ABS(t-T_para)&lt;pas/2,"Para","")</f>
        <v/>
      </c>
      <c r="AA389" s="316" t="str">
        <f t="shared" ref="AA389:AA452" ca="1" si="198">IF(ABS(t-T_satellite)&lt;pas/2,"Satellite","")</f>
        <v/>
      </c>
      <c r="AC389" s="310" t="e">
        <f t="shared" ref="AC389:AC452" ca="1" si="199">IF(ABS(t-ROUND(t,0))&lt;0.001,t,NA())</f>
        <v>#N/A</v>
      </c>
      <c r="AD389" s="323" t="e">
        <f t="shared" ref="AD389:AD452" ca="1" si="200">IF(ABS(t-ROUND(t,0))&lt;0.001,pos_x,NA())</f>
        <v>#N/A</v>
      </c>
      <c r="AE389" s="324" t="e">
        <f t="shared" ca="1" si="179"/>
        <v>#N/A</v>
      </c>
      <c r="AG389" s="306">
        <f t="shared" ref="AG389:AG452" ca="1" si="201">IF(AND(L388&lt;L_rampe,Poussee&lt;Poids*SIN(M388)),0,(-W388+Poussee)/m-Poids*SIN(M388)/m)</f>
        <v>1.2799519806069419</v>
      </c>
      <c r="AH389" s="304">
        <f t="shared" ref="AH389:AH452" ca="1" si="202">IF(AND(L388&lt;L_rampe,Poussee&lt;Poids*SIN(M388)), g*SIN(M388), (-W388+Poussee)/m)</f>
        <v>-8.4934849367169445</v>
      </c>
    </row>
    <row r="390" spans="1:34" x14ac:dyDescent="0.2">
      <c r="A390" s="347">
        <f t="shared" ca="1" si="180"/>
        <v>1E-4</v>
      </c>
      <c r="B390" s="304">
        <f t="shared" ca="1" si="181"/>
        <v>29.200400000000148</v>
      </c>
      <c r="D390" s="306">
        <f t="shared" ca="1" si="182"/>
        <v>-0.73262259960021603</v>
      </c>
      <c r="E390" s="307">
        <f t="shared" ca="1" si="183"/>
        <v>-1.3481415009465305</v>
      </c>
      <c r="F390" s="304">
        <f t="shared" ca="1" si="184"/>
        <v>1.5343472162517005</v>
      </c>
      <c r="G390" s="306">
        <f t="shared" ca="1" si="185"/>
        <v>9.240042175428254</v>
      </c>
      <c r="H390" s="307">
        <f t="shared" ca="1" si="186"/>
        <v>-106.72431912310236</v>
      </c>
      <c r="I390" s="304">
        <f t="shared" ca="1" si="187"/>
        <v>107.12356730287452</v>
      </c>
      <c r="J390" s="306">
        <f t="shared" ca="1" si="188"/>
        <v>746.86410190403069</v>
      </c>
      <c r="K390" s="307">
        <f t="shared" ca="1" si="189"/>
        <v>-2.289986097022449</v>
      </c>
      <c r="L390" s="304">
        <f t="shared" ca="1" si="174"/>
        <v>746.86761259893899</v>
      </c>
      <c r="M390" s="306">
        <f t="shared" ca="1" si="190"/>
        <v>-1.4844330855189114</v>
      </c>
      <c r="N390" s="304">
        <f t="shared" ca="1" si="191"/>
        <v>-85.051750769816024</v>
      </c>
      <c r="P390" s="310">
        <f t="shared" ca="1" si="192"/>
        <v>23</v>
      </c>
      <c r="Q390" s="304">
        <f t="shared" ca="1" si="193"/>
        <v>0</v>
      </c>
      <c r="R390" s="306">
        <f t="shared" ca="1" si="194"/>
        <v>0</v>
      </c>
      <c r="S390" s="307">
        <f t="shared" ca="1" si="195"/>
        <v>5.083000000000002</v>
      </c>
      <c r="T390" s="304">
        <f t="shared" ca="1" si="175"/>
        <v>49.86423000000002</v>
      </c>
      <c r="U390" s="311">
        <f t="shared" ca="1" si="176"/>
        <v>0</v>
      </c>
      <c r="V390" s="306">
        <f t="shared" ca="1" si="177"/>
        <v>1.2252805554202857</v>
      </c>
      <c r="W390" s="304">
        <f t="shared" ca="1" si="178"/>
        <v>43.172682418942941</v>
      </c>
      <c r="Y390" s="314" t="str">
        <f t="shared" ca="1" si="196"/>
        <v/>
      </c>
      <c r="Z390" s="315" t="str">
        <f t="shared" ca="1" si="197"/>
        <v/>
      </c>
      <c r="AA390" s="316" t="str">
        <f t="shared" ca="1" si="198"/>
        <v/>
      </c>
      <c r="AC390" s="310" t="e">
        <f t="shared" ca="1" si="199"/>
        <v>#N/A</v>
      </c>
      <c r="AD390" s="323" t="e">
        <f t="shared" ca="1" si="200"/>
        <v>#N/A</v>
      </c>
      <c r="AE390" s="324" t="e">
        <f t="shared" ca="1" si="179"/>
        <v>#N/A</v>
      </c>
      <c r="AG390" s="306">
        <f t="shared" ca="1" si="201"/>
        <v>1.2799232876716005</v>
      </c>
      <c r="AH390" s="304">
        <f t="shared" ca="1" si="202"/>
        <v>-8.4935142980658132</v>
      </c>
    </row>
    <row r="391" spans="1:34" x14ac:dyDescent="0.2">
      <c r="A391" s="347">
        <f t="shared" ca="1" si="180"/>
        <v>1E-4</v>
      </c>
      <c r="B391" s="304">
        <f t="shared" ca="1" si="181"/>
        <v>29.200500000000147</v>
      </c>
      <c r="D391" s="306">
        <f t="shared" ca="1" si="182"/>
        <v>-0.73261844806341037</v>
      </c>
      <c r="E391" s="307">
        <f t="shared" ca="1" si="183"/>
        <v>-1.3481116706896845</v>
      </c>
      <c r="F391" s="304">
        <f t="shared" ca="1" si="184"/>
        <v>1.5343190238971074</v>
      </c>
      <c r="G391" s="306">
        <f t="shared" ca="1" si="185"/>
        <v>9.2399689135834482</v>
      </c>
      <c r="H391" s="307">
        <f t="shared" ca="1" si="186"/>
        <v>-106.72445393426943</v>
      </c>
      <c r="I391" s="304">
        <f t="shared" ca="1" si="187"/>
        <v>107.12369529236744</v>
      </c>
      <c r="J391" s="306">
        <f t="shared" ca="1" si="188"/>
        <v>746.86410190403069</v>
      </c>
      <c r="K391" s="307">
        <f t="shared" ca="1" si="189"/>
        <v>-2.3006585356753178</v>
      </c>
      <c r="L391" s="304">
        <f t="shared" ca="1" si="174"/>
        <v>746.86764539817364</v>
      </c>
      <c r="M391" s="306">
        <f t="shared" ca="1" si="190"/>
        <v>-1.4844338754194115</v>
      </c>
      <c r="N391" s="304">
        <f t="shared" ca="1" si="191"/>
        <v>-85.05179602778091</v>
      </c>
      <c r="P391" s="310">
        <f t="shared" ca="1" si="192"/>
        <v>23</v>
      </c>
      <c r="Q391" s="304">
        <f t="shared" ca="1" si="193"/>
        <v>0</v>
      </c>
      <c r="R391" s="306">
        <f t="shared" ca="1" si="194"/>
        <v>0</v>
      </c>
      <c r="S391" s="307">
        <f t="shared" ca="1" si="195"/>
        <v>5.083000000000002</v>
      </c>
      <c r="T391" s="304">
        <f t="shared" ca="1" si="175"/>
        <v>49.86423000000002</v>
      </c>
      <c r="U391" s="311">
        <f t="shared" ca="1" si="176"/>
        <v>0</v>
      </c>
      <c r="V391" s="306">
        <f t="shared" ca="1" si="177"/>
        <v>1.2252818630941569</v>
      </c>
      <c r="W391" s="304">
        <f t="shared" ca="1" si="178"/>
        <v>43.172831658955481</v>
      </c>
      <c r="Y391" s="314" t="str">
        <f t="shared" ca="1" si="196"/>
        <v/>
      </c>
      <c r="Z391" s="315" t="str">
        <f t="shared" ca="1" si="197"/>
        <v/>
      </c>
      <c r="AA391" s="316" t="str">
        <f t="shared" ca="1" si="198"/>
        <v/>
      </c>
      <c r="AC391" s="310" t="e">
        <f t="shared" ca="1" si="199"/>
        <v>#N/A</v>
      </c>
      <c r="AD391" s="323" t="e">
        <f t="shared" ca="1" si="200"/>
        <v>#N/A</v>
      </c>
      <c r="AE391" s="324" t="e">
        <f t="shared" ca="1" si="179"/>
        <v>#N/A</v>
      </c>
      <c r="AG391" s="306">
        <f t="shared" ca="1" si="201"/>
        <v>1.2798945950895604</v>
      </c>
      <c r="AH391" s="304">
        <f t="shared" ca="1" si="202"/>
        <v>-8.493543659048381</v>
      </c>
    </row>
    <row r="392" spans="1:34" x14ac:dyDescent="0.2">
      <c r="A392" s="347">
        <f t="shared" ca="1" si="180"/>
        <v>1E-4</v>
      </c>
      <c r="B392" s="304">
        <f t="shared" ca="1" si="181"/>
        <v>29.200600000000147</v>
      </c>
      <c r="D392" s="306">
        <f t="shared" ca="1" si="182"/>
        <v>-0.73261429651731058</v>
      </c>
      <c r="E392" s="307">
        <f t="shared" ca="1" si="183"/>
        <v>-1.3480818408050137</v>
      </c>
      <c r="F392" s="304">
        <f t="shared" ca="1" si="184"/>
        <v>1.5342908319382569</v>
      </c>
      <c r="G392" s="306">
        <f t="shared" ca="1" si="185"/>
        <v>9.2398956521537965</v>
      </c>
      <c r="H392" s="307">
        <f t="shared" ca="1" si="186"/>
        <v>-106.72458874245352</v>
      </c>
      <c r="I392" s="304">
        <f t="shared" ca="1" si="187"/>
        <v>107.12382327899115</v>
      </c>
      <c r="J392" s="306">
        <f t="shared" ca="1" si="188"/>
        <v>746.86410190403069</v>
      </c>
      <c r="K392" s="307">
        <f t="shared" ca="1" si="189"/>
        <v>-2.3113309878091539</v>
      </c>
      <c r="L392" s="304">
        <f t="shared" ca="1" si="174"/>
        <v>746.86767834995339</v>
      </c>
      <c r="M392" s="306">
        <f t="shared" ca="1" si="190"/>
        <v>-1.4844346653117613</v>
      </c>
      <c r="N392" s="304">
        <f t="shared" ca="1" si="191"/>
        <v>-85.051841285278826</v>
      </c>
      <c r="P392" s="310">
        <f t="shared" ca="1" si="192"/>
        <v>23</v>
      </c>
      <c r="Q392" s="304">
        <f t="shared" ca="1" si="193"/>
        <v>0</v>
      </c>
      <c r="R392" s="306">
        <f t="shared" ca="1" si="194"/>
        <v>0</v>
      </c>
      <c r="S392" s="307">
        <f t="shared" ca="1" si="195"/>
        <v>5.083000000000002</v>
      </c>
      <c r="T392" s="304">
        <f t="shared" ca="1" si="175"/>
        <v>49.86423000000002</v>
      </c>
      <c r="U392" s="311">
        <f t="shared" ca="1" si="176"/>
        <v>0</v>
      </c>
      <c r="V392" s="306">
        <f t="shared" ca="1" si="177"/>
        <v>1.2252831707710756</v>
      </c>
      <c r="W392" s="304">
        <f t="shared" ca="1" si="178"/>
        <v>43.172980897106157</v>
      </c>
      <c r="Y392" s="314" t="str">
        <f t="shared" ca="1" si="196"/>
        <v/>
      </c>
      <c r="Z392" s="315" t="str">
        <f t="shared" ca="1" si="197"/>
        <v/>
      </c>
      <c r="AA392" s="316" t="str">
        <f t="shared" ca="1" si="198"/>
        <v/>
      </c>
      <c r="AC392" s="310" t="e">
        <f t="shared" ca="1" si="199"/>
        <v>#N/A</v>
      </c>
      <c r="AD392" s="323" t="e">
        <f t="shared" ca="1" si="200"/>
        <v>#N/A</v>
      </c>
      <c r="AE392" s="324" t="e">
        <f t="shared" ca="1" si="179"/>
        <v>#N/A</v>
      </c>
      <c r="AG392" s="306">
        <f t="shared" ca="1" si="201"/>
        <v>1.2798659028608164</v>
      </c>
      <c r="AH392" s="304">
        <f t="shared" ca="1" si="202"/>
        <v>-8.4935730196646588</v>
      </c>
    </row>
    <row r="393" spans="1:34" x14ac:dyDescent="0.2">
      <c r="A393" s="347">
        <f t="shared" ca="1" si="180"/>
        <v>1E-4</v>
      </c>
      <c r="B393" s="304">
        <f t="shared" ca="1" si="181"/>
        <v>29.200700000000147</v>
      </c>
      <c r="D393" s="306">
        <f t="shared" ca="1" si="182"/>
        <v>-0.73261014496191634</v>
      </c>
      <c r="E393" s="307">
        <f t="shared" ca="1" si="183"/>
        <v>-1.3480520112925181</v>
      </c>
      <c r="F393" s="304">
        <f t="shared" ca="1" si="184"/>
        <v>1.5342626403751489</v>
      </c>
      <c r="G393" s="306">
        <f t="shared" ca="1" si="185"/>
        <v>9.2398223911393007</v>
      </c>
      <c r="H393" s="307">
        <f t="shared" ca="1" si="186"/>
        <v>-106.72472354765465</v>
      </c>
      <c r="I393" s="304">
        <f t="shared" ca="1" si="187"/>
        <v>107.12395126274566</v>
      </c>
      <c r="J393" s="306">
        <f t="shared" ca="1" si="188"/>
        <v>746.86410190403069</v>
      </c>
      <c r="K393" s="307">
        <f t="shared" ca="1" si="189"/>
        <v>-2.3220034534236591</v>
      </c>
      <c r="L393" s="304">
        <f t="shared" ca="1" si="174"/>
        <v>746.86771145427895</v>
      </c>
      <c r="M393" s="306">
        <f t="shared" ca="1" si="190"/>
        <v>-1.4844354551959607</v>
      </c>
      <c r="N393" s="304">
        <f t="shared" ca="1" si="191"/>
        <v>-85.051886542309759</v>
      </c>
      <c r="P393" s="310">
        <f t="shared" ca="1" si="192"/>
        <v>23</v>
      </c>
      <c r="Q393" s="304">
        <f t="shared" ca="1" si="193"/>
        <v>0</v>
      </c>
      <c r="R393" s="306">
        <f t="shared" ca="1" si="194"/>
        <v>0</v>
      </c>
      <c r="S393" s="307">
        <f t="shared" ca="1" si="195"/>
        <v>5.083000000000002</v>
      </c>
      <c r="T393" s="304">
        <f t="shared" ca="1" si="175"/>
        <v>49.86423000000002</v>
      </c>
      <c r="U393" s="311">
        <f t="shared" ca="1" si="176"/>
        <v>0</v>
      </c>
      <c r="V393" s="306">
        <f t="shared" ca="1" si="177"/>
        <v>1.2252844784510417</v>
      </c>
      <c r="W393" s="304">
        <f t="shared" ca="1" si="178"/>
        <v>43.173130133394963</v>
      </c>
      <c r="Y393" s="314" t="str">
        <f t="shared" ca="1" si="196"/>
        <v/>
      </c>
      <c r="Z393" s="315" t="str">
        <f t="shared" ca="1" si="197"/>
        <v/>
      </c>
      <c r="AA393" s="316" t="str">
        <f t="shared" ca="1" si="198"/>
        <v/>
      </c>
      <c r="AC393" s="310" t="e">
        <f t="shared" ca="1" si="199"/>
        <v>#N/A</v>
      </c>
      <c r="AD393" s="323" t="e">
        <f t="shared" ca="1" si="200"/>
        <v>#N/A</v>
      </c>
      <c r="AE393" s="324" t="e">
        <f t="shared" ca="1" si="179"/>
        <v>#N/A</v>
      </c>
      <c r="AG393" s="306">
        <f t="shared" ca="1" si="201"/>
        <v>1.2798372109853737</v>
      </c>
      <c r="AH393" s="304">
        <f t="shared" ca="1" si="202"/>
        <v>-8.4936023799146447</v>
      </c>
    </row>
    <row r="394" spans="1:34" x14ac:dyDescent="0.2">
      <c r="A394" s="347">
        <f t="shared" ca="1" si="180"/>
        <v>1E-4</v>
      </c>
      <c r="B394" s="304">
        <f t="shared" ca="1" si="181"/>
        <v>29.200800000000147</v>
      </c>
      <c r="D394" s="306">
        <f t="shared" ca="1" si="182"/>
        <v>-0.73260599339722909</v>
      </c>
      <c r="E394" s="307">
        <f t="shared" ca="1" si="183"/>
        <v>-1.3480221821522029</v>
      </c>
      <c r="F394" s="304">
        <f t="shared" ca="1" si="184"/>
        <v>1.5342344492077891</v>
      </c>
      <c r="G394" s="306">
        <f t="shared" ca="1" si="185"/>
        <v>9.2397491305399608</v>
      </c>
      <c r="H394" s="307">
        <f t="shared" ca="1" si="186"/>
        <v>-106.72485834987286</v>
      </c>
      <c r="I394" s="304">
        <f t="shared" ca="1" si="187"/>
        <v>107.12407924363103</v>
      </c>
      <c r="J394" s="306">
        <f t="shared" ca="1" si="188"/>
        <v>746.86410190403069</v>
      </c>
      <c r="K394" s="307">
        <f t="shared" ca="1" si="189"/>
        <v>-2.3326759325185353</v>
      </c>
      <c r="L394" s="304">
        <f t="shared" ca="1" si="174"/>
        <v>746.86774471115064</v>
      </c>
      <c r="M394" s="306">
        <f t="shared" ca="1" si="190"/>
        <v>-1.4844362450720099</v>
      </c>
      <c r="N394" s="304">
        <f t="shared" ca="1" si="191"/>
        <v>-85.05193179887371</v>
      </c>
      <c r="P394" s="310">
        <f t="shared" ca="1" si="192"/>
        <v>23</v>
      </c>
      <c r="Q394" s="304">
        <f t="shared" ca="1" si="193"/>
        <v>0</v>
      </c>
      <c r="R394" s="306">
        <f t="shared" ca="1" si="194"/>
        <v>0</v>
      </c>
      <c r="S394" s="307">
        <f t="shared" ca="1" si="195"/>
        <v>5.083000000000002</v>
      </c>
      <c r="T394" s="304">
        <f t="shared" ca="1" si="175"/>
        <v>49.86423000000002</v>
      </c>
      <c r="U394" s="311">
        <f t="shared" ca="1" si="176"/>
        <v>0</v>
      </c>
      <c r="V394" s="306">
        <f t="shared" ca="1" si="177"/>
        <v>1.2252857861340554</v>
      </c>
      <c r="W394" s="304">
        <f t="shared" ca="1" si="178"/>
        <v>43.173279367821955</v>
      </c>
      <c r="Y394" s="314" t="str">
        <f t="shared" ca="1" si="196"/>
        <v/>
      </c>
      <c r="Z394" s="315" t="str">
        <f t="shared" ca="1" si="197"/>
        <v/>
      </c>
      <c r="AA394" s="316" t="str">
        <f t="shared" ca="1" si="198"/>
        <v/>
      </c>
      <c r="AC394" s="310" t="e">
        <f t="shared" ca="1" si="199"/>
        <v>#N/A</v>
      </c>
      <c r="AD394" s="323" t="e">
        <f t="shared" ca="1" si="200"/>
        <v>#N/A</v>
      </c>
      <c r="AE394" s="324" t="e">
        <f t="shared" ca="1" si="179"/>
        <v>#N/A</v>
      </c>
      <c r="AG394" s="306">
        <f t="shared" ca="1" si="201"/>
        <v>1.2798085194632272</v>
      </c>
      <c r="AH394" s="304">
        <f t="shared" ca="1" si="202"/>
        <v>-8.493631739798337</v>
      </c>
    </row>
    <row r="395" spans="1:34" x14ac:dyDescent="0.2">
      <c r="A395" s="347">
        <f t="shared" ca="1" si="180"/>
        <v>1E-4</v>
      </c>
      <c r="B395" s="304">
        <f t="shared" ca="1" si="181"/>
        <v>29.200900000000146</v>
      </c>
      <c r="D395" s="306">
        <f t="shared" ca="1" si="182"/>
        <v>-0.73260184182324961</v>
      </c>
      <c r="E395" s="307">
        <f t="shared" ca="1" si="183"/>
        <v>-1.3479923533840541</v>
      </c>
      <c r="F395" s="304">
        <f t="shared" ca="1" si="184"/>
        <v>1.5342062584361655</v>
      </c>
      <c r="G395" s="306">
        <f t="shared" ca="1" si="185"/>
        <v>9.2396758703557786</v>
      </c>
      <c r="H395" s="307">
        <f t="shared" ca="1" si="186"/>
        <v>-106.7249931491082</v>
      </c>
      <c r="I395" s="304">
        <f t="shared" ca="1" si="187"/>
        <v>107.12420722164728</v>
      </c>
      <c r="J395" s="306">
        <f t="shared" ca="1" si="188"/>
        <v>746.86410190403069</v>
      </c>
      <c r="K395" s="307">
        <f t="shared" ca="1" si="189"/>
        <v>-2.3433484250934842</v>
      </c>
      <c r="L395" s="304">
        <f t="shared" ca="1" si="174"/>
        <v>746.86777812056914</v>
      </c>
      <c r="M395" s="306">
        <f t="shared" ca="1" si="190"/>
        <v>-1.4844370349399092</v>
      </c>
      <c r="N395" s="304">
        <f t="shared" ca="1" si="191"/>
        <v>-85.05197705497072</v>
      </c>
      <c r="P395" s="310">
        <f t="shared" ca="1" si="192"/>
        <v>23</v>
      </c>
      <c r="Q395" s="304">
        <f t="shared" ca="1" si="193"/>
        <v>0</v>
      </c>
      <c r="R395" s="306">
        <f t="shared" ca="1" si="194"/>
        <v>0</v>
      </c>
      <c r="S395" s="307">
        <f t="shared" ca="1" si="195"/>
        <v>5.083000000000002</v>
      </c>
      <c r="T395" s="304">
        <f t="shared" ca="1" si="175"/>
        <v>49.86423000000002</v>
      </c>
      <c r="U395" s="311">
        <f t="shared" ca="1" si="176"/>
        <v>0</v>
      </c>
      <c r="V395" s="306">
        <f t="shared" ca="1" si="177"/>
        <v>1.2252870938201166</v>
      </c>
      <c r="W395" s="304">
        <f t="shared" ca="1" si="178"/>
        <v>43.173428600387119</v>
      </c>
      <c r="Y395" s="314" t="str">
        <f t="shared" ca="1" si="196"/>
        <v/>
      </c>
      <c r="Z395" s="315" t="str">
        <f t="shared" ca="1" si="197"/>
        <v/>
      </c>
      <c r="AA395" s="316" t="str">
        <f t="shared" ca="1" si="198"/>
        <v/>
      </c>
      <c r="AC395" s="310" t="e">
        <f t="shared" ca="1" si="199"/>
        <v>#N/A</v>
      </c>
      <c r="AD395" s="323" t="e">
        <f t="shared" ca="1" si="200"/>
        <v>#N/A</v>
      </c>
      <c r="AE395" s="324" t="e">
        <f t="shared" ca="1" si="179"/>
        <v>#N/A</v>
      </c>
      <c r="AG395" s="306">
        <f t="shared" ca="1" si="201"/>
        <v>1.2797798282943678</v>
      </c>
      <c r="AH395" s="304">
        <f t="shared" ca="1" si="202"/>
        <v>-8.4936610993157462</v>
      </c>
    </row>
    <row r="396" spans="1:34" x14ac:dyDescent="0.2">
      <c r="A396" s="347">
        <f t="shared" ca="1" si="180"/>
        <v>1E-4</v>
      </c>
      <c r="B396" s="304">
        <f t="shared" ca="1" si="181"/>
        <v>29.201000000000146</v>
      </c>
      <c r="D396" s="306">
        <f t="shared" ca="1" si="182"/>
        <v>-0.73259769023997734</v>
      </c>
      <c r="E396" s="307">
        <f t="shared" ca="1" si="183"/>
        <v>-1.3479625249880751</v>
      </c>
      <c r="F396" s="304">
        <f t="shared" ca="1" si="184"/>
        <v>1.5341780680602812</v>
      </c>
      <c r="G396" s="306">
        <f t="shared" ca="1" si="185"/>
        <v>9.2396026105867541</v>
      </c>
      <c r="H396" s="307">
        <f t="shared" ca="1" si="186"/>
        <v>-106.7251279453607</v>
      </c>
      <c r="I396" s="304">
        <f t="shared" ca="1" si="187"/>
        <v>107.12433519679445</v>
      </c>
      <c r="J396" s="306">
        <f t="shared" ca="1" si="188"/>
        <v>746.86410190403069</v>
      </c>
      <c r="K396" s="307">
        <f t="shared" ca="1" si="189"/>
        <v>-2.3540209311482077</v>
      </c>
      <c r="L396" s="304">
        <f t="shared" ca="1" si="174"/>
        <v>746.86781168253503</v>
      </c>
      <c r="M396" s="306">
        <f t="shared" ca="1" si="190"/>
        <v>-1.4844378247996586</v>
      </c>
      <c r="N396" s="304">
        <f t="shared" ca="1" si="191"/>
        <v>-85.052022310600762</v>
      </c>
      <c r="P396" s="310">
        <f t="shared" ca="1" si="192"/>
        <v>23</v>
      </c>
      <c r="Q396" s="304">
        <f t="shared" ca="1" si="193"/>
        <v>0</v>
      </c>
      <c r="R396" s="306">
        <f t="shared" ca="1" si="194"/>
        <v>0</v>
      </c>
      <c r="S396" s="307">
        <f t="shared" ca="1" si="195"/>
        <v>5.083000000000002</v>
      </c>
      <c r="T396" s="304">
        <f t="shared" ca="1" si="175"/>
        <v>49.86423000000002</v>
      </c>
      <c r="U396" s="311">
        <f t="shared" ca="1" si="176"/>
        <v>0</v>
      </c>
      <c r="V396" s="306">
        <f t="shared" ca="1" si="177"/>
        <v>1.2252884015092249</v>
      </c>
      <c r="W396" s="304">
        <f t="shared" ca="1" si="178"/>
        <v>43.173577831090448</v>
      </c>
      <c r="Y396" s="314" t="str">
        <f t="shared" ca="1" si="196"/>
        <v/>
      </c>
      <c r="Z396" s="315" t="str">
        <f t="shared" ca="1" si="197"/>
        <v/>
      </c>
      <c r="AA396" s="316" t="str">
        <f t="shared" ca="1" si="198"/>
        <v/>
      </c>
      <c r="AC396" s="310" t="e">
        <f t="shared" ca="1" si="199"/>
        <v>#N/A</v>
      </c>
      <c r="AD396" s="323" t="e">
        <f t="shared" ca="1" si="200"/>
        <v>#N/A</v>
      </c>
      <c r="AE396" s="324" t="e">
        <f t="shared" ca="1" si="179"/>
        <v>#N/A</v>
      </c>
      <c r="AG396" s="306">
        <f t="shared" ca="1" si="201"/>
        <v>1.2797511374788026</v>
      </c>
      <c r="AH396" s="304">
        <f t="shared" ca="1" si="202"/>
        <v>-8.4936904584668707</v>
      </c>
    </row>
    <row r="397" spans="1:34" x14ac:dyDescent="0.2">
      <c r="A397" s="347">
        <f t="shared" ca="1" si="180"/>
        <v>1E-4</v>
      </c>
      <c r="B397" s="304">
        <f t="shared" ca="1" si="181"/>
        <v>29.201100000000146</v>
      </c>
      <c r="D397" s="306">
        <f t="shared" ca="1" si="182"/>
        <v>-0.73259353864741361</v>
      </c>
      <c r="E397" s="307">
        <f t="shared" ca="1" si="183"/>
        <v>-1.347932696964266</v>
      </c>
      <c r="F397" s="304">
        <f t="shared" ca="1" si="184"/>
        <v>1.534149878080137</v>
      </c>
      <c r="G397" s="306">
        <f t="shared" ca="1" si="185"/>
        <v>9.2395293512328891</v>
      </c>
      <c r="H397" s="307">
        <f t="shared" ca="1" si="186"/>
        <v>-106.72526273863039</v>
      </c>
      <c r="I397" s="304">
        <f t="shared" ca="1" si="187"/>
        <v>107.12446316907256</v>
      </c>
      <c r="J397" s="306">
        <f t="shared" ca="1" si="188"/>
        <v>746.86410190403069</v>
      </c>
      <c r="K397" s="307">
        <f t="shared" ca="1" si="189"/>
        <v>-2.3646934506824073</v>
      </c>
      <c r="L397" s="304">
        <f t="shared" ca="1" si="174"/>
        <v>746.86784539704877</v>
      </c>
      <c r="M397" s="306">
        <f t="shared" ca="1" si="190"/>
        <v>-1.484438614651258</v>
      </c>
      <c r="N397" s="304">
        <f t="shared" ca="1" si="191"/>
        <v>-85.052067565763849</v>
      </c>
      <c r="P397" s="310">
        <f t="shared" ca="1" si="192"/>
        <v>23</v>
      </c>
      <c r="Q397" s="304">
        <f t="shared" ca="1" si="193"/>
        <v>0</v>
      </c>
      <c r="R397" s="306">
        <f t="shared" ca="1" si="194"/>
        <v>0</v>
      </c>
      <c r="S397" s="307">
        <f t="shared" ca="1" si="195"/>
        <v>5.083000000000002</v>
      </c>
      <c r="T397" s="304">
        <f t="shared" ca="1" si="175"/>
        <v>49.86423000000002</v>
      </c>
      <c r="U397" s="311">
        <f t="shared" ca="1" si="176"/>
        <v>0</v>
      </c>
      <c r="V397" s="306">
        <f t="shared" ca="1" si="177"/>
        <v>1.2252897092013812</v>
      </c>
      <c r="W397" s="304">
        <f t="shared" ca="1" si="178"/>
        <v>43.173727059932006</v>
      </c>
      <c r="Y397" s="314" t="str">
        <f t="shared" ca="1" si="196"/>
        <v/>
      </c>
      <c r="Z397" s="315" t="str">
        <f t="shared" ca="1" si="197"/>
        <v/>
      </c>
      <c r="AA397" s="316" t="str">
        <f t="shared" ca="1" si="198"/>
        <v/>
      </c>
      <c r="AC397" s="310" t="e">
        <f t="shared" ca="1" si="199"/>
        <v>#N/A</v>
      </c>
      <c r="AD397" s="323" t="e">
        <f t="shared" ca="1" si="200"/>
        <v>#N/A</v>
      </c>
      <c r="AE397" s="324" t="e">
        <f t="shared" ca="1" si="179"/>
        <v>#N/A</v>
      </c>
      <c r="AG397" s="306">
        <f t="shared" ca="1" si="201"/>
        <v>1.2797224470165318</v>
      </c>
      <c r="AH397" s="304">
        <f t="shared" ca="1" si="202"/>
        <v>-8.4937198172517085</v>
      </c>
    </row>
    <row r="398" spans="1:34" x14ac:dyDescent="0.2">
      <c r="A398" s="347">
        <f t="shared" ca="1" si="180"/>
        <v>1E-4</v>
      </c>
      <c r="B398" s="304">
        <f t="shared" ca="1" si="181"/>
        <v>29.201200000000146</v>
      </c>
      <c r="D398" s="306">
        <f t="shared" ca="1" si="182"/>
        <v>-0.73258938704556098</v>
      </c>
      <c r="E398" s="307">
        <f t="shared" ca="1" si="183"/>
        <v>-1.3479028693126196</v>
      </c>
      <c r="F398" s="304">
        <f t="shared" ca="1" si="184"/>
        <v>1.5341216884957281</v>
      </c>
      <c r="G398" s="306">
        <f t="shared" ca="1" si="185"/>
        <v>9.2394560922941853</v>
      </c>
      <c r="H398" s="307">
        <f t="shared" ca="1" si="186"/>
        <v>-106.72539752891733</v>
      </c>
      <c r="I398" s="304">
        <f t="shared" ca="1" si="187"/>
        <v>107.12459113848166</v>
      </c>
      <c r="J398" s="306">
        <f t="shared" ca="1" si="188"/>
        <v>746.86410190403069</v>
      </c>
      <c r="K398" s="307">
        <f t="shared" ca="1" si="189"/>
        <v>-2.3753659836957848</v>
      </c>
      <c r="L398" s="304">
        <f t="shared" ca="1" si="174"/>
        <v>746.86787926411114</v>
      </c>
      <c r="M398" s="306">
        <f t="shared" ca="1" si="190"/>
        <v>-1.4844394044947078</v>
      </c>
      <c r="N398" s="304">
        <f t="shared" ca="1" si="191"/>
        <v>-85.052112820459996</v>
      </c>
      <c r="P398" s="310">
        <f t="shared" ca="1" si="192"/>
        <v>23</v>
      </c>
      <c r="Q398" s="304">
        <f t="shared" ca="1" si="193"/>
        <v>0</v>
      </c>
      <c r="R398" s="306">
        <f t="shared" ca="1" si="194"/>
        <v>0</v>
      </c>
      <c r="S398" s="307">
        <f t="shared" ca="1" si="195"/>
        <v>5.083000000000002</v>
      </c>
      <c r="T398" s="304">
        <f t="shared" ca="1" si="175"/>
        <v>49.86423000000002</v>
      </c>
      <c r="U398" s="311">
        <f t="shared" ca="1" si="176"/>
        <v>0</v>
      </c>
      <c r="V398" s="306">
        <f t="shared" ca="1" si="177"/>
        <v>1.2252910168965845</v>
      </c>
      <c r="W398" s="304">
        <f t="shared" ca="1" si="178"/>
        <v>43.173876286911764</v>
      </c>
      <c r="Y398" s="314" t="str">
        <f t="shared" ca="1" si="196"/>
        <v/>
      </c>
      <c r="Z398" s="315" t="str">
        <f t="shared" ca="1" si="197"/>
        <v/>
      </c>
      <c r="AA398" s="316" t="str">
        <f t="shared" ca="1" si="198"/>
        <v/>
      </c>
      <c r="AC398" s="310" t="e">
        <f t="shared" ca="1" si="199"/>
        <v>#N/A</v>
      </c>
      <c r="AD398" s="323" t="e">
        <f t="shared" ca="1" si="200"/>
        <v>#N/A</v>
      </c>
      <c r="AE398" s="324" t="e">
        <f t="shared" ca="1" si="179"/>
        <v>#N/A</v>
      </c>
      <c r="AG398" s="306">
        <f t="shared" ca="1" si="201"/>
        <v>1.2796937569075411</v>
      </c>
      <c r="AH398" s="304">
        <f t="shared" ca="1" si="202"/>
        <v>-8.4937491756702705</v>
      </c>
    </row>
    <row r="399" spans="1:34" x14ac:dyDescent="0.2">
      <c r="A399" s="347">
        <f t="shared" ca="1" si="180"/>
        <v>1E-4</v>
      </c>
      <c r="B399" s="304">
        <f t="shared" ca="1" si="181"/>
        <v>29.201300000000145</v>
      </c>
      <c r="D399" s="306">
        <f t="shared" ca="1" si="182"/>
        <v>-0.73258523543441911</v>
      </c>
      <c r="E399" s="307">
        <f t="shared" ca="1" si="183"/>
        <v>-1.3478730420331342</v>
      </c>
      <c r="F399" s="304">
        <f t="shared" ca="1" si="184"/>
        <v>1.5340934993070527</v>
      </c>
      <c r="G399" s="306">
        <f t="shared" ca="1" si="185"/>
        <v>9.2393828337706427</v>
      </c>
      <c r="H399" s="307">
        <f t="shared" ca="1" si="186"/>
        <v>-106.72553231622153</v>
      </c>
      <c r="I399" s="304">
        <f t="shared" ca="1" si="187"/>
        <v>107.1247191050218</v>
      </c>
      <c r="J399" s="306">
        <f t="shared" ca="1" si="188"/>
        <v>746.86410190403069</v>
      </c>
      <c r="K399" s="307">
        <f t="shared" ca="1" si="189"/>
        <v>-2.3860385301880416</v>
      </c>
      <c r="L399" s="304">
        <f t="shared" ca="1" si="174"/>
        <v>746.86791328372237</v>
      </c>
      <c r="M399" s="306">
        <f t="shared" ca="1" si="190"/>
        <v>-1.4844401943300081</v>
      </c>
      <c r="N399" s="304">
        <f t="shared" ca="1" si="191"/>
        <v>-85.052158074689217</v>
      </c>
      <c r="P399" s="310">
        <f t="shared" ca="1" si="192"/>
        <v>23</v>
      </c>
      <c r="Q399" s="304">
        <f t="shared" ca="1" si="193"/>
        <v>0</v>
      </c>
      <c r="R399" s="306">
        <f t="shared" ca="1" si="194"/>
        <v>0</v>
      </c>
      <c r="S399" s="307">
        <f t="shared" ca="1" si="195"/>
        <v>5.083000000000002</v>
      </c>
      <c r="T399" s="304">
        <f t="shared" ca="1" si="175"/>
        <v>49.86423000000002</v>
      </c>
      <c r="U399" s="311">
        <f t="shared" ca="1" si="176"/>
        <v>0</v>
      </c>
      <c r="V399" s="306">
        <f t="shared" ca="1" si="177"/>
        <v>1.2252923245948355</v>
      </c>
      <c r="W399" s="304">
        <f t="shared" ca="1" si="178"/>
        <v>43.174025512029772</v>
      </c>
      <c r="Y399" s="314" t="str">
        <f t="shared" ca="1" si="196"/>
        <v/>
      </c>
      <c r="Z399" s="315" t="str">
        <f t="shared" ca="1" si="197"/>
        <v/>
      </c>
      <c r="AA399" s="316" t="str">
        <f t="shared" ca="1" si="198"/>
        <v/>
      </c>
      <c r="AC399" s="310" t="e">
        <f t="shared" ca="1" si="199"/>
        <v>#N/A</v>
      </c>
      <c r="AD399" s="323" t="e">
        <f t="shared" ca="1" si="200"/>
        <v>#N/A</v>
      </c>
      <c r="AE399" s="324" t="e">
        <f t="shared" ca="1" si="179"/>
        <v>#N/A</v>
      </c>
      <c r="AG399" s="306">
        <f t="shared" ca="1" si="201"/>
        <v>1.2796650671518339</v>
      </c>
      <c r="AH399" s="304">
        <f t="shared" ca="1" si="202"/>
        <v>-8.4937785337225549</v>
      </c>
    </row>
    <row r="400" spans="1:34" x14ac:dyDescent="0.2">
      <c r="A400" s="347">
        <f t="shared" ca="1" si="180"/>
        <v>1E-4</v>
      </c>
      <c r="B400" s="304">
        <f t="shared" ca="1" si="181"/>
        <v>29.201400000000145</v>
      </c>
      <c r="D400" s="306">
        <f t="shared" ca="1" si="182"/>
        <v>-0.73258108381398834</v>
      </c>
      <c r="E400" s="307">
        <f t="shared" ca="1" si="183"/>
        <v>-1.3478432151258044</v>
      </c>
      <c r="F400" s="304">
        <f t="shared" ca="1" si="184"/>
        <v>1.5340653105141069</v>
      </c>
      <c r="G400" s="306">
        <f t="shared" ca="1" si="185"/>
        <v>9.2393095756622614</v>
      </c>
      <c r="H400" s="307">
        <f t="shared" ca="1" si="186"/>
        <v>-106.72566710054305</v>
      </c>
      <c r="I400" s="304">
        <f t="shared" ca="1" si="187"/>
        <v>107.12484706869299</v>
      </c>
      <c r="J400" s="306">
        <f t="shared" ca="1" si="188"/>
        <v>746.86410190403069</v>
      </c>
      <c r="K400" s="307">
        <f t="shared" ca="1" si="189"/>
        <v>-2.3967110901588797</v>
      </c>
      <c r="L400" s="304">
        <f t="shared" ca="1" si="174"/>
        <v>746.86794745588327</v>
      </c>
      <c r="M400" s="306">
        <f t="shared" ca="1" si="190"/>
        <v>-1.4844409841571589</v>
      </c>
      <c r="N400" s="304">
        <f t="shared" ca="1" si="191"/>
        <v>-85.052203328451498</v>
      </c>
      <c r="P400" s="310">
        <f t="shared" ca="1" si="192"/>
        <v>23</v>
      </c>
      <c r="Q400" s="304">
        <f t="shared" ca="1" si="193"/>
        <v>0</v>
      </c>
      <c r="R400" s="306">
        <f t="shared" ca="1" si="194"/>
        <v>0</v>
      </c>
      <c r="S400" s="307">
        <f t="shared" ca="1" si="195"/>
        <v>5.083000000000002</v>
      </c>
      <c r="T400" s="304">
        <f t="shared" ca="1" si="175"/>
        <v>49.86423000000002</v>
      </c>
      <c r="U400" s="311">
        <f t="shared" ca="1" si="176"/>
        <v>0</v>
      </c>
      <c r="V400" s="306">
        <f t="shared" ca="1" si="177"/>
        <v>1.2252936322961334</v>
      </c>
      <c r="W400" s="304">
        <f t="shared" ca="1" si="178"/>
        <v>43.174174735285987</v>
      </c>
      <c r="Y400" s="314" t="str">
        <f t="shared" ca="1" si="196"/>
        <v/>
      </c>
      <c r="Z400" s="315" t="str">
        <f t="shared" ca="1" si="197"/>
        <v/>
      </c>
      <c r="AA400" s="316" t="str">
        <f t="shared" ca="1" si="198"/>
        <v/>
      </c>
      <c r="AC400" s="310" t="e">
        <f t="shared" ca="1" si="199"/>
        <v>#N/A</v>
      </c>
      <c r="AD400" s="323" t="e">
        <f t="shared" ca="1" si="200"/>
        <v>#N/A</v>
      </c>
      <c r="AE400" s="324" t="e">
        <f t="shared" ca="1" si="179"/>
        <v>#N/A</v>
      </c>
      <c r="AG400" s="306">
        <f t="shared" ca="1" si="201"/>
        <v>1.2796363777494086</v>
      </c>
      <c r="AH400" s="304">
        <f t="shared" ca="1" si="202"/>
        <v>-8.4938078914085686</v>
      </c>
    </row>
    <row r="401" spans="1:34" x14ac:dyDescent="0.2">
      <c r="A401" s="347">
        <f t="shared" ca="1" si="180"/>
        <v>1E-4</v>
      </c>
      <c r="B401" s="304">
        <f t="shared" ca="1" si="181"/>
        <v>29.201500000000145</v>
      </c>
      <c r="D401" s="306">
        <f t="shared" ca="1" si="182"/>
        <v>-0.73257693218426956</v>
      </c>
      <c r="E401" s="307">
        <f t="shared" ca="1" si="183"/>
        <v>-1.3478133885906356</v>
      </c>
      <c r="F401" s="304">
        <f t="shared" ca="1" si="184"/>
        <v>1.5340371221168958</v>
      </c>
      <c r="G401" s="306">
        <f t="shared" ca="1" si="185"/>
        <v>9.2392363179690431</v>
      </c>
      <c r="H401" s="307">
        <f t="shared" ca="1" si="186"/>
        <v>-106.72580188188191</v>
      </c>
      <c r="I401" s="304">
        <f t="shared" ca="1" si="187"/>
        <v>107.12497502949527</v>
      </c>
      <c r="J401" s="306">
        <f t="shared" ca="1" si="188"/>
        <v>746.86410190403069</v>
      </c>
      <c r="K401" s="307">
        <f t="shared" ca="1" si="189"/>
        <v>-2.4073836636080008</v>
      </c>
      <c r="L401" s="304">
        <f t="shared" ca="1" si="174"/>
        <v>746.86798178059428</v>
      </c>
      <c r="M401" s="306">
        <f t="shared" ca="1" si="190"/>
        <v>-1.4844417739761602</v>
      </c>
      <c r="N401" s="304">
        <f t="shared" ca="1" si="191"/>
        <v>-85.052248581746852</v>
      </c>
      <c r="P401" s="310">
        <f t="shared" ca="1" si="192"/>
        <v>23</v>
      </c>
      <c r="Q401" s="304">
        <f t="shared" ca="1" si="193"/>
        <v>0</v>
      </c>
      <c r="R401" s="306">
        <f t="shared" ca="1" si="194"/>
        <v>0</v>
      </c>
      <c r="S401" s="307">
        <f t="shared" ca="1" si="195"/>
        <v>5.083000000000002</v>
      </c>
      <c r="T401" s="304">
        <f t="shared" ca="1" si="175"/>
        <v>49.86423000000002</v>
      </c>
      <c r="U401" s="311">
        <f t="shared" ca="1" si="176"/>
        <v>0</v>
      </c>
      <c r="V401" s="306">
        <f t="shared" ca="1" si="177"/>
        <v>1.2252949400004791</v>
      </c>
      <c r="W401" s="304">
        <f t="shared" ca="1" si="178"/>
        <v>43.174323956680503</v>
      </c>
      <c r="Y401" s="314" t="str">
        <f t="shared" ca="1" si="196"/>
        <v/>
      </c>
      <c r="Z401" s="315" t="str">
        <f t="shared" ca="1" si="197"/>
        <v/>
      </c>
      <c r="AA401" s="316" t="str">
        <f t="shared" ca="1" si="198"/>
        <v/>
      </c>
      <c r="AC401" s="310" t="e">
        <f t="shared" ca="1" si="199"/>
        <v>#N/A</v>
      </c>
      <c r="AD401" s="323" t="e">
        <f t="shared" ca="1" si="200"/>
        <v>#N/A</v>
      </c>
      <c r="AE401" s="324" t="e">
        <f t="shared" ca="1" si="179"/>
        <v>#N/A</v>
      </c>
      <c r="AG401" s="306">
        <f t="shared" ca="1" si="201"/>
        <v>1.279607688700267</v>
      </c>
      <c r="AH401" s="304">
        <f t="shared" ca="1" si="202"/>
        <v>-8.4938372487283047</v>
      </c>
    </row>
    <row r="402" spans="1:34" x14ac:dyDescent="0.2">
      <c r="A402" s="347">
        <f t="shared" ca="1" si="180"/>
        <v>1E-4</v>
      </c>
      <c r="B402" s="304">
        <f t="shared" ca="1" si="181"/>
        <v>29.201600000000145</v>
      </c>
      <c r="D402" s="306">
        <f t="shared" ca="1" si="182"/>
        <v>-0.73257278054526564</v>
      </c>
      <c r="E402" s="307">
        <f t="shared" ca="1" si="183"/>
        <v>-1.3477835624276135</v>
      </c>
      <c r="F402" s="304">
        <f t="shared" ca="1" si="184"/>
        <v>1.5340089341154084</v>
      </c>
      <c r="G402" s="306">
        <f t="shared" ca="1" si="185"/>
        <v>9.2391630606909878</v>
      </c>
      <c r="H402" s="307">
        <f t="shared" ca="1" si="186"/>
        <v>-106.72593666023815</v>
      </c>
      <c r="I402" s="304">
        <f t="shared" ca="1" si="187"/>
        <v>107.12510298742869</v>
      </c>
      <c r="J402" s="306">
        <f t="shared" ca="1" si="188"/>
        <v>746.86410190403069</v>
      </c>
      <c r="K402" s="307">
        <f t="shared" ca="1" si="189"/>
        <v>-2.4180562505351069</v>
      </c>
      <c r="L402" s="304">
        <f t="shared" ca="1" si="174"/>
        <v>746.86801625785597</v>
      </c>
      <c r="M402" s="306">
        <f t="shared" ca="1" si="190"/>
        <v>-1.4844425637870122</v>
      </c>
      <c r="N402" s="304">
        <f t="shared" ca="1" si="191"/>
        <v>-85.052293834575295</v>
      </c>
      <c r="P402" s="310">
        <f t="shared" ca="1" si="192"/>
        <v>23</v>
      </c>
      <c r="Q402" s="304">
        <f t="shared" ca="1" si="193"/>
        <v>0</v>
      </c>
      <c r="R402" s="306">
        <f t="shared" ca="1" si="194"/>
        <v>0</v>
      </c>
      <c r="S402" s="307">
        <f t="shared" ca="1" si="195"/>
        <v>5.083000000000002</v>
      </c>
      <c r="T402" s="304">
        <f t="shared" ca="1" si="175"/>
        <v>49.86423000000002</v>
      </c>
      <c r="U402" s="311">
        <f t="shared" ca="1" si="176"/>
        <v>0</v>
      </c>
      <c r="V402" s="306">
        <f t="shared" ca="1" si="177"/>
        <v>1.2252962477078717</v>
      </c>
      <c r="W402" s="304">
        <f t="shared" ca="1" si="178"/>
        <v>43.174473176213247</v>
      </c>
      <c r="Y402" s="314" t="str">
        <f t="shared" ca="1" si="196"/>
        <v/>
      </c>
      <c r="Z402" s="315" t="str">
        <f t="shared" ca="1" si="197"/>
        <v/>
      </c>
      <c r="AA402" s="316" t="str">
        <f t="shared" ca="1" si="198"/>
        <v/>
      </c>
      <c r="AC402" s="310" t="e">
        <f t="shared" ca="1" si="199"/>
        <v>#N/A</v>
      </c>
      <c r="AD402" s="323" t="e">
        <f t="shared" ca="1" si="200"/>
        <v>#N/A</v>
      </c>
      <c r="AE402" s="324" t="e">
        <f t="shared" ca="1" si="179"/>
        <v>#N/A</v>
      </c>
      <c r="AG402" s="306">
        <f t="shared" ca="1" si="201"/>
        <v>1.2795790000043947</v>
      </c>
      <c r="AH402" s="304">
        <f t="shared" ca="1" si="202"/>
        <v>-8.4938666056817791</v>
      </c>
    </row>
    <row r="403" spans="1:34" x14ac:dyDescent="0.2">
      <c r="A403" s="347">
        <f t="shared" ca="1" si="180"/>
        <v>1E-4</v>
      </c>
      <c r="B403" s="304">
        <f t="shared" ca="1" si="181"/>
        <v>29.201700000000145</v>
      </c>
      <c r="D403" s="306">
        <f t="shared" ca="1" si="182"/>
        <v>-0.73256862889697572</v>
      </c>
      <c r="E403" s="307">
        <f t="shared" ca="1" si="183"/>
        <v>-1.3477537366367489</v>
      </c>
      <c r="F403" s="304">
        <f t="shared" ca="1" si="184"/>
        <v>1.5339807465096535</v>
      </c>
      <c r="G403" s="306">
        <f t="shared" ca="1" si="185"/>
        <v>9.2390898038280973</v>
      </c>
      <c r="H403" s="307">
        <f t="shared" ca="1" si="186"/>
        <v>-106.72607143561181</v>
      </c>
      <c r="I403" s="304">
        <f t="shared" ca="1" si="187"/>
        <v>107.12523094249326</v>
      </c>
      <c r="J403" s="306">
        <f t="shared" ca="1" si="188"/>
        <v>746.86410190403069</v>
      </c>
      <c r="K403" s="307">
        <f t="shared" ca="1" si="189"/>
        <v>-2.4287288509398994</v>
      </c>
      <c r="L403" s="304">
        <f t="shared" ca="1" si="174"/>
        <v>746.86805088766903</v>
      </c>
      <c r="M403" s="306">
        <f t="shared" ca="1" si="190"/>
        <v>-1.4844433535897152</v>
      </c>
      <c r="N403" s="304">
        <f t="shared" ca="1" si="191"/>
        <v>-85.052339086936826</v>
      </c>
      <c r="P403" s="310">
        <f t="shared" ca="1" si="192"/>
        <v>23</v>
      </c>
      <c r="Q403" s="304">
        <f t="shared" ca="1" si="193"/>
        <v>0</v>
      </c>
      <c r="R403" s="306">
        <f t="shared" ca="1" si="194"/>
        <v>0</v>
      </c>
      <c r="S403" s="307">
        <f t="shared" ca="1" si="195"/>
        <v>5.083000000000002</v>
      </c>
      <c r="T403" s="304">
        <f t="shared" ca="1" si="175"/>
        <v>49.86423000000002</v>
      </c>
      <c r="U403" s="311">
        <f t="shared" ca="1" si="176"/>
        <v>0</v>
      </c>
      <c r="V403" s="306">
        <f t="shared" ca="1" si="177"/>
        <v>1.2252975554183119</v>
      </c>
      <c r="W403" s="304">
        <f t="shared" ca="1" si="178"/>
        <v>43.174622393884277</v>
      </c>
      <c r="Y403" s="314" t="str">
        <f t="shared" ca="1" si="196"/>
        <v/>
      </c>
      <c r="Z403" s="315" t="str">
        <f t="shared" ca="1" si="197"/>
        <v/>
      </c>
      <c r="AA403" s="316" t="str">
        <f t="shared" ca="1" si="198"/>
        <v/>
      </c>
      <c r="AC403" s="310" t="e">
        <f t="shared" ca="1" si="199"/>
        <v>#N/A</v>
      </c>
      <c r="AD403" s="323" t="e">
        <f t="shared" ca="1" si="200"/>
        <v>#N/A</v>
      </c>
      <c r="AE403" s="324" t="e">
        <f t="shared" ca="1" si="179"/>
        <v>#N/A</v>
      </c>
      <c r="AG403" s="306">
        <f t="shared" ca="1" si="201"/>
        <v>1.2795503116618008</v>
      </c>
      <c r="AH403" s="304">
        <f t="shared" ca="1" si="202"/>
        <v>-8.4938959622689811</v>
      </c>
    </row>
    <row r="404" spans="1:34" x14ac:dyDescent="0.2">
      <c r="A404" s="347">
        <f t="shared" ca="1" si="180"/>
        <v>1E-4</v>
      </c>
      <c r="B404" s="304">
        <f t="shared" ca="1" si="181"/>
        <v>29.201800000000144</v>
      </c>
      <c r="D404" s="306">
        <f t="shared" ca="1" si="182"/>
        <v>-0.73256447723939999</v>
      </c>
      <c r="E404" s="307">
        <f t="shared" ca="1" si="183"/>
        <v>-1.3477239112180328</v>
      </c>
      <c r="F404" s="304">
        <f t="shared" ca="1" si="184"/>
        <v>1.5339525592996244</v>
      </c>
      <c r="G404" s="306">
        <f t="shared" ca="1" si="185"/>
        <v>9.2390165473803734</v>
      </c>
      <c r="H404" s="307">
        <f t="shared" ca="1" si="186"/>
        <v>-106.72620620800294</v>
      </c>
      <c r="I404" s="304">
        <f t="shared" ca="1" si="187"/>
        <v>107.12535889468904</v>
      </c>
      <c r="J404" s="306">
        <f t="shared" ca="1" si="188"/>
        <v>746.86410190403069</v>
      </c>
      <c r="K404" s="307">
        <f t="shared" ca="1" si="189"/>
        <v>-2.4394014648220801</v>
      </c>
      <c r="L404" s="304">
        <f t="shared" ca="1" si="174"/>
        <v>746.86808567003368</v>
      </c>
      <c r="M404" s="306">
        <f t="shared" ca="1" si="190"/>
        <v>-1.4844441433842692</v>
      </c>
      <c r="N404" s="304">
        <f t="shared" ca="1" si="191"/>
        <v>-85.052384338831445</v>
      </c>
      <c r="P404" s="310">
        <f t="shared" ca="1" si="192"/>
        <v>23</v>
      </c>
      <c r="Q404" s="304">
        <f t="shared" ca="1" si="193"/>
        <v>0</v>
      </c>
      <c r="R404" s="306">
        <f t="shared" ca="1" si="194"/>
        <v>0</v>
      </c>
      <c r="S404" s="307">
        <f t="shared" ca="1" si="195"/>
        <v>5.083000000000002</v>
      </c>
      <c r="T404" s="304">
        <f t="shared" ca="1" si="175"/>
        <v>49.86423000000002</v>
      </c>
      <c r="U404" s="311">
        <f t="shared" ca="1" si="176"/>
        <v>0</v>
      </c>
      <c r="V404" s="306">
        <f t="shared" ca="1" si="177"/>
        <v>1.2252988631317987</v>
      </c>
      <c r="W404" s="304">
        <f t="shared" ca="1" si="178"/>
        <v>43.174771609693593</v>
      </c>
      <c r="Y404" s="314" t="str">
        <f t="shared" ca="1" si="196"/>
        <v/>
      </c>
      <c r="Z404" s="315" t="str">
        <f t="shared" ca="1" si="197"/>
        <v/>
      </c>
      <c r="AA404" s="316" t="str">
        <f t="shared" ca="1" si="198"/>
        <v/>
      </c>
      <c r="AC404" s="310" t="e">
        <f t="shared" ca="1" si="199"/>
        <v>#N/A</v>
      </c>
      <c r="AD404" s="323" t="e">
        <f t="shared" ca="1" si="200"/>
        <v>#N/A</v>
      </c>
      <c r="AE404" s="324" t="e">
        <f t="shared" ca="1" si="179"/>
        <v>#N/A</v>
      </c>
      <c r="AG404" s="306">
        <f t="shared" ca="1" si="201"/>
        <v>1.2795216236724816</v>
      </c>
      <c r="AH404" s="304">
        <f t="shared" ca="1" si="202"/>
        <v>-8.4939253184899197</v>
      </c>
    </row>
    <row r="405" spans="1:34" x14ac:dyDescent="0.2">
      <c r="A405" s="347">
        <f t="shared" ca="1" si="180"/>
        <v>1E-4</v>
      </c>
      <c r="B405" s="304">
        <f t="shared" ca="1" si="181"/>
        <v>29.201900000000144</v>
      </c>
      <c r="D405" s="306">
        <f t="shared" ca="1" si="182"/>
        <v>-0.73256032557254003</v>
      </c>
      <c r="E405" s="307">
        <f t="shared" ca="1" si="183"/>
        <v>-1.3476940861714617</v>
      </c>
      <c r="F405" s="304">
        <f t="shared" ca="1" si="184"/>
        <v>1.5339243724853182</v>
      </c>
      <c r="G405" s="306">
        <f t="shared" ca="1" si="185"/>
        <v>9.238943291347816</v>
      </c>
      <c r="H405" s="307">
        <f t="shared" ca="1" si="186"/>
        <v>-106.72634097741155</v>
      </c>
      <c r="I405" s="304">
        <f t="shared" ca="1" si="187"/>
        <v>107.12548684401605</v>
      </c>
      <c r="J405" s="306">
        <f t="shared" ca="1" si="188"/>
        <v>746.86410190403069</v>
      </c>
      <c r="K405" s="307">
        <f t="shared" ca="1" si="189"/>
        <v>-2.4500740921813509</v>
      </c>
      <c r="L405" s="304">
        <f t="shared" ca="1" si="174"/>
        <v>746.86812060495095</v>
      </c>
      <c r="M405" s="306">
        <f t="shared" ca="1" si="190"/>
        <v>-1.4844449331706744</v>
      </c>
      <c r="N405" s="304">
        <f t="shared" ca="1" si="191"/>
        <v>-85.05242959025918</v>
      </c>
      <c r="P405" s="310">
        <f t="shared" ca="1" si="192"/>
        <v>23</v>
      </c>
      <c r="Q405" s="304">
        <f t="shared" ca="1" si="193"/>
        <v>0</v>
      </c>
      <c r="R405" s="306">
        <f t="shared" ca="1" si="194"/>
        <v>0</v>
      </c>
      <c r="S405" s="307">
        <f t="shared" ca="1" si="195"/>
        <v>5.083000000000002</v>
      </c>
      <c r="T405" s="304">
        <f t="shared" ca="1" si="175"/>
        <v>49.86423000000002</v>
      </c>
      <c r="U405" s="311">
        <f t="shared" ca="1" si="176"/>
        <v>0</v>
      </c>
      <c r="V405" s="306">
        <f t="shared" ca="1" si="177"/>
        <v>1.2253001708483335</v>
      </c>
      <c r="W405" s="304">
        <f t="shared" ca="1" si="178"/>
        <v>43.174920823641244</v>
      </c>
      <c r="Y405" s="314" t="str">
        <f t="shared" ca="1" si="196"/>
        <v/>
      </c>
      <c r="Z405" s="315" t="str">
        <f t="shared" ca="1" si="197"/>
        <v/>
      </c>
      <c r="AA405" s="316" t="str">
        <f t="shared" ca="1" si="198"/>
        <v/>
      </c>
      <c r="AC405" s="310" t="e">
        <f t="shared" ca="1" si="199"/>
        <v>#N/A</v>
      </c>
      <c r="AD405" s="323" t="e">
        <f t="shared" ca="1" si="200"/>
        <v>#N/A</v>
      </c>
      <c r="AE405" s="324" t="e">
        <f t="shared" ca="1" si="179"/>
        <v>#N/A</v>
      </c>
      <c r="AG405" s="306">
        <f t="shared" ca="1" si="201"/>
        <v>1.2794929360364353</v>
      </c>
      <c r="AH405" s="304">
        <f t="shared" ca="1" si="202"/>
        <v>-8.4939546743445948</v>
      </c>
    </row>
    <row r="406" spans="1:34" x14ac:dyDescent="0.2">
      <c r="A406" s="347">
        <f t="shared" ca="1" si="180"/>
        <v>1E-4</v>
      </c>
      <c r="B406" s="304">
        <f t="shared" ca="1" si="181"/>
        <v>29.202000000000144</v>
      </c>
      <c r="D406" s="306">
        <f t="shared" ca="1" si="182"/>
        <v>-0.7325561738963966</v>
      </c>
      <c r="E406" s="307">
        <f t="shared" ca="1" si="183"/>
        <v>-1.3476642614970302</v>
      </c>
      <c r="F406" s="304">
        <f t="shared" ca="1" si="184"/>
        <v>1.5338961860667311</v>
      </c>
      <c r="G406" s="306">
        <f t="shared" ca="1" si="185"/>
        <v>9.238870035730427</v>
      </c>
      <c r="H406" s="307">
        <f t="shared" ca="1" si="186"/>
        <v>-106.7264757438377</v>
      </c>
      <c r="I406" s="304">
        <f t="shared" ca="1" si="187"/>
        <v>107.12561479047433</v>
      </c>
      <c r="J406" s="306">
        <f t="shared" ca="1" si="188"/>
        <v>746.86410190403069</v>
      </c>
      <c r="K406" s="307">
        <f t="shared" ca="1" si="189"/>
        <v>-2.4607467330174133</v>
      </c>
      <c r="L406" s="304">
        <f t="shared" ca="1" si="174"/>
        <v>746.86815569242094</v>
      </c>
      <c r="M406" s="306">
        <f t="shared" ca="1" si="190"/>
        <v>-1.4844457229489305</v>
      </c>
      <c r="N406" s="304">
        <f t="shared" ca="1" si="191"/>
        <v>-85.052474841220004</v>
      </c>
      <c r="P406" s="310">
        <f t="shared" ca="1" si="192"/>
        <v>23</v>
      </c>
      <c r="Q406" s="304">
        <f t="shared" ca="1" si="193"/>
        <v>0</v>
      </c>
      <c r="R406" s="306">
        <f t="shared" ca="1" si="194"/>
        <v>0</v>
      </c>
      <c r="S406" s="307">
        <f t="shared" ca="1" si="195"/>
        <v>5.083000000000002</v>
      </c>
      <c r="T406" s="304">
        <f t="shared" ca="1" si="175"/>
        <v>49.86423000000002</v>
      </c>
      <c r="U406" s="311">
        <f t="shared" ca="1" si="176"/>
        <v>0</v>
      </c>
      <c r="V406" s="306">
        <f t="shared" ca="1" si="177"/>
        <v>1.2253014785679148</v>
      </c>
      <c r="W406" s="304">
        <f t="shared" ca="1" si="178"/>
        <v>43.175070035727181</v>
      </c>
      <c r="Y406" s="314" t="str">
        <f t="shared" ca="1" si="196"/>
        <v/>
      </c>
      <c r="Z406" s="315" t="str">
        <f t="shared" ca="1" si="197"/>
        <v/>
      </c>
      <c r="AA406" s="316" t="str">
        <f t="shared" ca="1" si="198"/>
        <v/>
      </c>
      <c r="AC406" s="310" t="e">
        <f t="shared" ca="1" si="199"/>
        <v>#N/A</v>
      </c>
      <c r="AD406" s="323" t="e">
        <f t="shared" ca="1" si="200"/>
        <v>#N/A</v>
      </c>
      <c r="AE406" s="324" t="e">
        <f t="shared" ca="1" si="179"/>
        <v>#N/A</v>
      </c>
      <c r="AG406" s="306">
        <f t="shared" ca="1" si="201"/>
        <v>1.2794642487536496</v>
      </c>
      <c r="AH406" s="304">
        <f t="shared" ca="1" si="202"/>
        <v>-8.4939840298330171</v>
      </c>
    </row>
    <row r="407" spans="1:34" x14ac:dyDescent="0.2">
      <c r="A407" s="347">
        <f t="shared" ca="1" si="180"/>
        <v>1E-4</v>
      </c>
      <c r="B407" s="304">
        <f t="shared" ca="1" si="181"/>
        <v>29.202100000000144</v>
      </c>
      <c r="D407" s="306">
        <f t="shared" ca="1" si="182"/>
        <v>-0.73255202221097249</v>
      </c>
      <c r="E407" s="307">
        <f t="shared" ca="1" si="183"/>
        <v>-1.3476344371947437</v>
      </c>
      <c r="F407" s="304">
        <f t="shared" ca="1" si="184"/>
        <v>1.5338680000438691</v>
      </c>
      <c r="G407" s="306">
        <f t="shared" ca="1" si="185"/>
        <v>9.2387967805282063</v>
      </c>
      <c r="H407" s="307">
        <f t="shared" ca="1" si="186"/>
        <v>-106.72661050728142</v>
      </c>
      <c r="I407" s="304">
        <f t="shared" ca="1" si="187"/>
        <v>107.12574273406393</v>
      </c>
      <c r="J407" s="306">
        <f t="shared" ca="1" si="188"/>
        <v>746.86410190403069</v>
      </c>
      <c r="K407" s="307">
        <f t="shared" ca="1" si="189"/>
        <v>-2.4714193873299695</v>
      </c>
      <c r="L407" s="304">
        <f t="shared" ca="1" si="174"/>
        <v>746.86819093244446</v>
      </c>
      <c r="M407" s="306">
        <f t="shared" ca="1" si="190"/>
        <v>-1.4844465127190383</v>
      </c>
      <c r="N407" s="304">
        <f t="shared" ca="1" si="191"/>
        <v>-85.052520091713973</v>
      </c>
      <c r="P407" s="310">
        <f t="shared" ca="1" si="192"/>
        <v>23</v>
      </c>
      <c r="Q407" s="304">
        <f t="shared" ca="1" si="193"/>
        <v>0</v>
      </c>
      <c r="R407" s="306">
        <f t="shared" ca="1" si="194"/>
        <v>0</v>
      </c>
      <c r="S407" s="307">
        <f t="shared" ca="1" si="195"/>
        <v>5.083000000000002</v>
      </c>
      <c r="T407" s="304">
        <f t="shared" ca="1" si="175"/>
        <v>49.86423000000002</v>
      </c>
      <c r="U407" s="311">
        <f t="shared" ca="1" si="176"/>
        <v>0</v>
      </c>
      <c r="V407" s="306">
        <f t="shared" ca="1" si="177"/>
        <v>1.2253027862905435</v>
      </c>
      <c r="W407" s="304">
        <f t="shared" ca="1" si="178"/>
        <v>43.175219245951475</v>
      </c>
      <c r="Y407" s="314" t="str">
        <f t="shared" ca="1" si="196"/>
        <v/>
      </c>
      <c r="Z407" s="315" t="str">
        <f t="shared" ca="1" si="197"/>
        <v/>
      </c>
      <c r="AA407" s="316" t="str">
        <f t="shared" ca="1" si="198"/>
        <v/>
      </c>
      <c r="AC407" s="310" t="e">
        <f t="shared" ca="1" si="199"/>
        <v>#N/A</v>
      </c>
      <c r="AD407" s="323" t="e">
        <f t="shared" ca="1" si="200"/>
        <v>#N/A</v>
      </c>
      <c r="AE407" s="324" t="e">
        <f t="shared" ca="1" si="179"/>
        <v>#N/A</v>
      </c>
      <c r="AG407" s="306">
        <f t="shared" ca="1" si="201"/>
        <v>1.2794355618241351</v>
      </c>
      <c r="AH407" s="304">
        <f t="shared" ca="1" si="202"/>
        <v>-8.4940133849551778</v>
      </c>
    </row>
    <row r="408" spans="1:34" x14ac:dyDescent="0.2">
      <c r="A408" s="347">
        <f t="shared" ca="1" si="180"/>
        <v>1E-4</v>
      </c>
      <c r="B408" s="304">
        <f t="shared" ca="1" si="181"/>
        <v>29.202200000000143</v>
      </c>
      <c r="D408" s="306">
        <f t="shared" ca="1" si="182"/>
        <v>-0.73254787051626435</v>
      </c>
      <c r="E408" s="307">
        <f t="shared" ca="1" si="183"/>
        <v>-1.3476046132645934</v>
      </c>
      <c r="F408" s="304">
        <f t="shared" ca="1" si="184"/>
        <v>1.5338398144167231</v>
      </c>
      <c r="G408" s="306">
        <f t="shared" ca="1" si="185"/>
        <v>9.238723525741154</v>
      </c>
      <c r="H408" s="307">
        <f t="shared" ca="1" si="186"/>
        <v>-106.72674526774274</v>
      </c>
      <c r="I408" s="304">
        <f t="shared" ca="1" si="187"/>
        <v>107.12587067478486</v>
      </c>
      <c r="J408" s="306">
        <f t="shared" ca="1" si="188"/>
        <v>746.86410190403069</v>
      </c>
      <c r="K408" s="307">
        <f t="shared" ca="1" si="189"/>
        <v>-2.4820920551187209</v>
      </c>
      <c r="L408" s="304">
        <f t="shared" ca="1" si="174"/>
        <v>746.86822632502208</v>
      </c>
      <c r="M408" s="306">
        <f t="shared" ca="1" si="190"/>
        <v>-1.4844473024809972</v>
      </c>
      <c r="N408" s="304">
        <f t="shared" ca="1" si="191"/>
        <v>-85.052565341741044</v>
      </c>
      <c r="P408" s="310">
        <f t="shared" ca="1" si="192"/>
        <v>23</v>
      </c>
      <c r="Q408" s="304">
        <f t="shared" ca="1" si="193"/>
        <v>0</v>
      </c>
      <c r="R408" s="306">
        <f t="shared" ca="1" si="194"/>
        <v>0</v>
      </c>
      <c r="S408" s="307">
        <f t="shared" ca="1" si="195"/>
        <v>5.083000000000002</v>
      </c>
      <c r="T408" s="304">
        <f t="shared" ca="1" si="175"/>
        <v>49.86423000000002</v>
      </c>
      <c r="U408" s="311">
        <f t="shared" ca="1" si="176"/>
        <v>0</v>
      </c>
      <c r="V408" s="306">
        <f t="shared" ca="1" si="177"/>
        <v>1.225304094016219</v>
      </c>
      <c r="W408" s="304">
        <f t="shared" ca="1" si="178"/>
        <v>43.175368454314082</v>
      </c>
      <c r="Y408" s="314" t="str">
        <f t="shared" ca="1" si="196"/>
        <v/>
      </c>
      <c r="Z408" s="315" t="str">
        <f t="shared" ca="1" si="197"/>
        <v/>
      </c>
      <c r="AA408" s="316" t="str">
        <f t="shared" ca="1" si="198"/>
        <v/>
      </c>
      <c r="AC408" s="310" t="e">
        <f t="shared" ca="1" si="199"/>
        <v>#N/A</v>
      </c>
      <c r="AD408" s="323" t="e">
        <f t="shared" ca="1" si="200"/>
        <v>#N/A</v>
      </c>
      <c r="AE408" s="324" t="e">
        <f t="shared" ca="1" si="179"/>
        <v>#N/A</v>
      </c>
      <c r="AG408" s="306">
        <f t="shared" ca="1" si="201"/>
        <v>1.2794068752478829</v>
      </c>
      <c r="AH408" s="304">
        <f t="shared" ca="1" si="202"/>
        <v>-8.4940427397110874</v>
      </c>
    </row>
    <row r="409" spans="1:34" x14ac:dyDescent="0.2">
      <c r="A409" s="347">
        <f t="shared" ca="1" si="180"/>
        <v>1E-4</v>
      </c>
      <c r="B409" s="304">
        <f t="shared" ca="1" si="181"/>
        <v>29.202300000000143</v>
      </c>
      <c r="D409" s="306">
        <f t="shared" ca="1" si="182"/>
        <v>-0.7325437188122772</v>
      </c>
      <c r="E409" s="307">
        <f t="shared" ca="1" si="183"/>
        <v>-1.3475747897065808</v>
      </c>
      <c r="F409" s="304">
        <f t="shared" ca="1" si="184"/>
        <v>1.5338116291852975</v>
      </c>
      <c r="G409" s="306">
        <f t="shared" ca="1" si="185"/>
        <v>9.2386502713692735</v>
      </c>
      <c r="H409" s="307">
        <f t="shared" ca="1" si="186"/>
        <v>-106.72688002522172</v>
      </c>
      <c r="I409" s="304">
        <f t="shared" ca="1" si="187"/>
        <v>107.12599861263718</v>
      </c>
      <c r="J409" s="306">
        <f t="shared" ca="1" si="188"/>
        <v>746.86410190403069</v>
      </c>
      <c r="K409" s="307">
        <f t="shared" ca="1" si="189"/>
        <v>-2.4927647363833692</v>
      </c>
      <c r="L409" s="304">
        <f t="shared" ca="1" si="174"/>
        <v>746.86826187015424</v>
      </c>
      <c r="M409" s="306">
        <f t="shared" ca="1" si="190"/>
        <v>-1.4844480922348078</v>
      </c>
      <c r="N409" s="304">
        <f t="shared" ca="1" si="191"/>
        <v>-85.052610591301232</v>
      </c>
      <c r="P409" s="310">
        <f t="shared" ca="1" si="192"/>
        <v>23</v>
      </c>
      <c r="Q409" s="304">
        <f t="shared" ca="1" si="193"/>
        <v>0</v>
      </c>
      <c r="R409" s="306">
        <f t="shared" ca="1" si="194"/>
        <v>0</v>
      </c>
      <c r="S409" s="307">
        <f t="shared" ca="1" si="195"/>
        <v>5.083000000000002</v>
      </c>
      <c r="T409" s="304">
        <f t="shared" ca="1" si="175"/>
        <v>49.86423000000002</v>
      </c>
      <c r="U409" s="311">
        <f t="shared" ca="1" si="176"/>
        <v>0</v>
      </c>
      <c r="V409" s="306">
        <f t="shared" ca="1" si="177"/>
        <v>1.2253054017449421</v>
      </c>
      <c r="W409" s="304">
        <f t="shared" ca="1" si="178"/>
        <v>43.175517660815075</v>
      </c>
      <c r="Y409" s="314" t="str">
        <f t="shared" ca="1" si="196"/>
        <v/>
      </c>
      <c r="Z409" s="315" t="str">
        <f t="shared" ca="1" si="197"/>
        <v/>
      </c>
      <c r="AA409" s="316" t="str">
        <f t="shared" ca="1" si="198"/>
        <v/>
      </c>
      <c r="AC409" s="310" t="e">
        <f t="shared" ca="1" si="199"/>
        <v>#N/A</v>
      </c>
      <c r="AD409" s="323" t="e">
        <f t="shared" ca="1" si="200"/>
        <v>#N/A</v>
      </c>
      <c r="AE409" s="324" t="e">
        <f t="shared" ca="1" si="179"/>
        <v>#N/A</v>
      </c>
      <c r="AG409" s="306">
        <f t="shared" ca="1" si="201"/>
        <v>1.2793781890248965</v>
      </c>
      <c r="AH409" s="304">
        <f t="shared" ca="1" si="202"/>
        <v>-8.4940720941007406</v>
      </c>
    </row>
    <row r="410" spans="1:34" x14ac:dyDescent="0.2">
      <c r="A410" s="347">
        <f t="shared" ca="1" si="180"/>
        <v>1E-4</v>
      </c>
      <c r="B410" s="304">
        <f t="shared" ca="1" si="181"/>
        <v>29.202400000000143</v>
      </c>
      <c r="D410" s="306">
        <f t="shared" ca="1" si="182"/>
        <v>-0.73253956709900991</v>
      </c>
      <c r="E410" s="307">
        <f t="shared" ca="1" si="183"/>
        <v>-1.3475449665206991</v>
      </c>
      <c r="F410" s="304">
        <f t="shared" ca="1" si="184"/>
        <v>1.5337834443495852</v>
      </c>
      <c r="G410" s="306">
        <f t="shared" ca="1" si="185"/>
        <v>9.2385770174125632</v>
      </c>
      <c r="H410" s="307">
        <f t="shared" ca="1" si="186"/>
        <v>-106.72701477971837</v>
      </c>
      <c r="I410" s="304">
        <f t="shared" ca="1" si="187"/>
        <v>107.1261265476209</v>
      </c>
      <c r="J410" s="306">
        <f t="shared" ca="1" si="188"/>
        <v>746.86410190403069</v>
      </c>
      <c r="K410" s="307">
        <f t="shared" ca="1" si="189"/>
        <v>-2.5034374311236163</v>
      </c>
      <c r="L410" s="304">
        <f t="shared" ca="1" si="174"/>
        <v>746.86829756784152</v>
      </c>
      <c r="M410" s="306">
        <f t="shared" ca="1" si="190"/>
        <v>-1.4844488819804702</v>
      </c>
      <c r="N410" s="304">
        <f t="shared" ca="1" si="191"/>
        <v>-85.052655840394578</v>
      </c>
      <c r="P410" s="310">
        <f t="shared" ca="1" si="192"/>
        <v>23</v>
      </c>
      <c r="Q410" s="304">
        <f t="shared" ca="1" si="193"/>
        <v>0</v>
      </c>
      <c r="R410" s="306">
        <f t="shared" ca="1" si="194"/>
        <v>0</v>
      </c>
      <c r="S410" s="307">
        <f t="shared" ca="1" si="195"/>
        <v>5.083000000000002</v>
      </c>
      <c r="T410" s="304">
        <f t="shared" ca="1" si="175"/>
        <v>49.86423000000002</v>
      </c>
      <c r="U410" s="311">
        <f t="shared" ca="1" si="176"/>
        <v>0</v>
      </c>
      <c r="V410" s="306">
        <f t="shared" ca="1" si="177"/>
        <v>1.2253067094767123</v>
      </c>
      <c r="W410" s="304">
        <f t="shared" ca="1" si="178"/>
        <v>43.175666865454446</v>
      </c>
      <c r="Y410" s="314" t="str">
        <f t="shared" ca="1" si="196"/>
        <v/>
      </c>
      <c r="Z410" s="315" t="str">
        <f t="shared" ca="1" si="197"/>
        <v/>
      </c>
      <c r="AA410" s="316" t="str">
        <f t="shared" ca="1" si="198"/>
        <v/>
      </c>
      <c r="AC410" s="310" t="e">
        <f t="shared" ca="1" si="199"/>
        <v>#N/A</v>
      </c>
      <c r="AD410" s="323" t="e">
        <f t="shared" ca="1" si="200"/>
        <v>#N/A</v>
      </c>
      <c r="AE410" s="324" t="e">
        <f t="shared" ca="1" si="179"/>
        <v>#N/A</v>
      </c>
      <c r="AG410" s="306">
        <f t="shared" ca="1" si="201"/>
        <v>1.2793495031551618</v>
      </c>
      <c r="AH410" s="304">
        <f t="shared" ca="1" si="202"/>
        <v>-8.4941014481241499</v>
      </c>
    </row>
    <row r="411" spans="1:34" x14ac:dyDescent="0.2">
      <c r="A411" s="347">
        <f t="shared" ca="1" si="180"/>
        <v>1E-4</v>
      </c>
      <c r="B411" s="304">
        <f t="shared" ca="1" si="181"/>
        <v>29.202500000000143</v>
      </c>
      <c r="D411" s="306">
        <f t="shared" ca="1" si="182"/>
        <v>-0.73253541537646216</v>
      </c>
      <c r="E411" s="307">
        <f t="shared" ca="1" si="183"/>
        <v>-1.3475151437069428</v>
      </c>
      <c r="F411" s="304">
        <f t="shared" ca="1" si="184"/>
        <v>1.5337552599095818</v>
      </c>
      <c r="G411" s="306">
        <f t="shared" ca="1" si="185"/>
        <v>9.2385037638710248</v>
      </c>
      <c r="H411" s="307">
        <f t="shared" ca="1" si="186"/>
        <v>-106.72714953123274</v>
      </c>
      <c r="I411" s="304">
        <f t="shared" ca="1" si="187"/>
        <v>107.12625447973606</v>
      </c>
      <c r="J411" s="306">
        <f t="shared" ca="1" si="188"/>
        <v>746.86410190403069</v>
      </c>
      <c r="K411" s="307">
        <f t="shared" ca="1" si="189"/>
        <v>-2.5141101393391638</v>
      </c>
      <c r="L411" s="304">
        <f t="shared" ca="1" si="174"/>
        <v>746.86833341808449</v>
      </c>
      <c r="M411" s="306">
        <f t="shared" ca="1" si="190"/>
        <v>-1.4844496717179843</v>
      </c>
      <c r="N411" s="304">
        <f t="shared" ca="1" si="191"/>
        <v>-85.052701089021056</v>
      </c>
      <c r="P411" s="310">
        <f t="shared" ca="1" si="192"/>
        <v>23</v>
      </c>
      <c r="Q411" s="304">
        <f t="shared" ca="1" si="193"/>
        <v>0</v>
      </c>
      <c r="R411" s="306">
        <f t="shared" ca="1" si="194"/>
        <v>0</v>
      </c>
      <c r="S411" s="307">
        <f t="shared" ca="1" si="195"/>
        <v>5.083000000000002</v>
      </c>
      <c r="T411" s="304">
        <f t="shared" ca="1" si="175"/>
        <v>49.86423000000002</v>
      </c>
      <c r="U411" s="311">
        <f t="shared" ca="1" si="176"/>
        <v>0</v>
      </c>
      <c r="V411" s="306">
        <f t="shared" ca="1" si="177"/>
        <v>1.2253080172115287</v>
      </c>
      <c r="W411" s="304">
        <f t="shared" ca="1" si="178"/>
        <v>43.175816068232152</v>
      </c>
      <c r="Y411" s="314" t="str">
        <f t="shared" ca="1" si="196"/>
        <v/>
      </c>
      <c r="Z411" s="315" t="str">
        <f t="shared" ca="1" si="197"/>
        <v/>
      </c>
      <c r="AA411" s="316" t="str">
        <f t="shared" ca="1" si="198"/>
        <v/>
      </c>
      <c r="AC411" s="310" t="e">
        <f t="shared" ca="1" si="199"/>
        <v>#N/A</v>
      </c>
      <c r="AD411" s="323" t="e">
        <f t="shared" ca="1" si="200"/>
        <v>#N/A</v>
      </c>
      <c r="AE411" s="324" t="e">
        <f t="shared" ca="1" si="179"/>
        <v>#N/A</v>
      </c>
      <c r="AG411" s="306">
        <f t="shared" ca="1" si="201"/>
        <v>1.2793208176386841</v>
      </c>
      <c r="AH411" s="304">
        <f t="shared" ca="1" si="202"/>
        <v>-8.4941308017813153</v>
      </c>
    </row>
    <row r="412" spans="1:34" x14ac:dyDescent="0.2">
      <c r="A412" s="347">
        <f t="shared" ca="1" si="180"/>
        <v>1E-4</v>
      </c>
      <c r="B412" s="304">
        <f t="shared" ca="1" si="181"/>
        <v>29.202600000000142</v>
      </c>
      <c r="D412" s="306">
        <f t="shared" ca="1" si="182"/>
        <v>-0.73253126364463683</v>
      </c>
      <c r="E412" s="307">
        <f t="shared" ca="1" si="183"/>
        <v>-1.3474853212653262</v>
      </c>
      <c r="F412" s="304">
        <f t="shared" ca="1" si="184"/>
        <v>1.5337270758653012</v>
      </c>
      <c r="G412" s="306">
        <f t="shared" ca="1" si="185"/>
        <v>9.23843051074466</v>
      </c>
      <c r="H412" s="307">
        <f t="shared" ca="1" si="186"/>
        <v>-106.72728427976487</v>
      </c>
      <c r="I412" s="304">
        <f t="shared" ca="1" si="187"/>
        <v>107.12638240898274</v>
      </c>
      <c r="J412" s="306">
        <f t="shared" ca="1" si="188"/>
        <v>746.86410190403069</v>
      </c>
      <c r="K412" s="307">
        <f t="shared" ca="1" si="189"/>
        <v>-2.5247828610297138</v>
      </c>
      <c r="L412" s="304">
        <f t="shared" ca="1" si="174"/>
        <v>746.86836942088371</v>
      </c>
      <c r="M412" s="306">
        <f t="shared" ca="1" si="190"/>
        <v>-1.4844504614473502</v>
      </c>
      <c r="N412" s="304">
        <f t="shared" ca="1" si="191"/>
        <v>-85.052746337180679</v>
      </c>
      <c r="P412" s="310">
        <f t="shared" ca="1" si="192"/>
        <v>23</v>
      </c>
      <c r="Q412" s="304">
        <f t="shared" ca="1" si="193"/>
        <v>0</v>
      </c>
      <c r="R412" s="306">
        <f t="shared" ca="1" si="194"/>
        <v>0</v>
      </c>
      <c r="S412" s="307">
        <f t="shared" ca="1" si="195"/>
        <v>5.083000000000002</v>
      </c>
      <c r="T412" s="304">
        <f t="shared" ca="1" si="175"/>
        <v>49.86423000000002</v>
      </c>
      <c r="U412" s="311">
        <f t="shared" ca="1" si="176"/>
        <v>0</v>
      </c>
      <c r="V412" s="306">
        <f t="shared" ca="1" si="177"/>
        <v>1.2253093249493927</v>
      </c>
      <c r="W412" s="304">
        <f t="shared" ca="1" si="178"/>
        <v>43.175965269148307</v>
      </c>
      <c r="Y412" s="314" t="str">
        <f t="shared" ca="1" si="196"/>
        <v/>
      </c>
      <c r="Z412" s="315" t="str">
        <f t="shared" ca="1" si="197"/>
        <v/>
      </c>
      <c r="AA412" s="316" t="str">
        <f t="shared" ca="1" si="198"/>
        <v/>
      </c>
      <c r="AC412" s="310" t="e">
        <f t="shared" ca="1" si="199"/>
        <v>#N/A</v>
      </c>
      <c r="AD412" s="323" t="e">
        <f t="shared" ca="1" si="200"/>
        <v>#N/A</v>
      </c>
      <c r="AE412" s="324" t="e">
        <f t="shared" ca="1" si="179"/>
        <v>#N/A</v>
      </c>
      <c r="AG412" s="306">
        <f t="shared" ca="1" si="201"/>
        <v>1.2792921324754687</v>
      </c>
      <c r="AH412" s="304">
        <f t="shared" ca="1" si="202"/>
        <v>-8.4941601550722279</v>
      </c>
    </row>
    <row r="413" spans="1:34" x14ac:dyDescent="0.2">
      <c r="A413" s="347">
        <f t="shared" ca="1" si="180"/>
        <v>1E-4</v>
      </c>
      <c r="B413" s="304">
        <f t="shared" ca="1" si="181"/>
        <v>29.202700000000142</v>
      </c>
      <c r="D413" s="306">
        <f t="shared" ca="1" si="182"/>
        <v>-0.73252711190353514</v>
      </c>
      <c r="E413" s="307">
        <f t="shared" ca="1" si="183"/>
        <v>-1.3474554991958225</v>
      </c>
      <c r="F413" s="304">
        <f t="shared" ca="1" si="184"/>
        <v>1.5336988922167212</v>
      </c>
      <c r="G413" s="306">
        <f t="shared" ca="1" si="185"/>
        <v>9.238357258033469</v>
      </c>
      <c r="H413" s="307">
        <f t="shared" ca="1" si="186"/>
        <v>-106.72741902531479</v>
      </c>
      <c r="I413" s="304">
        <f t="shared" ca="1" si="187"/>
        <v>107.12651033536089</v>
      </c>
      <c r="J413" s="306">
        <f t="shared" ca="1" si="188"/>
        <v>746.86410190403069</v>
      </c>
      <c r="K413" s="307">
        <f t="shared" ca="1" si="189"/>
        <v>-2.5354555961949679</v>
      </c>
      <c r="L413" s="304">
        <f t="shared" ca="1" si="174"/>
        <v>746.86840557623975</v>
      </c>
      <c r="M413" s="306">
        <f t="shared" ca="1" si="190"/>
        <v>-1.4844512511685681</v>
      </c>
      <c r="N413" s="304">
        <f t="shared" ca="1" si="191"/>
        <v>-85.052791584873461</v>
      </c>
      <c r="P413" s="310">
        <f t="shared" ca="1" si="192"/>
        <v>23</v>
      </c>
      <c r="Q413" s="304">
        <f t="shared" ca="1" si="193"/>
        <v>0</v>
      </c>
      <c r="R413" s="306">
        <f t="shared" ca="1" si="194"/>
        <v>0</v>
      </c>
      <c r="S413" s="307">
        <f t="shared" ca="1" si="195"/>
        <v>5.083000000000002</v>
      </c>
      <c r="T413" s="304">
        <f t="shared" ca="1" si="175"/>
        <v>49.86423000000002</v>
      </c>
      <c r="U413" s="311">
        <f t="shared" ca="1" si="176"/>
        <v>0</v>
      </c>
      <c r="V413" s="306">
        <f t="shared" ca="1" si="177"/>
        <v>1.2253106326903038</v>
      </c>
      <c r="W413" s="304">
        <f t="shared" ca="1" si="178"/>
        <v>43.17611446820284</v>
      </c>
      <c r="Y413" s="314" t="str">
        <f t="shared" ca="1" si="196"/>
        <v/>
      </c>
      <c r="Z413" s="315" t="str">
        <f t="shared" ca="1" si="197"/>
        <v/>
      </c>
      <c r="AA413" s="316" t="str">
        <f t="shared" ca="1" si="198"/>
        <v/>
      </c>
      <c r="AC413" s="310" t="e">
        <f t="shared" ca="1" si="199"/>
        <v>#N/A</v>
      </c>
      <c r="AD413" s="323" t="e">
        <f t="shared" ca="1" si="200"/>
        <v>#N/A</v>
      </c>
      <c r="AE413" s="324" t="e">
        <f t="shared" ca="1" si="179"/>
        <v>#N/A</v>
      </c>
      <c r="AG413" s="306">
        <f t="shared" ca="1" si="201"/>
        <v>1.279263447665496</v>
      </c>
      <c r="AH413" s="304">
        <f t="shared" ca="1" si="202"/>
        <v>-8.494189507996909</v>
      </c>
    </row>
    <row r="414" spans="1:34" x14ac:dyDescent="0.2">
      <c r="A414" s="347">
        <f t="shared" ca="1" si="180"/>
        <v>1E-4</v>
      </c>
      <c r="B414" s="304">
        <f t="shared" ca="1" si="181"/>
        <v>29.202800000000142</v>
      </c>
      <c r="D414" s="306">
        <f t="shared" ca="1" si="182"/>
        <v>-0.7325229601531561</v>
      </c>
      <c r="E414" s="307">
        <f t="shared" ca="1" si="183"/>
        <v>-1.3474256774984461</v>
      </c>
      <c r="F414" s="304">
        <f t="shared" ca="1" si="184"/>
        <v>1.5336707089638535</v>
      </c>
      <c r="G414" s="306">
        <f t="shared" ca="1" si="185"/>
        <v>9.2382840057374533</v>
      </c>
      <c r="H414" s="307">
        <f t="shared" ca="1" si="186"/>
        <v>-106.72755376788254</v>
      </c>
      <c r="I414" s="304">
        <f t="shared" ca="1" si="187"/>
        <v>107.12663825887061</v>
      </c>
      <c r="J414" s="306">
        <f t="shared" ca="1" si="188"/>
        <v>746.86410190403069</v>
      </c>
      <c r="K414" s="307">
        <f t="shared" ca="1" si="189"/>
        <v>-2.5461283448346279</v>
      </c>
      <c r="L414" s="304">
        <f t="shared" ca="1" si="174"/>
        <v>746.86844188415319</v>
      </c>
      <c r="M414" s="306">
        <f t="shared" ca="1" si="190"/>
        <v>-1.4844520408816382</v>
      </c>
      <c r="N414" s="304">
        <f t="shared" ca="1" si="191"/>
        <v>-85.052836832099402</v>
      </c>
      <c r="P414" s="310">
        <f t="shared" ca="1" si="192"/>
        <v>23</v>
      </c>
      <c r="Q414" s="304">
        <f t="shared" ca="1" si="193"/>
        <v>0</v>
      </c>
      <c r="R414" s="306">
        <f t="shared" ca="1" si="194"/>
        <v>0</v>
      </c>
      <c r="S414" s="307">
        <f t="shared" ca="1" si="195"/>
        <v>5.083000000000002</v>
      </c>
      <c r="T414" s="304">
        <f t="shared" ca="1" si="175"/>
        <v>49.86423000000002</v>
      </c>
      <c r="U414" s="311">
        <f t="shared" ca="1" si="176"/>
        <v>0</v>
      </c>
      <c r="V414" s="306">
        <f t="shared" ca="1" si="177"/>
        <v>1.2253119404342614</v>
      </c>
      <c r="W414" s="304">
        <f t="shared" ca="1" si="178"/>
        <v>43.176263665395794</v>
      </c>
      <c r="Y414" s="314" t="str">
        <f t="shared" ca="1" si="196"/>
        <v/>
      </c>
      <c r="Z414" s="315" t="str">
        <f t="shared" ca="1" si="197"/>
        <v/>
      </c>
      <c r="AA414" s="316" t="str">
        <f t="shared" ca="1" si="198"/>
        <v/>
      </c>
      <c r="AC414" s="310" t="e">
        <f t="shared" ca="1" si="199"/>
        <v>#N/A</v>
      </c>
      <c r="AD414" s="323" t="e">
        <f t="shared" ca="1" si="200"/>
        <v>#N/A</v>
      </c>
      <c r="AE414" s="324" t="e">
        <f t="shared" ca="1" si="179"/>
        <v>#N/A</v>
      </c>
      <c r="AG414" s="306">
        <f t="shared" ca="1" si="201"/>
        <v>1.2792347632087804</v>
      </c>
      <c r="AH414" s="304">
        <f t="shared" ca="1" si="202"/>
        <v>-8.4942188605553461</v>
      </c>
    </row>
    <row r="415" spans="1:34" x14ac:dyDescent="0.2">
      <c r="A415" s="347">
        <f t="shared" ca="1" si="180"/>
        <v>1E-4</v>
      </c>
      <c r="B415" s="304">
        <f t="shared" ca="1" si="181"/>
        <v>29.202900000000142</v>
      </c>
      <c r="D415" s="306">
        <f t="shared" ca="1" si="182"/>
        <v>-0.7325188083935017</v>
      </c>
      <c r="E415" s="307">
        <f t="shared" ca="1" si="183"/>
        <v>-1.3473958561731934</v>
      </c>
      <c r="F415" s="304">
        <f t="shared" ca="1" si="184"/>
        <v>1.5336425261066962</v>
      </c>
      <c r="G415" s="306">
        <f t="shared" ca="1" si="185"/>
        <v>9.2382107538566132</v>
      </c>
      <c r="H415" s="307">
        <f t="shared" ca="1" si="186"/>
        <v>-106.72768850746816</v>
      </c>
      <c r="I415" s="304">
        <f t="shared" ca="1" si="187"/>
        <v>107.12676617951193</v>
      </c>
      <c r="J415" s="306">
        <f t="shared" ca="1" si="188"/>
        <v>746.86410190403069</v>
      </c>
      <c r="K415" s="307">
        <f t="shared" ca="1" si="189"/>
        <v>-2.5568011069483956</v>
      </c>
      <c r="L415" s="304">
        <f t="shared" ca="1" si="174"/>
        <v>746.86847834462446</v>
      </c>
      <c r="M415" s="306">
        <f t="shared" ca="1" si="190"/>
        <v>-1.4844528305865605</v>
      </c>
      <c r="N415" s="304">
        <f t="shared" ca="1" si="191"/>
        <v>-85.052882078858516</v>
      </c>
      <c r="P415" s="310">
        <f t="shared" ca="1" si="192"/>
        <v>23</v>
      </c>
      <c r="Q415" s="304">
        <f t="shared" ca="1" si="193"/>
        <v>0</v>
      </c>
      <c r="R415" s="306">
        <f t="shared" ca="1" si="194"/>
        <v>0</v>
      </c>
      <c r="S415" s="307">
        <f t="shared" ca="1" si="195"/>
        <v>5.083000000000002</v>
      </c>
      <c r="T415" s="304">
        <f t="shared" ca="1" si="175"/>
        <v>49.86423000000002</v>
      </c>
      <c r="U415" s="311">
        <f t="shared" ca="1" si="176"/>
        <v>0</v>
      </c>
      <c r="V415" s="306">
        <f t="shared" ca="1" si="177"/>
        <v>1.2253132481812661</v>
      </c>
      <c r="W415" s="304">
        <f t="shared" ca="1" si="178"/>
        <v>43.176412860727183</v>
      </c>
      <c r="Y415" s="314" t="str">
        <f t="shared" ca="1" si="196"/>
        <v/>
      </c>
      <c r="Z415" s="315" t="str">
        <f t="shared" ca="1" si="197"/>
        <v/>
      </c>
      <c r="AA415" s="316" t="str">
        <f t="shared" ca="1" si="198"/>
        <v/>
      </c>
      <c r="AC415" s="310" t="e">
        <f t="shared" ca="1" si="199"/>
        <v>#N/A</v>
      </c>
      <c r="AD415" s="323" t="e">
        <f t="shared" ca="1" si="200"/>
        <v>#N/A</v>
      </c>
      <c r="AE415" s="324" t="e">
        <f t="shared" ca="1" si="179"/>
        <v>#N/A</v>
      </c>
      <c r="AG415" s="306">
        <f t="shared" ca="1" si="201"/>
        <v>1.279206079105311</v>
      </c>
      <c r="AH415" s="304">
        <f t="shared" ca="1" si="202"/>
        <v>-8.4942482127475465</v>
      </c>
    </row>
    <row r="416" spans="1:34" x14ac:dyDescent="0.2">
      <c r="A416" s="347">
        <f t="shared" ca="1" si="180"/>
        <v>1E-4</v>
      </c>
      <c r="B416" s="304">
        <f t="shared" ca="1" si="181"/>
        <v>29.203000000000142</v>
      </c>
      <c r="D416" s="306">
        <f t="shared" ca="1" si="182"/>
        <v>-0.73251465662457205</v>
      </c>
      <c r="E416" s="307">
        <f t="shared" ca="1" si="183"/>
        <v>-1.3473660352200554</v>
      </c>
      <c r="F416" s="304">
        <f t="shared" ca="1" si="184"/>
        <v>1.5336143436452419</v>
      </c>
      <c r="G416" s="306">
        <f t="shared" ca="1" si="185"/>
        <v>9.2381375023909502</v>
      </c>
      <c r="H416" s="307">
        <f t="shared" ca="1" si="186"/>
        <v>-106.72782324407169</v>
      </c>
      <c r="I416" s="304">
        <f t="shared" ca="1" si="187"/>
        <v>107.12689409728489</v>
      </c>
      <c r="J416" s="306">
        <f t="shared" ca="1" si="188"/>
        <v>746.86410190403069</v>
      </c>
      <c r="K416" s="307">
        <f t="shared" ca="1" si="189"/>
        <v>-2.5674738825359724</v>
      </c>
      <c r="L416" s="304">
        <f t="shared" ca="1" si="174"/>
        <v>746.86851495765427</v>
      </c>
      <c r="M416" s="306">
        <f t="shared" ca="1" si="190"/>
        <v>-1.4844536202833352</v>
      </c>
      <c r="N416" s="304">
        <f t="shared" ca="1" si="191"/>
        <v>-85.052927325150804</v>
      </c>
      <c r="P416" s="310">
        <f t="shared" ca="1" si="192"/>
        <v>23</v>
      </c>
      <c r="Q416" s="304">
        <f t="shared" ca="1" si="193"/>
        <v>0</v>
      </c>
      <c r="R416" s="306">
        <f t="shared" ca="1" si="194"/>
        <v>0</v>
      </c>
      <c r="S416" s="307">
        <f t="shared" ca="1" si="195"/>
        <v>5.083000000000002</v>
      </c>
      <c r="T416" s="304">
        <f t="shared" ca="1" si="175"/>
        <v>49.86423000000002</v>
      </c>
      <c r="U416" s="311">
        <f t="shared" ca="1" si="176"/>
        <v>0</v>
      </c>
      <c r="V416" s="306">
        <f t="shared" ca="1" si="177"/>
        <v>1.2253145559313179</v>
      </c>
      <c r="W416" s="304">
        <f t="shared" ca="1" si="178"/>
        <v>43.176562054197056</v>
      </c>
      <c r="Y416" s="314" t="str">
        <f t="shared" ca="1" si="196"/>
        <v/>
      </c>
      <c r="Z416" s="315" t="str">
        <f t="shared" ca="1" si="197"/>
        <v/>
      </c>
      <c r="AA416" s="316" t="str">
        <f t="shared" ca="1" si="198"/>
        <v/>
      </c>
      <c r="AC416" s="310" t="e">
        <f t="shared" ca="1" si="199"/>
        <v>#N/A</v>
      </c>
      <c r="AD416" s="323" t="e">
        <f t="shared" ca="1" si="200"/>
        <v>#N/A</v>
      </c>
      <c r="AE416" s="324" t="e">
        <f t="shared" ca="1" si="179"/>
        <v>#N/A</v>
      </c>
      <c r="AG416" s="306">
        <f t="shared" ca="1" si="201"/>
        <v>1.279177395355088</v>
      </c>
      <c r="AH416" s="304">
        <f t="shared" ca="1" si="202"/>
        <v>-8.4942775645735136</v>
      </c>
    </row>
    <row r="417" spans="1:34" x14ac:dyDescent="0.2">
      <c r="A417" s="347">
        <f t="shared" ca="1" si="180"/>
        <v>1E-4</v>
      </c>
      <c r="B417" s="304">
        <f t="shared" ca="1" si="181"/>
        <v>29.203100000000141</v>
      </c>
      <c r="D417" s="306">
        <f t="shared" ca="1" si="182"/>
        <v>-0.73251050484636948</v>
      </c>
      <c r="E417" s="307">
        <f t="shared" ca="1" si="183"/>
        <v>-1.3473362146390269</v>
      </c>
      <c r="F417" s="304">
        <f t="shared" ca="1" si="184"/>
        <v>1.5335861615794872</v>
      </c>
      <c r="G417" s="306">
        <f t="shared" ca="1" si="185"/>
        <v>9.2380642513404663</v>
      </c>
      <c r="H417" s="307">
        <f t="shared" ca="1" si="186"/>
        <v>-106.72795797769315</v>
      </c>
      <c r="I417" s="304">
        <f t="shared" ca="1" si="187"/>
        <v>107.12702201218949</v>
      </c>
      <c r="J417" s="306">
        <f t="shared" ca="1" si="188"/>
        <v>746.86410190403069</v>
      </c>
      <c r="K417" s="307">
        <f t="shared" ca="1" si="189"/>
        <v>-2.5781466715970605</v>
      </c>
      <c r="L417" s="304">
        <f t="shared" ca="1" si="174"/>
        <v>746.86855172324306</v>
      </c>
      <c r="M417" s="306">
        <f t="shared" ca="1" si="190"/>
        <v>-1.4844544099719623</v>
      </c>
      <c r="N417" s="304">
        <f t="shared" ca="1" si="191"/>
        <v>-85.052972570976266</v>
      </c>
      <c r="P417" s="310">
        <f t="shared" ca="1" si="192"/>
        <v>23</v>
      </c>
      <c r="Q417" s="304">
        <f t="shared" ca="1" si="193"/>
        <v>0</v>
      </c>
      <c r="R417" s="306">
        <f t="shared" ca="1" si="194"/>
        <v>0</v>
      </c>
      <c r="S417" s="307">
        <f t="shared" ca="1" si="195"/>
        <v>5.083000000000002</v>
      </c>
      <c r="T417" s="304">
        <f t="shared" ca="1" si="175"/>
        <v>49.86423000000002</v>
      </c>
      <c r="U417" s="311">
        <f t="shared" ca="1" si="176"/>
        <v>0</v>
      </c>
      <c r="V417" s="306">
        <f t="shared" ca="1" si="177"/>
        <v>1.2253158636844159</v>
      </c>
      <c r="W417" s="304">
        <f t="shared" ca="1" si="178"/>
        <v>43.176711245805343</v>
      </c>
      <c r="Y417" s="314" t="str">
        <f t="shared" ca="1" si="196"/>
        <v/>
      </c>
      <c r="Z417" s="315" t="str">
        <f t="shared" ca="1" si="197"/>
        <v/>
      </c>
      <c r="AA417" s="316" t="str">
        <f t="shared" ca="1" si="198"/>
        <v/>
      </c>
      <c r="AC417" s="310" t="e">
        <f t="shared" ca="1" si="199"/>
        <v>#N/A</v>
      </c>
      <c r="AD417" s="323" t="e">
        <f t="shared" ca="1" si="200"/>
        <v>#N/A</v>
      </c>
      <c r="AE417" s="324" t="e">
        <f t="shared" ca="1" si="179"/>
        <v>#N/A</v>
      </c>
      <c r="AG417" s="306">
        <f t="shared" ca="1" si="201"/>
        <v>1.2791487119581024</v>
      </c>
      <c r="AH417" s="304">
        <f t="shared" ca="1" si="202"/>
        <v>-8.4943069160332563</v>
      </c>
    </row>
    <row r="418" spans="1:34" x14ac:dyDescent="0.2">
      <c r="A418" s="347">
        <f t="shared" ca="1" si="180"/>
        <v>1E-4</v>
      </c>
      <c r="B418" s="304">
        <f t="shared" ca="1" si="181"/>
        <v>29.203200000000141</v>
      </c>
      <c r="D418" s="306">
        <f t="shared" ca="1" si="182"/>
        <v>-0.73250635305889245</v>
      </c>
      <c r="E418" s="307">
        <f t="shared" ca="1" si="183"/>
        <v>-1.3473063944301202</v>
      </c>
      <c r="F418" s="304">
        <f t="shared" ca="1" si="184"/>
        <v>1.5335579799094423</v>
      </c>
      <c r="G418" s="306">
        <f t="shared" ca="1" si="185"/>
        <v>9.2379910007051595</v>
      </c>
      <c r="H418" s="307">
        <f t="shared" ca="1" si="186"/>
        <v>-106.7280927083326</v>
      </c>
      <c r="I418" s="304">
        <f t="shared" ca="1" si="187"/>
        <v>107.12714992422578</v>
      </c>
      <c r="J418" s="306">
        <f t="shared" ca="1" si="188"/>
        <v>746.86410190403069</v>
      </c>
      <c r="K418" s="307">
        <f t="shared" ca="1" si="189"/>
        <v>-2.5888194741313617</v>
      </c>
      <c r="L418" s="304">
        <f t="shared" ca="1" si="174"/>
        <v>746.8685886413914</v>
      </c>
      <c r="M418" s="306">
        <f t="shared" ca="1" si="190"/>
        <v>-1.4844551996524422</v>
      </c>
      <c r="N418" s="304">
        <f t="shared" ca="1" si="191"/>
        <v>-85.053017816334929</v>
      </c>
      <c r="P418" s="310">
        <f t="shared" ca="1" si="192"/>
        <v>23</v>
      </c>
      <c r="Q418" s="304">
        <f t="shared" ca="1" si="193"/>
        <v>0</v>
      </c>
      <c r="R418" s="306">
        <f t="shared" ca="1" si="194"/>
        <v>0</v>
      </c>
      <c r="S418" s="307">
        <f t="shared" ca="1" si="195"/>
        <v>5.083000000000002</v>
      </c>
      <c r="T418" s="304">
        <f t="shared" ca="1" si="175"/>
        <v>49.86423000000002</v>
      </c>
      <c r="U418" s="311">
        <f t="shared" ca="1" si="176"/>
        <v>0</v>
      </c>
      <c r="V418" s="306">
        <f t="shared" ca="1" si="177"/>
        <v>1.2253171714405613</v>
      </c>
      <c r="W418" s="304">
        <f t="shared" ca="1" si="178"/>
        <v>43.176860435552129</v>
      </c>
      <c r="Y418" s="314" t="str">
        <f t="shared" ca="1" si="196"/>
        <v/>
      </c>
      <c r="Z418" s="315" t="str">
        <f t="shared" ca="1" si="197"/>
        <v/>
      </c>
      <c r="AA418" s="316" t="str">
        <f t="shared" ca="1" si="198"/>
        <v/>
      </c>
      <c r="AC418" s="310" t="e">
        <f t="shared" ca="1" si="199"/>
        <v>#N/A</v>
      </c>
      <c r="AD418" s="323" t="e">
        <f t="shared" ca="1" si="200"/>
        <v>#N/A</v>
      </c>
      <c r="AE418" s="324" t="e">
        <f t="shared" ca="1" si="179"/>
        <v>#N/A</v>
      </c>
      <c r="AG418" s="306">
        <f t="shared" ca="1" si="201"/>
        <v>1.2791200289143667</v>
      </c>
      <c r="AH418" s="304">
        <f t="shared" ca="1" si="202"/>
        <v>-8.4943362671267604</v>
      </c>
    </row>
    <row r="419" spans="1:34" x14ac:dyDescent="0.2">
      <c r="A419" s="347">
        <f t="shared" ca="1" si="180"/>
        <v>1E-4</v>
      </c>
      <c r="B419" s="304">
        <f t="shared" ca="1" si="181"/>
        <v>29.203300000000141</v>
      </c>
      <c r="D419" s="306">
        <f t="shared" ca="1" si="182"/>
        <v>-0.73250220126214227</v>
      </c>
      <c r="E419" s="307">
        <f t="shared" ca="1" si="183"/>
        <v>-1.347276574593316</v>
      </c>
      <c r="F419" s="304">
        <f t="shared" ca="1" si="184"/>
        <v>1.5335297986350909</v>
      </c>
      <c r="G419" s="306">
        <f t="shared" ca="1" si="185"/>
        <v>9.2379177504850336</v>
      </c>
      <c r="H419" s="307">
        <f t="shared" ca="1" si="186"/>
        <v>-106.72822743599005</v>
      </c>
      <c r="I419" s="304">
        <f t="shared" ca="1" si="187"/>
        <v>107.12727783339379</v>
      </c>
      <c r="J419" s="306">
        <f t="shared" ca="1" si="188"/>
        <v>746.86410190403069</v>
      </c>
      <c r="K419" s="307">
        <f t="shared" ca="1" si="189"/>
        <v>-2.5994922901385777</v>
      </c>
      <c r="L419" s="304">
        <f t="shared" ca="1" si="174"/>
        <v>746.86862571209997</v>
      </c>
      <c r="M419" s="306">
        <f t="shared" ca="1" si="190"/>
        <v>-1.4844559893247746</v>
      </c>
      <c r="N419" s="304">
        <f t="shared" ca="1" si="191"/>
        <v>-85.05306306122678</v>
      </c>
      <c r="P419" s="310">
        <f t="shared" ca="1" si="192"/>
        <v>23</v>
      </c>
      <c r="Q419" s="304">
        <f t="shared" ca="1" si="193"/>
        <v>0</v>
      </c>
      <c r="R419" s="306">
        <f t="shared" ca="1" si="194"/>
        <v>0</v>
      </c>
      <c r="S419" s="307">
        <f t="shared" ca="1" si="195"/>
        <v>5.083000000000002</v>
      </c>
      <c r="T419" s="304">
        <f t="shared" ca="1" si="175"/>
        <v>49.86423000000002</v>
      </c>
      <c r="U419" s="311">
        <f t="shared" ca="1" si="176"/>
        <v>0</v>
      </c>
      <c r="V419" s="306">
        <f t="shared" ca="1" si="177"/>
        <v>1.2253184791997531</v>
      </c>
      <c r="W419" s="304">
        <f t="shared" ca="1" si="178"/>
        <v>43.177009623437385</v>
      </c>
      <c r="Y419" s="314" t="str">
        <f t="shared" ca="1" si="196"/>
        <v/>
      </c>
      <c r="Z419" s="315" t="str">
        <f t="shared" ca="1" si="197"/>
        <v/>
      </c>
      <c r="AA419" s="316" t="str">
        <f t="shared" ca="1" si="198"/>
        <v/>
      </c>
      <c r="AC419" s="310" t="e">
        <f t="shared" ca="1" si="199"/>
        <v>#N/A</v>
      </c>
      <c r="AD419" s="323" t="e">
        <f t="shared" ca="1" si="200"/>
        <v>#N/A</v>
      </c>
      <c r="AE419" s="324" t="e">
        <f t="shared" ca="1" si="179"/>
        <v>#N/A</v>
      </c>
      <c r="AG419" s="306">
        <f t="shared" ca="1" si="201"/>
        <v>1.2790913462238649</v>
      </c>
      <c r="AH419" s="304">
        <f t="shared" ca="1" si="202"/>
        <v>-8.4943656178540454</v>
      </c>
    </row>
    <row r="420" spans="1:34" x14ac:dyDescent="0.2">
      <c r="A420" s="347">
        <f t="shared" ca="1" si="180"/>
        <v>1E-4</v>
      </c>
      <c r="B420" s="304">
        <f t="shared" ca="1" si="181"/>
        <v>29.203400000000141</v>
      </c>
      <c r="D420" s="306">
        <f t="shared" ca="1" si="182"/>
        <v>-0.73249804945612185</v>
      </c>
      <c r="E420" s="307">
        <f t="shared" ca="1" si="183"/>
        <v>-1.3472467551286229</v>
      </c>
      <c r="F420" s="304">
        <f t="shared" ca="1" si="184"/>
        <v>1.5335016177564427</v>
      </c>
      <c r="G420" s="306">
        <f t="shared" ca="1" si="185"/>
        <v>9.2378445006800884</v>
      </c>
      <c r="H420" s="307">
        <f t="shared" ca="1" si="186"/>
        <v>-106.72836216066557</v>
      </c>
      <c r="I420" s="304">
        <f t="shared" ca="1" si="187"/>
        <v>107.12740573969359</v>
      </c>
      <c r="J420" s="306">
        <f t="shared" ca="1" si="188"/>
        <v>746.86410190403069</v>
      </c>
      <c r="K420" s="307">
        <f t="shared" ca="1" si="189"/>
        <v>-2.6101651196184106</v>
      </c>
      <c r="L420" s="304">
        <f t="shared" ca="1" si="174"/>
        <v>746.86866293536912</v>
      </c>
      <c r="M420" s="306">
        <f t="shared" ca="1" si="190"/>
        <v>-1.4844567789889598</v>
      </c>
      <c r="N420" s="304">
        <f t="shared" ca="1" si="191"/>
        <v>-85.053108305651818</v>
      </c>
      <c r="P420" s="310">
        <f t="shared" ca="1" si="192"/>
        <v>23</v>
      </c>
      <c r="Q420" s="304">
        <f t="shared" ca="1" si="193"/>
        <v>0</v>
      </c>
      <c r="R420" s="306">
        <f t="shared" ca="1" si="194"/>
        <v>0</v>
      </c>
      <c r="S420" s="307">
        <f t="shared" ca="1" si="195"/>
        <v>5.083000000000002</v>
      </c>
      <c r="T420" s="304">
        <f t="shared" ca="1" si="175"/>
        <v>49.86423000000002</v>
      </c>
      <c r="U420" s="311">
        <f t="shared" ca="1" si="176"/>
        <v>0</v>
      </c>
      <c r="V420" s="306">
        <f t="shared" ca="1" si="177"/>
        <v>1.2253197869619921</v>
      </c>
      <c r="W420" s="304">
        <f t="shared" ca="1" si="178"/>
        <v>43.177158809461154</v>
      </c>
      <c r="Y420" s="314" t="str">
        <f t="shared" ca="1" si="196"/>
        <v/>
      </c>
      <c r="Z420" s="315" t="str">
        <f t="shared" ca="1" si="197"/>
        <v/>
      </c>
      <c r="AA420" s="316" t="str">
        <f t="shared" ca="1" si="198"/>
        <v/>
      </c>
      <c r="AC420" s="310" t="e">
        <f t="shared" ca="1" si="199"/>
        <v>#N/A</v>
      </c>
      <c r="AD420" s="323" t="e">
        <f t="shared" ca="1" si="200"/>
        <v>#N/A</v>
      </c>
      <c r="AE420" s="324" t="e">
        <f t="shared" ca="1" si="179"/>
        <v>#N/A</v>
      </c>
      <c r="AG420" s="306">
        <f t="shared" ca="1" si="201"/>
        <v>1.2790626638866023</v>
      </c>
      <c r="AH420" s="304">
        <f t="shared" ca="1" si="202"/>
        <v>-8.4943949682151025</v>
      </c>
    </row>
    <row r="421" spans="1:34" x14ac:dyDescent="0.2">
      <c r="A421" s="347">
        <f t="shared" ca="1" si="180"/>
        <v>1E-4</v>
      </c>
      <c r="B421" s="304">
        <f t="shared" ca="1" si="181"/>
        <v>29.20350000000014</v>
      </c>
      <c r="D421" s="306">
        <f t="shared" ca="1" si="182"/>
        <v>-0.73249389764083173</v>
      </c>
      <c r="E421" s="307">
        <f t="shared" ca="1" si="183"/>
        <v>-1.3472169360360322</v>
      </c>
      <c r="F421" s="304">
        <f t="shared" ca="1" si="184"/>
        <v>1.5334734372734899</v>
      </c>
      <c r="G421" s="306">
        <f t="shared" ca="1" si="185"/>
        <v>9.2377712512903241</v>
      </c>
      <c r="H421" s="307">
        <f t="shared" ca="1" si="186"/>
        <v>-106.72849688235917</v>
      </c>
      <c r="I421" s="304">
        <f t="shared" ca="1" si="187"/>
        <v>107.12753364312518</v>
      </c>
      <c r="J421" s="306">
        <f t="shared" ca="1" si="188"/>
        <v>746.86410190403069</v>
      </c>
      <c r="K421" s="307">
        <f t="shared" ca="1" si="189"/>
        <v>-2.6208379625705618</v>
      </c>
      <c r="L421" s="304">
        <f t="shared" ca="1" si="174"/>
        <v>746.86870031119952</v>
      </c>
      <c r="M421" s="306">
        <f t="shared" ca="1" si="190"/>
        <v>-1.4844575686449981</v>
      </c>
      <c r="N421" s="304">
        <f t="shared" ca="1" si="191"/>
        <v>-85.053153549610073</v>
      </c>
      <c r="P421" s="310">
        <f t="shared" ca="1" si="192"/>
        <v>23</v>
      </c>
      <c r="Q421" s="304">
        <f t="shared" ca="1" si="193"/>
        <v>0</v>
      </c>
      <c r="R421" s="306">
        <f t="shared" ca="1" si="194"/>
        <v>0</v>
      </c>
      <c r="S421" s="307">
        <f t="shared" ca="1" si="195"/>
        <v>5.083000000000002</v>
      </c>
      <c r="T421" s="304">
        <f t="shared" ca="1" si="175"/>
        <v>49.86423000000002</v>
      </c>
      <c r="U421" s="311">
        <f t="shared" ca="1" si="176"/>
        <v>0</v>
      </c>
      <c r="V421" s="306">
        <f t="shared" ca="1" si="177"/>
        <v>1.2253210947272775</v>
      </c>
      <c r="W421" s="304">
        <f t="shared" ca="1" si="178"/>
        <v>43.177307993623423</v>
      </c>
      <c r="Y421" s="314" t="str">
        <f t="shared" ca="1" si="196"/>
        <v/>
      </c>
      <c r="Z421" s="315" t="str">
        <f t="shared" ca="1" si="197"/>
        <v/>
      </c>
      <c r="AA421" s="316" t="str">
        <f t="shared" ca="1" si="198"/>
        <v/>
      </c>
      <c r="AC421" s="310" t="e">
        <f t="shared" ca="1" si="199"/>
        <v>#N/A</v>
      </c>
      <c r="AD421" s="323" t="e">
        <f t="shared" ca="1" si="200"/>
        <v>#N/A</v>
      </c>
      <c r="AE421" s="324" t="e">
        <f t="shared" ca="1" si="179"/>
        <v>#N/A</v>
      </c>
      <c r="AG421" s="306">
        <f t="shared" ca="1" si="201"/>
        <v>1.27903398190257</v>
      </c>
      <c r="AH421" s="304">
        <f t="shared" ca="1" si="202"/>
        <v>-8.4944243182099424</v>
      </c>
    </row>
    <row r="422" spans="1:34" x14ac:dyDescent="0.2">
      <c r="A422" s="347">
        <f t="shared" ca="1" si="180"/>
        <v>1E-4</v>
      </c>
      <c r="B422" s="304">
        <f t="shared" ca="1" si="181"/>
        <v>29.20360000000014</v>
      </c>
      <c r="D422" s="306">
        <f t="shared" ca="1" si="182"/>
        <v>-0.73248974581626947</v>
      </c>
      <c r="E422" s="307">
        <f t="shared" ca="1" si="183"/>
        <v>-1.3471871173155439</v>
      </c>
      <c r="F422" s="304">
        <f t="shared" ca="1" si="184"/>
        <v>1.5334452571862316</v>
      </c>
      <c r="G422" s="306">
        <f t="shared" ca="1" si="185"/>
        <v>9.2376980023157422</v>
      </c>
      <c r="H422" s="307">
        <f t="shared" ca="1" si="186"/>
        <v>-106.7286316010709</v>
      </c>
      <c r="I422" s="304">
        <f t="shared" ca="1" si="187"/>
        <v>107.1276615436886</v>
      </c>
      <c r="J422" s="306">
        <f t="shared" ca="1" si="188"/>
        <v>746.86410190403069</v>
      </c>
      <c r="K422" s="307">
        <f t="shared" ca="1" si="189"/>
        <v>-2.6315108189947334</v>
      </c>
      <c r="L422" s="304">
        <f t="shared" ca="1" si="174"/>
        <v>746.86873783959174</v>
      </c>
      <c r="M422" s="306">
        <f t="shared" ca="1" si="190"/>
        <v>-1.4844583582928892</v>
      </c>
      <c r="N422" s="304">
        <f t="shared" ca="1" si="191"/>
        <v>-85.053198793101544</v>
      </c>
      <c r="P422" s="310">
        <f t="shared" ca="1" si="192"/>
        <v>23</v>
      </c>
      <c r="Q422" s="304">
        <f t="shared" ca="1" si="193"/>
        <v>0</v>
      </c>
      <c r="R422" s="306">
        <f t="shared" ca="1" si="194"/>
        <v>0</v>
      </c>
      <c r="S422" s="307">
        <f t="shared" ca="1" si="195"/>
        <v>5.083000000000002</v>
      </c>
      <c r="T422" s="304">
        <f t="shared" ca="1" si="175"/>
        <v>49.86423000000002</v>
      </c>
      <c r="U422" s="311">
        <f t="shared" ca="1" si="176"/>
        <v>0</v>
      </c>
      <c r="V422" s="306">
        <f t="shared" ca="1" si="177"/>
        <v>1.2253224024956098</v>
      </c>
      <c r="W422" s="304">
        <f t="shared" ca="1" si="178"/>
        <v>43.177457175924239</v>
      </c>
      <c r="Y422" s="314" t="str">
        <f t="shared" ca="1" si="196"/>
        <v/>
      </c>
      <c r="Z422" s="315" t="str">
        <f t="shared" ca="1" si="197"/>
        <v/>
      </c>
      <c r="AA422" s="316" t="str">
        <f t="shared" ca="1" si="198"/>
        <v/>
      </c>
      <c r="AC422" s="310" t="e">
        <f t="shared" ca="1" si="199"/>
        <v>#N/A</v>
      </c>
      <c r="AD422" s="323" t="e">
        <f t="shared" ca="1" si="200"/>
        <v>#N/A</v>
      </c>
      <c r="AE422" s="324" t="e">
        <f t="shared" ca="1" si="179"/>
        <v>#N/A</v>
      </c>
      <c r="AG422" s="306">
        <f t="shared" ca="1" si="201"/>
        <v>1.2790053002717734</v>
      </c>
      <c r="AH422" s="304">
        <f t="shared" ca="1" si="202"/>
        <v>-8.4944536678385614</v>
      </c>
    </row>
    <row r="423" spans="1:34" x14ac:dyDescent="0.2">
      <c r="A423" s="347">
        <f t="shared" ca="1" si="180"/>
        <v>1E-4</v>
      </c>
      <c r="B423" s="304">
        <f t="shared" ca="1" si="181"/>
        <v>29.20370000000014</v>
      </c>
      <c r="D423" s="306">
        <f t="shared" ca="1" si="182"/>
        <v>-0.73248559398244117</v>
      </c>
      <c r="E423" s="307">
        <f t="shared" ca="1" si="183"/>
        <v>-1.3471572989671525</v>
      </c>
      <c r="F423" s="304">
        <f t="shared" ca="1" si="184"/>
        <v>1.5334170774946665</v>
      </c>
      <c r="G423" s="306">
        <f t="shared" ca="1" si="185"/>
        <v>9.2376247537563447</v>
      </c>
      <c r="H423" s="307">
        <f t="shared" ca="1" si="186"/>
        <v>-106.7287663168008</v>
      </c>
      <c r="I423" s="304">
        <f t="shared" ca="1" si="187"/>
        <v>107.12778944138391</v>
      </c>
      <c r="J423" s="306">
        <f t="shared" ca="1" si="188"/>
        <v>746.86410190403069</v>
      </c>
      <c r="K423" s="307">
        <f t="shared" ca="1" si="189"/>
        <v>-2.6421836888906269</v>
      </c>
      <c r="L423" s="304">
        <f t="shared" ca="1" si="174"/>
        <v>746.86877552054625</v>
      </c>
      <c r="M423" s="306">
        <f t="shared" ca="1" si="190"/>
        <v>-1.4844591479326337</v>
      </c>
      <c r="N423" s="304">
        <f t="shared" ca="1" si="191"/>
        <v>-85.05324403612623</v>
      </c>
      <c r="P423" s="310">
        <f t="shared" ca="1" si="192"/>
        <v>23</v>
      </c>
      <c r="Q423" s="304">
        <f t="shared" ca="1" si="193"/>
        <v>0</v>
      </c>
      <c r="R423" s="306">
        <f t="shared" ca="1" si="194"/>
        <v>0</v>
      </c>
      <c r="S423" s="307">
        <f t="shared" ca="1" si="195"/>
        <v>5.083000000000002</v>
      </c>
      <c r="T423" s="304">
        <f t="shared" ca="1" si="175"/>
        <v>49.86423000000002</v>
      </c>
      <c r="U423" s="311">
        <f t="shared" ca="1" si="176"/>
        <v>0</v>
      </c>
      <c r="V423" s="306">
        <f t="shared" ca="1" si="177"/>
        <v>1.2253237102669885</v>
      </c>
      <c r="W423" s="304">
        <f t="shared" ca="1" si="178"/>
        <v>43.177606356363576</v>
      </c>
      <c r="Y423" s="314" t="str">
        <f t="shared" ca="1" si="196"/>
        <v/>
      </c>
      <c r="Z423" s="315" t="str">
        <f t="shared" ca="1" si="197"/>
        <v/>
      </c>
      <c r="AA423" s="316" t="str">
        <f t="shared" ca="1" si="198"/>
        <v/>
      </c>
      <c r="AC423" s="310" t="e">
        <f t="shared" ca="1" si="199"/>
        <v>#N/A</v>
      </c>
      <c r="AD423" s="323" t="e">
        <f t="shared" ca="1" si="200"/>
        <v>#N/A</v>
      </c>
      <c r="AE423" s="324" t="e">
        <f t="shared" ca="1" si="179"/>
        <v>#N/A</v>
      </c>
      <c r="AG423" s="306">
        <f t="shared" ca="1" si="201"/>
        <v>1.2789766189942018</v>
      </c>
      <c r="AH423" s="304">
        <f t="shared" ca="1" si="202"/>
        <v>-8.4944830171009684</v>
      </c>
    </row>
    <row r="424" spans="1:34" x14ac:dyDescent="0.2">
      <c r="A424" s="347">
        <f t="shared" ca="1" si="180"/>
        <v>1E-4</v>
      </c>
      <c r="B424" s="304">
        <f t="shared" ca="1" si="181"/>
        <v>29.20380000000014</v>
      </c>
      <c r="D424" s="306">
        <f t="shared" ca="1" si="182"/>
        <v>-0.73248144213934219</v>
      </c>
      <c r="E424" s="307">
        <f t="shared" ca="1" si="183"/>
        <v>-1.34712748099086</v>
      </c>
      <c r="F424" s="304">
        <f t="shared" ca="1" si="184"/>
        <v>1.5333888981987935</v>
      </c>
      <c r="G424" s="306">
        <f t="shared" ca="1" si="185"/>
        <v>9.2375515056121316</v>
      </c>
      <c r="H424" s="307">
        <f t="shared" ca="1" si="186"/>
        <v>-106.72890102954889</v>
      </c>
      <c r="I424" s="304">
        <f t="shared" ca="1" si="187"/>
        <v>107.12791733621111</v>
      </c>
      <c r="J424" s="306">
        <f t="shared" ca="1" si="188"/>
        <v>746.86410190403069</v>
      </c>
      <c r="K424" s="307">
        <f t="shared" ca="1" si="189"/>
        <v>-2.6528565722579445</v>
      </c>
      <c r="L424" s="304">
        <f t="shared" ca="1" si="174"/>
        <v>746.86881335406372</v>
      </c>
      <c r="M424" s="306">
        <f t="shared" ca="1" si="190"/>
        <v>-1.4844599375642313</v>
      </c>
      <c r="N424" s="304">
        <f t="shared" ca="1" si="191"/>
        <v>-85.053289278684147</v>
      </c>
      <c r="P424" s="310">
        <f t="shared" ca="1" si="192"/>
        <v>23</v>
      </c>
      <c r="Q424" s="304">
        <f t="shared" ca="1" si="193"/>
        <v>0</v>
      </c>
      <c r="R424" s="306">
        <f t="shared" ca="1" si="194"/>
        <v>0</v>
      </c>
      <c r="S424" s="307">
        <f t="shared" ca="1" si="195"/>
        <v>5.083000000000002</v>
      </c>
      <c r="T424" s="304">
        <f t="shared" ca="1" si="175"/>
        <v>49.86423000000002</v>
      </c>
      <c r="U424" s="311">
        <f t="shared" ca="1" si="176"/>
        <v>0</v>
      </c>
      <c r="V424" s="306">
        <f t="shared" ca="1" si="177"/>
        <v>1.2253250180414141</v>
      </c>
      <c r="W424" s="304">
        <f t="shared" ca="1" si="178"/>
        <v>43.177755534941468</v>
      </c>
      <c r="Y424" s="314" t="str">
        <f t="shared" ca="1" si="196"/>
        <v/>
      </c>
      <c r="Z424" s="315" t="str">
        <f t="shared" ca="1" si="197"/>
        <v/>
      </c>
      <c r="AA424" s="316" t="str">
        <f t="shared" ca="1" si="198"/>
        <v/>
      </c>
      <c r="AC424" s="310" t="e">
        <f t="shared" ca="1" si="199"/>
        <v>#N/A</v>
      </c>
      <c r="AD424" s="323" t="e">
        <f t="shared" ca="1" si="200"/>
        <v>#N/A</v>
      </c>
      <c r="AE424" s="324" t="e">
        <f t="shared" ca="1" si="179"/>
        <v>#N/A</v>
      </c>
      <c r="AG424" s="306">
        <f t="shared" ca="1" si="201"/>
        <v>1.2789479380698641</v>
      </c>
      <c r="AH424" s="304">
        <f t="shared" ca="1" si="202"/>
        <v>-8.4945123659971582</v>
      </c>
    </row>
    <row r="425" spans="1:34" x14ac:dyDescent="0.2">
      <c r="A425" s="347">
        <f t="shared" ca="1" si="180"/>
        <v>1E-4</v>
      </c>
      <c r="B425" s="304">
        <f t="shared" ca="1" si="181"/>
        <v>29.203900000000139</v>
      </c>
      <c r="D425" s="306">
        <f t="shared" ca="1" si="182"/>
        <v>-0.73247729028697683</v>
      </c>
      <c r="E425" s="307">
        <f t="shared" ca="1" si="183"/>
        <v>-1.3470976633866609</v>
      </c>
      <c r="F425" s="304">
        <f t="shared" ca="1" si="184"/>
        <v>1.533360719298611</v>
      </c>
      <c r="G425" s="306">
        <f t="shared" ca="1" si="185"/>
        <v>9.2374782578831027</v>
      </c>
      <c r="H425" s="307">
        <f t="shared" ca="1" si="186"/>
        <v>-106.72903573931524</v>
      </c>
      <c r="I425" s="304">
        <f t="shared" ca="1" si="187"/>
        <v>107.12804522817025</v>
      </c>
      <c r="J425" s="306">
        <f t="shared" ca="1" si="188"/>
        <v>746.86410190403069</v>
      </c>
      <c r="K425" s="307">
        <f t="shared" ca="1" si="189"/>
        <v>-2.6635294690963875</v>
      </c>
      <c r="L425" s="304">
        <f t="shared" ca="1" si="174"/>
        <v>746.8688513401446</v>
      </c>
      <c r="M425" s="306">
        <f t="shared" ca="1" si="190"/>
        <v>-1.4844607271876824</v>
      </c>
      <c r="N425" s="304">
        <f t="shared" ca="1" si="191"/>
        <v>-85.053334520775294</v>
      </c>
      <c r="P425" s="310">
        <f t="shared" ca="1" si="192"/>
        <v>23</v>
      </c>
      <c r="Q425" s="304">
        <f t="shared" ca="1" si="193"/>
        <v>0</v>
      </c>
      <c r="R425" s="306">
        <f t="shared" ca="1" si="194"/>
        <v>0</v>
      </c>
      <c r="S425" s="307">
        <f t="shared" ca="1" si="195"/>
        <v>5.083000000000002</v>
      </c>
      <c r="T425" s="304">
        <f t="shared" ca="1" si="175"/>
        <v>49.86423000000002</v>
      </c>
      <c r="U425" s="311">
        <f t="shared" ca="1" si="176"/>
        <v>0</v>
      </c>
      <c r="V425" s="306">
        <f t="shared" ca="1" si="177"/>
        <v>1.2253263258188862</v>
      </c>
      <c r="W425" s="304">
        <f t="shared" ca="1" si="178"/>
        <v>43.177904711657924</v>
      </c>
      <c r="Y425" s="314" t="str">
        <f t="shared" ca="1" si="196"/>
        <v/>
      </c>
      <c r="Z425" s="315" t="str">
        <f t="shared" ca="1" si="197"/>
        <v/>
      </c>
      <c r="AA425" s="316" t="str">
        <f t="shared" ca="1" si="198"/>
        <v/>
      </c>
      <c r="AC425" s="310" t="e">
        <f t="shared" ca="1" si="199"/>
        <v>#N/A</v>
      </c>
      <c r="AD425" s="323" t="e">
        <f t="shared" ca="1" si="200"/>
        <v>#N/A</v>
      </c>
      <c r="AE425" s="324" t="e">
        <f t="shared" ca="1" si="179"/>
        <v>#N/A</v>
      </c>
      <c r="AG425" s="306">
        <f t="shared" ca="1" si="201"/>
        <v>1.2789192574987478</v>
      </c>
      <c r="AH425" s="304">
        <f t="shared" ca="1" si="202"/>
        <v>-8.4945417145271396</v>
      </c>
    </row>
    <row r="426" spans="1:34" x14ac:dyDescent="0.2">
      <c r="A426" s="347">
        <f t="shared" ca="1" si="180"/>
        <v>1E-4</v>
      </c>
      <c r="B426" s="304">
        <f t="shared" ca="1" si="181"/>
        <v>29.204000000000139</v>
      </c>
      <c r="D426" s="306">
        <f t="shared" ca="1" si="182"/>
        <v>-0.73247313842534501</v>
      </c>
      <c r="E426" s="307">
        <f t="shared" ca="1" si="183"/>
        <v>-1.3470678461545535</v>
      </c>
      <c r="F426" s="304">
        <f t="shared" ca="1" si="184"/>
        <v>1.5333325407941172</v>
      </c>
      <c r="G426" s="306">
        <f t="shared" ca="1" si="185"/>
        <v>9.23740501056926</v>
      </c>
      <c r="H426" s="307">
        <f t="shared" ca="1" si="186"/>
        <v>-106.72917044609986</v>
      </c>
      <c r="I426" s="304">
        <f t="shared" ca="1" si="187"/>
        <v>107.12817311726138</v>
      </c>
      <c r="J426" s="306">
        <f t="shared" ca="1" si="188"/>
        <v>746.86410190403069</v>
      </c>
      <c r="K426" s="307">
        <f t="shared" ca="1" si="189"/>
        <v>-2.6742023794056582</v>
      </c>
      <c r="L426" s="304">
        <f t="shared" ca="1" si="174"/>
        <v>746.86888947878947</v>
      </c>
      <c r="M426" s="306">
        <f t="shared" ca="1" si="190"/>
        <v>-1.4844615168029869</v>
      </c>
      <c r="N426" s="304">
        <f t="shared" ca="1" si="191"/>
        <v>-85.053379762399686</v>
      </c>
      <c r="P426" s="310">
        <f t="shared" ca="1" si="192"/>
        <v>23</v>
      </c>
      <c r="Q426" s="304">
        <f t="shared" ca="1" si="193"/>
        <v>0</v>
      </c>
      <c r="R426" s="306">
        <f t="shared" ca="1" si="194"/>
        <v>0</v>
      </c>
      <c r="S426" s="307">
        <f t="shared" ca="1" si="195"/>
        <v>5.083000000000002</v>
      </c>
      <c r="T426" s="304">
        <f t="shared" ca="1" si="175"/>
        <v>49.86423000000002</v>
      </c>
      <c r="U426" s="311">
        <f t="shared" ca="1" si="176"/>
        <v>0</v>
      </c>
      <c r="V426" s="306">
        <f t="shared" ca="1" si="177"/>
        <v>1.225327633599405</v>
      </c>
      <c r="W426" s="304">
        <f t="shared" ca="1" si="178"/>
        <v>43.178053886512956</v>
      </c>
      <c r="Y426" s="314" t="str">
        <f t="shared" ca="1" si="196"/>
        <v/>
      </c>
      <c r="Z426" s="315" t="str">
        <f t="shared" ca="1" si="197"/>
        <v/>
      </c>
      <c r="AA426" s="316" t="str">
        <f t="shared" ca="1" si="198"/>
        <v/>
      </c>
      <c r="AC426" s="310" t="e">
        <f t="shared" ca="1" si="199"/>
        <v>#N/A</v>
      </c>
      <c r="AD426" s="323" t="e">
        <f t="shared" ca="1" si="200"/>
        <v>#N/A</v>
      </c>
      <c r="AE426" s="324" t="e">
        <f t="shared" ca="1" si="179"/>
        <v>#N/A</v>
      </c>
      <c r="AG426" s="306">
        <f t="shared" ca="1" si="201"/>
        <v>1.2788905772808548</v>
      </c>
      <c r="AH426" s="304">
        <f t="shared" ca="1" si="202"/>
        <v>-8.4945710626909126</v>
      </c>
    </row>
    <row r="427" spans="1:34" x14ac:dyDescent="0.2">
      <c r="A427" s="347">
        <f t="shared" ca="1" si="180"/>
        <v>1E-4</v>
      </c>
      <c r="B427" s="304">
        <f t="shared" ca="1" si="181"/>
        <v>29.204100000000139</v>
      </c>
      <c r="D427" s="306">
        <f t="shared" ca="1" si="182"/>
        <v>-0.73246898655444825</v>
      </c>
      <c r="E427" s="307">
        <f t="shared" ca="1" si="183"/>
        <v>-1.3470380292945361</v>
      </c>
      <c r="F427" s="304">
        <f t="shared" ca="1" si="184"/>
        <v>1.5333043626853111</v>
      </c>
      <c r="G427" s="306">
        <f t="shared" ca="1" si="185"/>
        <v>9.2373317636706052</v>
      </c>
      <c r="H427" s="307">
        <f t="shared" ca="1" si="186"/>
        <v>-106.72930514990279</v>
      </c>
      <c r="I427" s="304">
        <f t="shared" ca="1" si="187"/>
        <v>107.12830100348452</v>
      </c>
      <c r="J427" s="306">
        <f t="shared" ca="1" si="188"/>
        <v>746.86410190403069</v>
      </c>
      <c r="K427" s="307">
        <f t="shared" ca="1" si="189"/>
        <v>-2.6848753031854584</v>
      </c>
      <c r="L427" s="304">
        <f t="shared" ca="1" si="174"/>
        <v>746.868927769999</v>
      </c>
      <c r="M427" s="306">
        <f t="shared" ca="1" si="190"/>
        <v>-1.484462306410145</v>
      </c>
      <c r="N427" s="304">
        <f t="shared" ca="1" si="191"/>
        <v>-85.053425003557322</v>
      </c>
      <c r="P427" s="310">
        <f t="shared" ca="1" si="192"/>
        <v>23</v>
      </c>
      <c r="Q427" s="304">
        <f t="shared" ca="1" si="193"/>
        <v>0</v>
      </c>
      <c r="R427" s="306">
        <f t="shared" ca="1" si="194"/>
        <v>0</v>
      </c>
      <c r="S427" s="307">
        <f t="shared" ca="1" si="195"/>
        <v>5.083000000000002</v>
      </c>
      <c r="T427" s="304">
        <f t="shared" ca="1" si="175"/>
        <v>49.86423000000002</v>
      </c>
      <c r="U427" s="311">
        <f t="shared" ca="1" si="176"/>
        <v>0</v>
      </c>
      <c r="V427" s="306">
        <f t="shared" ca="1" si="177"/>
        <v>1.22532894138297</v>
      </c>
      <c r="W427" s="304">
        <f t="shared" ca="1" si="178"/>
        <v>43.178203059506579</v>
      </c>
      <c r="Y427" s="314" t="str">
        <f t="shared" ca="1" si="196"/>
        <v/>
      </c>
      <c r="Z427" s="315" t="str">
        <f t="shared" ca="1" si="197"/>
        <v/>
      </c>
      <c r="AA427" s="316" t="str">
        <f t="shared" ca="1" si="198"/>
        <v/>
      </c>
      <c r="AC427" s="310" t="e">
        <f t="shared" ca="1" si="199"/>
        <v>#N/A</v>
      </c>
      <c r="AD427" s="323" t="e">
        <f t="shared" ca="1" si="200"/>
        <v>#N/A</v>
      </c>
      <c r="AE427" s="324" t="e">
        <f t="shared" ca="1" si="179"/>
        <v>#N/A</v>
      </c>
      <c r="AG427" s="306">
        <f t="shared" ca="1" si="201"/>
        <v>1.2788618974161814</v>
      </c>
      <c r="AH427" s="304">
        <f t="shared" ca="1" si="202"/>
        <v>-8.4946004104884789</v>
      </c>
    </row>
    <row r="428" spans="1:34" x14ac:dyDescent="0.2">
      <c r="A428" s="347">
        <f t="shared" ca="1" si="180"/>
        <v>1E-4</v>
      </c>
      <c r="B428" s="304">
        <f t="shared" ca="1" si="181"/>
        <v>29.204200000000139</v>
      </c>
      <c r="D428" s="306">
        <f t="shared" ca="1" si="182"/>
        <v>-0.73246483467428691</v>
      </c>
      <c r="E428" s="307">
        <f t="shared" ca="1" si="183"/>
        <v>-1.3470082128066014</v>
      </c>
      <c r="F428" s="304">
        <f t="shared" ca="1" si="184"/>
        <v>1.5332761849721872</v>
      </c>
      <c r="G428" s="306">
        <f t="shared" ca="1" si="185"/>
        <v>9.2372585171871382</v>
      </c>
      <c r="H428" s="307">
        <f t="shared" ca="1" si="186"/>
        <v>-106.72943985072406</v>
      </c>
      <c r="I428" s="304">
        <f t="shared" ca="1" si="187"/>
        <v>107.1284288868397</v>
      </c>
      <c r="J428" s="306">
        <f t="shared" ca="1" si="188"/>
        <v>746.86410190403069</v>
      </c>
      <c r="K428" s="307">
        <f t="shared" ca="1" si="189"/>
        <v>-2.6955482404354898</v>
      </c>
      <c r="L428" s="304">
        <f t="shared" ca="1" si="174"/>
        <v>746.86896621377355</v>
      </c>
      <c r="M428" s="306">
        <f t="shared" ca="1" si="190"/>
        <v>-1.4844630960091569</v>
      </c>
      <c r="N428" s="304">
        <f t="shared" ca="1" si="191"/>
        <v>-85.053470244248217</v>
      </c>
      <c r="P428" s="310">
        <f t="shared" ca="1" si="192"/>
        <v>23</v>
      </c>
      <c r="Q428" s="304">
        <f t="shared" ca="1" si="193"/>
        <v>0</v>
      </c>
      <c r="R428" s="306">
        <f t="shared" ca="1" si="194"/>
        <v>0</v>
      </c>
      <c r="S428" s="307">
        <f t="shared" ca="1" si="195"/>
        <v>5.083000000000002</v>
      </c>
      <c r="T428" s="304">
        <f t="shared" ca="1" si="175"/>
        <v>49.86423000000002</v>
      </c>
      <c r="U428" s="311">
        <f t="shared" ca="1" si="176"/>
        <v>0</v>
      </c>
      <c r="V428" s="306">
        <f t="shared" ca="1" si="177"/>
        <v>1.2253302491695817</v>
      </c>
      <c r="W428" s="304">
        <f t="shared" ca="1" si="178"/>
        <v>43.178352230638787</v>
      </c>
      <c r="Y428" s="314" t="str">
        <f t="shared" ca="1" si="196"/>
        <v/>
      </c>
      <c r="Z428" s="315" t="str">
        <f t="shared" ca="1" si="197"/>
        <v/>
      </c>
      <c r="AA428" s="316" t="str">
        <f t="shared" ca="1" si="198"/>
        <v/>
      </c>
      <c r="AC428" s="310" t="e">
        <f t="shared" ca="1" si="199"/>
        <v>#N/A</v>
      </c>
      <c r="AD428" s="323" t="e">
        <f t="shared" ca="1" si="200"/>
        <v>#N/A</v>
      </c>
      <c r="AE428" s="324" t="e">
        <f t="shared" ca="1" si="179"/>
        <v>#N/A</v>
      </c>
      <c r="AG428" s="306">
        <f t="shared" ca="1" si="201"/>
        <v>1.2788332179047277</v>
      </c>
      <c r="AH428" s="304">
        <f t="shared" ca="1" si="202"/>
        <v>-8.494629757919844</v>
      </c>
    </row>
    <row r="429" spans="1:34" x14ac:dyDescent="0.2">
      <c r="A429" s="347">
        <f t="shared" ca="1" si="180"/>
        <v>1E-4</v>
      </c>
      <c r="B429" s="304">
        <f t="shared" ca="1" si="181"/>
        <v>29.204300000000138</v>
      </c>
      <c r="D429" s="306">
        <f t="shared" ca="1" si="182"/>
        <v>-0.73246068278485998</v>
      </c>
      <c r="E429" s="307">
        <f t="shared" ca="1" si="183"/>
        <v>-1.3469783966907585</v>
      </c>
      <c r="F429" s="304">
        <f t="shared" ca="1" si="184"/>
        <v>1.533248007654753</v>
      </c>
      <c r="G429" s="306">
        <f t="shared" ca="1" si="185"/>
        <v>9.2371852711188591</v>
      </c>
      <c r="H429" s="307">
        <f t="shared" ca="1" si="186"/>
        <v>-106.72957454856373</v>
      </c>
      <c r="I429" s="304">
        <f t="shared" ca="1" si="187"/>
        <v>107.12855676732697</v>
      </c>
      <c r="J429" s="306">
        <f t="shared" ca="1" si="188"/>
        <v>746.86410190403069</v>
      </c>
      <c r="K429" s="307">
        <f t="shared" ca="1" si="189"/>
        <v>-2.7062211911554543</v>
      </c>
      <c r="L429" s="304">
        <f t="shared" ca="1" si="174"/>
        <v>746.86900481011378</v>
      </c>
      <c r="M429" s="306">
        <f t="shared" ca="1" si="190"/>
        <v>-1.4844638856000225</v>
      </c>
      <c r="N429" s="304">
        <f t="shared" ca="1" si="191"/>
        <v>-85.053515484472356</v>
      </c>
      <c r="P429" s="310">
        <f t="shared" ca="1" si="192"/>
        <v>23</v>
      </c>
      <c r="Q429" s="304">
        <f t="shared" ca="1" si="193"/>
        <v>0</v>
      </c>
      <c r="R429" s="306">
        <f t="shared" ca="1" si="194"/>
        <v>0</v>
      </c>
      <c r="S429" s="307">
        <f t="shared" ca="1" si="195"/>
        <v>5.083000000000002</v>
      </c>
      <c r="T429" s="304">
        <f t="shared" ca="1" si="175"/>
        <v>49.86423000000002</v>
      </c>
      <c r="U429" s="311">
        <f t="shared" ca="1" si="176"/>
        <v>0</v>
      </c>
      <c r="V429" s="306">
        <f t="shared" ca="1" si="177"/>
        <v>1.22533155695924</v>
      </c>
      <c r="W429" s="304">
        <f t="shared" ca="1" si="178"/>
        <v>43.178501399909628</v>
      </c>
      <c r="Y429" s="314" t="str">
        <f t="shared" ca="1" si="196"/>
        <v/>
      </c>
      <c r="Z429" s="315" t="str">
        <f t="shared" ca="1" si="197"/>
        <v/>
      </c>
      <c r="AA429" s="316" t="str">
        <f t="shared" ca="1" si="198"/>
        <v/>
      </c>
      <c r="AC429" s="310" t="e">
        <f t="shared" ca="1" si="199"/>
        <v>#N/A</v>
      </c>
      <c r="AD429" s="323" t="e">
        <f t="shared" ca="1" si="200"/>
        <v>#N/A</v>
      </c>
      <c r="AE429" s="324" t="e">
        <f t="shared" ca="1" si="179"/>
        <v>#N/A</v>
      </c>
      <c r="AG429" s="306">
        <f t="shared" ca="1" si="201"/>
        <v>1.2788045387464972</v>
      </c>
      <c r="AH429" s="304">
        <f t="shared" ca="1" si="202"/>
        <v>-8.4946591049850024</v>
      </c>
    </row>
    <row r="430" spans="1:34" x14ac:dyDescent="0.2">
      <c r="A430" s="347">
        <f t="shared" ca="1" si="180"/>
        <v>1E-4</v>
      </c>
      <c r="B430" s="304">
        <f t="shared" ca="1" si="181"/>
        <v>29.204400000000138</v>
      </c>
      <c r="D430" s="306">
        <f t="shared" ca="1" si="182"/>
        <v>-0.73245653088617235</v>
      </c>
      <c r="E430" s="307">
        <f t="shared" ca="1" si="183"/>
        <v>-1.3469485809469912</v>
      </c>
      <c r="F430" s="304">
        <f t="shared" ca="1" si="184"/>
        <v>1.5332198307329969</v>
      </c>
      <c r="G430" s="306">
        <f t="shared" ca="1" si="185"/>
        <v>9.2371120254657697</v>
      </c>
      <c r="H430" s="307">
        <f t="shared" ca="1" si="186"/>
        <v>-106.72970924342182</v>
      </c>
      <c r="I430" s="304">
        <f t="shared" ca="1" si="187"/>
        <v>107.12868464494636</v>
      </c>
      <c r="J430" s="306">
        <f t="shared" ca="1" si="188"/>
        <v>746.86410190403069</v>
      </c>
      <c r="K430" s="307">
        <f t="shared" ca="1" si="189"/>
        <v>-2.7168941553450536</v>
      </c>
      <c r="L430" s="304">
        <f t="shared" ca="1" si="174"/>
        <v>746.86904355902027</v>
      </c>
      <c r="M430" s="306">
        <f t="shared" ca="1" si="190"/>
        <v>-1.4844646751827424</v>
      </c>
      <c r="N430" s="304">
        <f t="shared" ca="1" si="191"/>
        <v>-85.053560724229783</v>
      </c>
      <c r="P430" s="310">
        <f t="shared" ca="1" si="192"/>
        <v>23</v>
      </c>
      <c r="Q430" s="304">
        <f t="shared" ca="1" si="193"/>
        <v>0</v>
      </c>
      <c r="R430" s="306">
        <f t="shared" ca="1" si="194"/>
        <v>0</v>
      </c>
      <c r="S430" s="307">
        <f t="shared" ca="1" si="195"/>
        <v>5.083000000000002</v>
      </c>
      <c r="T430" s="304">
        <f t="shared" ca="1" si="175"/>
        <v>49.86423000000002</v>
      </c>
      <c r="U430" s="311">
        <f t="shared" ca="1" si="176"/>
        <v>0</v>
      </c>
      <c r="V430" s="306">
        <f t="shared" ca="1" si="177"/>
        <v>1.225332864751945</v>
      </c>
      <c r="W430" s="304">
        <f t="shared" ca="1" si="178"/>
        <v>43.178650567319117</v>
      </c>
      <c r="Y430" s="314" t="str">
        <f t="shared" ca="1" si="196"/>
        <v/>
      </c>
      <c r="Z430" s="315" t="str">
        <f t="shared" ca="1" si="197"/>
        <v/>
      </c>
      <c r="AA430" s="316" t="str">
        <f t="shared" ca="1" si="198"/>
        <v/>
      </c>
      <c r="AC430" s="310" t="e">
        <f t="shared" ca="1" si="199"/>
        <v>#N/A</v>
      </c>
      <c r="AD430" s="323" t="e">
        <f t="shared" ca="1" si="200"/>
        <v>#N/A</v>
      </c>
      <c r="AE430" s="324" t="e">
        <f t="shared" ca="1" si="179"/>
        <v>#N/A</v>
      </c>
      <c r="AG430" s="306">
        <f t="shared" ca="1" si="201"/>
        <v>1.2787758599414705</v>
      </c>
      <c r="AH430" s="304">
        <f t="shared" ca="1" si="202"/>
        <v>-8.4946884516839685</v>
      </c>
    </row>
    <row r="431" spans="1:34" x14ac:dyDescent="0.2">
      <c r="A431" s="347">
        <f t="shared" ca="1" si="180"/>
        <v>1E-4</v>
      </c>
      <c r="B431" s="304">
        <f t="shared" ca="1" si="181"/>
        <v>29.204500000000138</v>
      </c>
      <c r="D431" s="306">
        <f t="shared" ca="1" si="182"/>
        <v>-0.73245237897821991</v>
      </c>
      <c r="E431" s="307">
        <f t="shared" ca="1" si="183"/>
        <v>-1.3469187655752979</v>
      </c>
      <c r="F431" s="304">
        <f t="shared" ca="1" si="184"/>
        <v>1.5331916542069157</v>
      </c>
      <c r="G431" s="306">
        <f t="shared" ca="1" si="185"/>
        <v>9.2370387802278717</v>
      </c>
      <c r="H431" s="307">
        <f t="shared" ca="1" si="186"/>
        <v>-106.72984393529838</v>
      </c>
      <c r="I431" s="304">
        <f t="shared" ca="1" si="187"/>
        <v>107.12881251969789</v>
      </c>
      <c r="J431" s="306">
        <f t="shared" ca="1" si="188"/>
        <v>746.86410190403069</v>
      </c>
      <c r="K431" s="307">
        <f t="shared" ca="1" si="189"/>
        <v>-2.7275671330039897</v>
      </c>
      <c r="L431" s="304">
        <f t="shared" ca="1" si="174"/>
        <v>746.86908246049347</v>
      </c>
      <c r="M431" s="306">
        <f t="shared" ca="1" si="190"/>
        <v>-1.4844654647573161</v>
      </c>
      <c r="N431" s="304">
        <f t="shared" ca="1" si="191"/>
        <v>-85.053605963520468</v>
      </c>
      <c r="P431" s="310">
        <f t="shared" ca="1" si="192"/>
        <v>23</v>
      </c>
      <c r="Q431" s="304">
        <f t="shared" ca="1" si="193"/>
        <v>0</v>
      </c>
      <c r="R431" s="306">
        <f t="shared" ca="1" si="194"/>
        <v>0</v>
      </c>
      <c r="S431" s="307">
        <f t="shared" ca="1" si="195"/>
        <v>5.083000000000002</v>
      </c>
      <c r="T431" s="304">
        <f t="shared" ca="1" si="175"/>
        <v>49.86423000000002</v>
      </c>
      <c r="U431" s="311">
        <f t="shared" ca="1" si="176"/>
        <v>0</v>
      </c>
      <c r="V431" s="306">
        <f t="shared" ca="1" si="177"/>
        <v>1.2253341725476958</v>
      </c>
      <c r="W431" s="304">
        <f t="shared" ca="1" si="178"/>
        <v>43.178799732867198</v>
      </c>
      <c r="Y431" s="314" t="str">
        <f t="shared" ca="1" si="196"/>
        <v/>
      </c>
      <c r="Z431" s="315" t="str">
        <f t="shared" ca="1" si="197"/>
        <v/>
      </c>
      <c r="AA431" s="316" t="str">
        <f t="shared" ca="1" si="198"/>
        <v/>
      </c>
      <c r="AC431" s="310" t="e">
        <f t="shared" ca="1" si="199"/>
        <v>#N/A</v>
      </c>
      <c r="AD431" s="323" t="e">
        <f t="shared" ca="1" si="200"/>
        <v>#N/A</v>
      </c>
      <c r="AE431" s="324" t="e">
        <f t="shared" ca="1" si="179"/>
        <v>#N/A</v>
      </c>
      <c r="AG431" s="306">
        <f t="shared" ca="1" si="201"/>
        <v>1.2787471814896563</v>
      </c>
      <c r="AH431" s="304">
        <f t="shared" ca="1" si="202"/>
        <v>-8.4947177980167421</v>
      </c>
    </row>
    <row r="432" spans="1:34" x14ac:dyDescent="0.2">
      <c r="A432" s="347">
        <f t="shared" ca="1" si="180"/>
        <v>1E-4</v>
      </c>
      <c r="B432" s="304">
        <f t="shared" ca="1" si="181"/>
        <v>29.204600000000138</v>
      </c>
      <c r="D432" s="306">
        <f t="shared" ca="1" si="182"/>
        <v>-0.73244822706100721</v>
      </c>
      <c r="E432" s="307">
        <f t="shared" ca="1" si="183"/>
        <v>-1.3468889505756909</v>
      </c>
      <c r="F432" s="304">
        <f t="shared" ca="1" si="184"/>
        <v>1.5331634780765222</v>
      </c>
      <c r="G432" s="306">
        <f t="shared" ca="1" si="185"/>
        <v>9.2369655354051652</v>
      </c>
      <c r="H432" s="307">
        <f t="shared" ca="1" si="186"/>
        <v>-106.72997862419344</v>
      </c>
      <c r="I432" s="304">
        <f t="shared" ca="1" si="187"/>
        <v>107.12894039158164</v>
      </c>
      <c r="J432" s="306">
        <f t="shared" ca="1" si="188"/>
        <v>746.86410190403069</v>
      </c>
      <c r="K432" s="307">
        <f t="shared" ca="1" si="189"/>
        <v>-2.738240124131964</v>
      </c>
      <c r="L432" s="304">
        <f t="shared" ca="1" si="174"/>
        <v>746.86912151453396</v>
      </c>
      <c r="M432" s="306">
        <f t="shared" ca="1" si="190"/>
        <v>-1.4844662543237439</v>
      </c>
      <c r="N432" s="304">
        <f t="shared" ca="1" si="191"/>
        <v>-85.053651202344426</v>
      </c>
      <c r="P432" s="310">
        <f t="shared" ca="1" si="192"/>
        <v>23</v>
      </c>
      <c r="Q432" s="304">
        <f t="shared" ca="1" si="193"/>
        <v>0</v>
      </c>
      <c r="R432" s="306">
        <f t="shared" ca="1" si="194"/>
        <v>0</v>
      </c>
      <c r="S432" s="307">
        <f t="shared" ca="1" si="195"/>
        <v>5.083000000000002</v>
      </c>
      <c r="T432" s="304">
        <f t="shared" ca="1" si="175"/>
        <v>49.86423000000002</v>
      </c>
      <c r="U432" s="311">
        <f t="shared" ca="1" si="176"/>
        <v>0</v>
      </c>
      <c r="V432" s="306">
        <f t="shared" ca="1" si="177"/>
        <v>1.2253354803464933</v>
      </c>
      <c r="W432" s="304">
        <f t="shared" ca="1" si="178"/>
        <v>43.178948896553976</v>
      </c>
      <c r="Y432" s="314" t="str">
        <f t="shared" ca="1" si="196"/>
        <v/>
      </c>
      <c r="Z432" s="315" t="str">
        <f t="shared" ca="1" si="197"/>
        <v/>
      </c>
      <c r="AA432" s="316" t="str">
        <f t="shared" ca="1" si="198"/>
        <v/>
      </c>
      <c r="AC432" s="310" t="e">
        <f t="shared" ca="1" si="199"/>
        <v>#N/A</v>
      </c>
      <c r="AD432" s="323" t="e">
        <f t="shared" ca="1" si="200"/>
        <v>#N/A</v>
      </c>
      <c r="AE432" s="324" t="e">
        <f t="shared" ca="1" si="179"/>
        <v>#N/A</v>
      </c>
      <c r="AG432" s="306">
        <f t="shared" ca="1" si="201"/>
        <v>1.2787185033910617</v>
      </c>
      <c r="AH432" s="304">
        <f t="shared" ca="1" si="202"/>
        <v>-8.4947471439833127</v>
      </c>
    </row>
    <row r="433" spans="1:34" x14ac:dyDescent="0.2">
      <c r="A433" s="347">
        <f t="shared" ca="1" si="180"/>
        <v>1E-4</v>
      </c>
      <c r="B433" s="304">
        <f t="shared" ca="1" si="181"/>
        <v>29.204700000000138</v>
      </c>
      <c r="D433" s="306">
        <f t="shared" ca="1" si="182"/>
        <v>-0.73244407513453591</v>
      </c>
      <c r="E433" s="307">
        <f t="shared" ca="1" si="183"/>
        <v>-1.346859135948149</v>
      </c>
      <c r="F433" s="304">
        <f t="shared" ca="1" si="184"/>
        <v>1.5331353023417993</v>
      </c>
      <c r="G433" s="306">
        <f t="shared" ca="1" si="185"/>
        <v>9.2368922909976519</v>
      </c>
      <c r="H433" s="307">
        <f t="shared" ca="1" si="186"/>
        <v>-106.73011331010703</v>
      </c>
      <c r="I433" s="304">
        <f t="shared" ca="1" si="187"/>
        <v>107.12906826059759</v>
      </c>
      <c r="J433" s="306">
        <f t="shared" ca="1" si="188"/>
        <v>746.86410190403069</v>
      </c>
      <c r="K433" s="307">
        <f t="shared" ca="1" si="189"/>
        <v>-2.7489131287286792</v>
      </c>
      <c r="L433" s="304">
        <f t="shared" ca="1" si="174"/>
        <v>746.86916072114241</v>
      </c>
      <c r="M433" s="306">
        <f t="shared" ca="1" si="190"/>
        <v>-1.4844670438820262</v>
      </c>
      <c r="N433" s="304">
        <f t="shared" ca="1" si="191"/>
        <v>-85.053696440701671</v>
      </c>
      <c r="P433" s="310">
        <f t="shared" ca="1" si="192"/>
        <v>23</v>
      </c>
      <c r="Q433" s="304">
        <f t="shared" ca="1" si="193"/>
        <v>0</v>
      </c>
      <c r="R433" s="306">
        <f t="shared" ca="1" si="194"/>
        <v>0</v>
      </c>
      <c r="S433" s="307">
        <f t="shared" ca="1" si="195"/>
        <v>5.083000000000002</v>
      </c>
      <c r="T433" s="304">
        <f t="shared" ca="1" si="175"/>
        <v>49.86423000000002</v>
      </c>
      <c r="U433" s="311">
        <f t="shared" ca="1" si="176"/>
        <v>0</v>
      </c>
      <c r="V433" s="306">
        <f t="shared" ca="1" si="177"/>
        <v>1.2253367881483377</v>
      </c>
      <c r="W433" s="304">
        <f t="shared" ca="1" si="178"/>
        <v>43.179098058379424</v>
      </c>
      <c r="Y433" s="314" t="str">
        <f t="shared" ca="1" si="196"/>
        <v/>
      </c>
      <c r="Z433" s="315" t="str">
        <f t="shared" ca="1" si="197"/>
        <v/>
      </c>
      <c r="AA433" s="316" t="str">
        <f t="shared" ca="1" si="198"/>
        <v/>
      </c>
      <c r="AC433" s="310" t="e">
        <f t="shared" ca="1" si="199"/>
        <v>#N/A</v>
      </c>
      <c r="AD433" s="323" t="e">
        <f t="shared" ca="1" si="200"/>
        <v>#N/A</v>
      </c>
      <c r="AE433" s="324" t="e">
        <f t="shared" ca="1" si="179"/>
        <v>#N/A</v>
      </c>
      <c r="AG433" s="306">
        <f t="shared" ca="1" si="201"/>
        <v>1.2786898256456602</v>
      </c>
      <c r="AH433" s="304">
        <f t="shared" ca="1" si="202"/>
        <v>-8.4947764895837032</v>
      </c>
    </row>
    <row r="434" spans="1:34" x14ac:dyDescent="0.2">
      <c r="A434" s="347">
        <f t="shared" ca="1" si="180"/>
        <v>1E-4</v>
      </c>
      <c r="B434" s="304">
        <f t="shared" ca="1" si="181"/>
        <v>29.204800000000137</v>
      </c>
      <c r="D434" s="306">
        <f t="shared" ca="1" si="182"/>
        <v>-0.73243992319880291</v>
      </c>
      <c r="E434" s="307">
        <f t="shared" ca="1" si="183"/>
        <v>-1.3468293216926757</v>
      </c>
      <c r="F434" s="304">
        <f t="shared" ca="1" si="184"/>
        <v>1.5331071270027483</v>
      </c>
      <c r="G434" s="306">
        <f t="shared" ca="1" si="185"/>
        <v>9.2368190470053317</v>
      </c>
      <c r="H434" s="307">
        <f t="shared" ca="1" si="186"/>
        <v>-106.7302479930392</v>
      </c>
      <c r="I434" s="304">
        <f t="shared" ca="1" si="187"/>
        <v>107.12919612674581</v>
      </c>
      <c r="J434" s="306">
        <f t="shared" ca="1" si="188"/>
        <v>746.86410190403069</v>
      </c>
      <c r="K434" s="307">
        <f t="shared" ca="1" si="189"/>
        <v>-2.7595861467938367</v>
      </c>
      <c r="L434" s="304">
        <f t="shared" ca="1" si="174"/>
        <v>746.86920008031916</v>
      </c>
      <c r="M434" s="306">
        <f t="shared" ca="1" si="190"/>
        <v>-1.4844678334321628</v>
      </c>
      <c r="N434" s="304">
        <f t="shared" ca="1" si="191"/>
        <v>-85.053741678592218</v>
      </c>
      <c r="P434" s="310">
        <f t="shared" ca="1" si="192"/>
        <v>23</v>
      </c>
      <c r="Q434" s="304">
        <f t="shared" ca="1" si="193"/>
        <v>0</v>
      </c>
      <c r="R434" s="306">
        <f t="shared" ca="1" si="194"/>
        <v>0</v>
      </c>
      <c r="S434" s="307">
        <f t="shared" ca="1" si="195"/>
        <v>5.083000000000002</v>
      </c>
      <c r="T434" s="304">
        <f t="shared" ca="1" si="175"/>
        <v>49.86423000000002</v>
      </c>
      <c r="U434" s="311">
        <f t="shared" ca="1" si="176"/>
        <v>0</v>
      </c>
      <c r="V434" s="306">
        <f t="shared" ca="1" si="177"/>
        <v>1.2253380959532276</v>
      </c>
      <c r="W434" s="304">
        <f t="shared" ca="1" si="178"/>
        <v>43.179247218343519</v>
      </c>
      <c r="Y434" s="314" t="str">
        <f t="shared" ca="1" si="196"/>
        <v/>
      </c>
      <c r="Z434" s="315" t="str">
        <f t="shared" ca="1" si="197"/>
        <v/>
      </c>
      <c r="AA434" s="316" t="str">
        <f t="shared" ca="1" si="198"/>
        <v/>
      </c>
      <c r="AC434" s="310" t="e">
        <f t="shared" ca="1" si="199"/>
        <v>#N/A</v>
      </c>
      <c r="AD434" s="323" t="e">
        <f t="shared" ca="1" si="200"/>
        <v>#N/A</v>
      </c>
      <c r="AE434" s="324" t="e">
        <f t="shared" ca="1" si="179"/>
        <v>#N/A</v>
      </c>
      <c r="AG434" s="306">
        <f t="shared" ca="1" si="201"/>
        <v>1.2786611482534678</v>
      </c>
      <c r="AH434" s="304">
        <f t="shared" ca="1" si="202"/>
        <v>-8.494805834817905</v>
      </c>
    </row>
    <row r="435" spans="1:34" x14ac:dyDescent="0.2">
      <c r="A435" s="347">
        <f t="shared" ca="1" si="180"/>
        <v>1E-4</v>
      </c>
      <c r="B435" s="304">
        <f t="shared" ca="1" si="181"/>
        <v>29.204900000000137</v>
      </c>
      <c r="D435" s="306">
        <f t="shared" ca="1" si="182"/>
        <v>-0.73243577125381143</v>
      </c>
      <c r="E435" s="307">
        <f t="shared" ca="1" si="183"/>
        <v>-1.3467995078092798</v>
      </c>
      <c r="F435" s="304">
        <f t="shared" ca="1" si="184"/>
        <v>1.5330789520593791</v>
      </c>
      <c r="G435" s="306">
        <f t="shared" ca="1" si="185"/>
        <v>9.2367458034282066</v>
      </c>
      <c r="H435" s="307">
        <f t="shared" ca="1" si="186"/>
        <v>-106.73038267298998</v>
      </c>
      <c r="I435" s="304">
        <f t="shared" ca="1" si="187"/>
        <v>107.12932399002631</v>
      </c>
      <c r="J435" s="306">
        <f t="shared" ca="1" si="188"/>
        <v>746.86410190403069</v>
      </c>
      <c r="K435" s="307">
        <f t="shared" ca="1" si="189"/>
        <v>-2.7702591783271382</v>
      </c>
      <c r="L435" s="304">
        <f t="shared" ca="1" si="174"/>
        <v>746.86923959206501</v>
      </c>
      <c r="M435" s="306">
        <f t="shared" ca="1" si="190"/>
        <v>-1.4844686229741542</v>
      </c>
      <c r="N435" s="304">
        <f t="shared" ca="1" si="191"/>
        <v>-85.053786916016065</v>
      </c>
      <c r="P435" s="310">
        <f t="shared" ca="1" si="192"/>
        <v>23</v>
      </c>
      <c r="Q435" s="304">
        <f t="shared" ca="1" si="193"/>
        <v>0</v>
      </c>
      <c r="R435" s="306">
        <f t="shared" ca="1" si="194"/>
        <v>0</v>
      </c>
      <c r="S435" s="307">
        <f t="shared" ca="1" si="195"/>
        <v>5.083000000000002</v>
      </c>
      <c r="T435" s="304">
        <f t="shared" ca="1" si="175"/>
        <v>49.86423000000002</v>
      </c>
      <c r="U435" s="311">
        <f t="shared" ca="1" si="176"/>
        <v>0</v>
      </c>
      <c r="V435" s="306">
        <f t="shared" ca="1" si="177"/>
        <v>1.2253394037611642</v>
      </c>
      <c r="W435" s="304">
        <f t="shared" ca="1" si="178"/>
        <v>43.179396376446313</v>
      </c>
      <c r="Y435" s="314" t="str">
        <f t="shared" ca="1" si="196"/>
        <v/>
      </c>
      <c r="Z435" s="315" t="str">
        <f t="shared" ca="1" si="197"/>
        <v/>
      </c>
      <c r="AA435" s="316" t="str">
        <f t="shared" ca="1" si="198"/>
        <v/>
      </c>
      <c r="AC435" s="310" t="e">
        <f t="shared" ca="1" si="199"/>
        <v>#N/A</v>
      </c>
      <c r="AD435" s="323" t="e">
        <f t="shared" ca="1" si="200"/>
        <v>#N/A</v>
      </c>
      <c r="AE435" s="324" t="e">
        <f t="shared" ca="1" si="179"/>
        <v>#N/A</v>
      </c>
      <c r="AG435" s="306">
        <f t="shared" ca="1" si="201"/>
        <v>1.2786324712144861</v>
      </c>
      <c r="AH435" s="304">
        <f t="shared" ca="1" si="202"/>
        <v>-8.4948351796859143</v>
      </c>
    </row>
    <row r="436" spans="1:34" x14ac:dyDescent="0.2">
      <c r="A436" s="347">
        <f t="shared" ca="1" si="180"/>
        <v>1E-4</v>
      </c>
      <c r="B436" s="304">
        <f t="shared" ca="1" si="181"/>
        <v>29.205000000000137</v>
      </c>
      <c r="D436" s="306">
        <f t="shared" ca="1" si="182"/>
        <v>-0.73243161929956035</v>
      </c>
      <c r="E436" s="307">
        <f t="shared" ca="1" si="183"/>
        <v>-1.346769694297949</v>
      </c>
      <c r="F436" s="304">
        <f t="shared" ca="1" si="184"/>
        <v>1.5330507775116802</v>
      </c>
      <c r="G436" s="306">
        <f t="shared" ca="1" si="185"/>
        <v>9.2366725602662765</v>
      </c>
      <c r="H436" s="307">
        <f t="shared" ca="1" si="186"/>
        <v>-106.7305173499594</v>
      </c>
      <c r="I436" s="304">
        <f t="shared" ca="1" si="187"/>
        <v>107.12945185043915</v>
      </c>
      <c r="J436" s="306">
        <f t="shared" ca="1" si="188"/>
        <v>746.86410190403069</v>
      </c>
      <c r="K436" s="307">
        <f t="shared" ca="1" si="189"/>
        <v>-2.7809322233282856</v>
      </c>
      <c r="L436" s="304">
        <f t="shared" ca="1" si="174"/>
        <v>746.86927925638031</v>
      </c>
      <c r="M436" s="306">
        <f t="shared" ca="1" si="190"/>
        <v>-1.484469412508</v>
      </c>
      <c r="N436" s="304">
        <f t="shared" ca="1" si="191"/>
        <v>-85.053832152973214</v>
      </c>
      <c r="P436" s="310">
        <f t="shared" ca="1" si="192"/>
        <v>23</v>
      </c>
      <c r="Q436" s="304">
        <f t="shared" ca="1" si="193"/>
        <v>0</v>
      </c>
      <c r="R436" s="306">
        <f t="shared" ca="1" si="194"/>
        <v>0</v>
      </c>
      <c r="S436" s="307">
        <f t="shared" ca="1" si="195"/>
        <v>5.083000000000002</v>
      </c>
      <c r="T436" s="304">
        <f t="shared" ca="1" si="175"/>
        <v>49.86423000000002</v>
      </c>
      <c r="U436" s="311">
        <f t="shared" ca="1" si="176"/>
        <v>0</v>
      </c>
      <c r="V436" s="306">
        <f t="shared" ca="1" si="177"/>
        <v>1.2253407115721473</v>
      </c>
      <c r="W436" s="304">
        <f t="shared" ca="1" si="178"/>
        <v>43.17954553268784</v>
      </c>
      <c r="Y436" s="314" t="str">
        <f t="shared" ca="1" si="196"/>
        <v/>
      </c>
      <c r="Z436" s="315" t="str">
        <f t="shared" ca="1" si="197"/>
        <v/>
      </c>
      <c r="AA436" s="316" t="str">
        <f t="shared" ca="1" si="198"/>
        <v/>
      </c>
      <c r="AC436" s="310" t="e">
        <f t="shared" ca="1" si="199"/>
        <v>#N/A</v>
      </c>
      <c r="AD436" s="323" t="e">
        <f t="shared" ca="1" si="200"/>
        <v>#N/A</v>
      </c>
      <c r="AE436" s="324" t="e">
        <f t="shared" ca="1" si="179"/>
        <v>#N/A</v>
      </c>
      <c r="AG436" s="306">
        <f t="shared" ca="1" si="201"/>
        <v>1.278603794528701</v>
      </c>
      <c r="AH436" s="304">
        <f t="shared" ca="1" si="202"/>
        <v>-8.4948645241877418</v>
      </c>
    </row>
    <row r="437" spans="1:34" x14ac:dyDescent="0.2">
      <c r="A437" s="347">
        <f t="shared" ca="1" si="180"/>
        <v>1E-4</v>
      </c>
      <c r="B437" s="304">
        <f t="shared" ca="1" si="181"/>
        <v>29.205100000000137</v>
      </c>
      <c r="D437" s="306">
        <f t="shared" ca="1" si="182"/>
        <v>-0.73242746733605379</v>
      </c>
      <c r="E437" s="307">
        <f t="shared" ca="1" si="183"/>
        <v>-1.3467398811586726</v>
      </c>
      <c r="F437" s="304">
        <f t="shared" ca="1" si="184"/>
        <v>1.5330226033596444</v>
      </c>
      <c r="G437" s="306">
        <f t="shared" ca="1" si="185"/>
        <v>9.2365993175195431</v>
      </c>
      <c r="H437" s="307">
        <f t="shared" ca="1" si="186"/>
        <v>-106.73065202394751</v>
      </c>
      <c r="I437" s="304">
        <f t="shared" ca="1" si="187"/>
        <v>107.12957970798436</v>
      </c>
      <c r="J437" s="306">
        <f t="shared" ca="1" si="188"/>
        <v>746.86410190403069</v>
      </c>
      <c r="K437" s="307">
        <f t="shared" ca="1" si="189"/>
        <v>-2.791605281796981</v>
      </c>
      <c r="L437" s="304">
        <f t="shared" ca="1" si="174"/>
        <v>746.86931907326584</v>
      </c>
      <c r="M437" s="306">
        <f t="shared" ca="1" si="190"/>
        <v>-1.4844702020337006</v>
      </c>
      <c r="N437" s="304">
        <f t="shared" ca="1" si="191"/>
        <v>-85.053877389463679</v>
      </c>
      <c r="P437" s="310">
        <f t="shared" ca="1" si="192"/>
        <v>23</v>
      </c>
      <c r="Q437" s="304">
        <f t="shared" ca="1" si="193"/>
        <v>0</v>
      </c>
      <c r="R437" s="306">
        <f t="shared" ca="1" si="194"/>
        <v>0</v>
      </c>
      <c r="S437" s="307">
        <f t="shared" ca="1" si="195"/>
        <v>5.083000000000002</v>
      </c>
      <c r="T437" s="304">
        <f t="shared" ca="1" si="175"/>
        <v>49.86423000000002</v>
      </c>
      <c r="U437" s="311">
        <f t="shared" ca="1" si="176"/>
        <v>0</v>
      </c>
      <c r="V437" s="306">
        <f t="shared" ca="1" si="177"/>
        <v>1.2253420193861764</v>
      </c>
      <c r="W437" s="304">
        <f t="shared" ca="1" si="178"/>
        <v>43.179694687068064</v>
      </c>
      <c r="Y437" s="314" t="str">
        <f t="shared" ca="1" si="196"/>
        <v/>
      </c>
      <c r="Z437" s="315" t="str">
        <f t="shared" ca="1" si="197"/>
        <v/>
      </c>
      <c r="AA437" s="316" t="str">
        <f t="shared" ca="1" si="198"/>
        <v/>
      </c>
      <c r="AC437" s="310" t="e">
        <f t="shared" ca="1" si="199"/>
        <v>#N/A</v>
      </c>
      <c r="AD437" s="323" t="e">
        <f t="shared" ca="1" si="200"/>
        <v>#N/A</v>
      </c>
      <c r="AE437" s="324" t="e">
        <f t="shared" ca="1" si="179"/>
        <v>#N/A</v>
      </c>
      <c r="AG437" s="306">
        <f t="shared" ca="1" si="201"/>
        <v>1.2785751181961089</v>
      </c>
      <c r="AH437" s="304">
        <f t="shared" ca="1" si="202"/>
        <v>-8.4948938683233965</v>
      </c>
    </row>
    <row r="438" spans="1:34" x14ac:dyDescent="0.2">
      <c r="A438" s="347">
        <f t="shared" ca="1" si="180"/>
        <v>1E-4</v>
      </c>
      <c r="B438" s="304">
        <f t="shared" ca="1" si="181"/>
        <v>29.205200000000136</v>
      </c>
      <c r="D438" s="306">
        <f t="shared" ca="1" si="182"/>
        <v>-0.73242331536329064</v>
      </c>
      <c r="E438" s="307">
        <f t="shared" ca="1" si="183"/>
        <v>-1.346710068391463</v>
      </c>
      <c r="F438" s="304">
        <f t="shared" ca="1" si="184"/>
        <v>1.5329944296032825</v>
      </c>
      <c r="G438" s="306">
        <f t="shared" ca="1" si="185"/>
        <v>9.2365260751880065</v>
      </c>
      <c r="H438" s="307">
        <f t="shared" ca="1" si="186"/>
        <v>-106.73078669495435</v>
      </c>
      <c r="I438" s="304">
        <f t="shared" ca="1" si="187"/>
        <v>107.12970756266198</v>
      </c>
      <c r="J438" s="306">
        <f t="shared" ca="1" si="188"/>
        <v>746.86410190403069</v>
      </c>
      <c r="K438" s="307">
        <f t="shared" ca="1" si="189"/>
        <v>-2.8022783537329259</v>
      </c>
      <c r="L438" s="304">
        <f t="shared" ca="1" si="174"/>
        <v>746.86935904272184</v>
      </c>
      <c r="M438" s="306">
        <f t="shared" ca="1" si="190"/>
        <v>-1.4844709915512559</v>
      </c>
      <c r="N438" s="304">
        <f t="shared" ca="1" si="191"/>
        <v>-85.053922625487459</v>
      </c>
      <c r="P438" s="310">
        <f t="shared" ca="1" si="192"/>
        <v>23</v>
      </c>
      <c r="Q438" s="304">
        <f t="shared" ca="1" si="193"/>
        <v>0</v>
      </c>
      <c r="R438" s="306">
        <f t="shared" ca="1" si="194"/>
        <v>0</v>
      </c>
      <c r="S438" s="307">
        <f t="shared" ca="1" si="195"/>
        <v>5.083000000000002</v>
      </c>
      <c r="T438" s="304">
        <f t="shared" ca="1" si="175"/>
        <v>49.86423000000002</v>
      </c>
      <c r="U438" s="311">
        <f t="shared" ca="1" si="176"/>
        <v>0</v>
      </c>
      <c r="V438" s="306">
        <f t="shared" ca="1" si="177"/>
        <v>1.2253433272032521</v>
      </c>
      <c r="W438" s="304">
        <f t="shared" ca="1" si="178"/>
        <v>43.179843839587043</v>
      </c>
      <c r="Y438" s="314" t="str">
        <f t="shared" ca="1" si="196"/>
        <v/>
      </c>
      <c r="Z438" s="315" t="str">
        <f t="shared" ca="1" si="197"/>
        <v/>
      </c>
      <c r="AA438" s="316" t="str">
        <f t="shared" ca="1" si="198"/>
        <v/>
      </c>
      <c r="AC438" s="310" t="e">
        <f t="shared" ca="1" si="199"/>
        <v>#N/A</v>
      </c>
      <c r="AD438" s="323" t="e">
        <f t="shared" ca="1" si="200"/>
        <v>#N/A</v>
      </c>
      <c r="AE438" s="324" t="e">
        <f t="shared" ca="1" si="179"/>
        <v>#N/A</v>
      </c>
      <c r="AG438" s="306">
        <f t="shared" ca="1" si="201"/>
        <v>1.2785464422167188</v>
      </c>
      <c r="AH438" s="304">
        <f t="shared" ca="1" si="202"/>
        <v>-8.4949232120928677</v>
      </c>
    </row>
    <row r="439" spans="1:34" x14ac:dyDescent="0.2">
      <c r="A439" s="347">
        <f t="shared" ca="1" si="180"/>
        <v>1E-4</v>
      </c>
      <c r="B439" s="304">
        <f t="shared" ca="1" si="181"/>
        <v>29.205300000000136</v>
      </c>
      <c r="D439" s="306">
        <f t="shared" ca="1" si="182"/>
        <v>-0.73241916338127366</v>
      </c>
      <c r="E439" s="307">
        <f t="shared" ca="1" si="183"/>
        <v>-1.3466802559963043</v>
      </c>
      <c r="F439" s="304">
        <f t="shared" ca="1" si="184"/>
        <v>1.5329662562425816</v>
      </c>
      <c r="G439" s="306">
        <f t="shared" ca="1" si="185"/>
        <v>9.2364528332716684</v>
      </c>
      <c r="H439" s="307">
        <f t="shared" ca="1" si="186"/>
        <v>-106.73092136297994</v>
      </c>
      <c r="I439" s="304">
        <f t="shared" ca="1" si="187"/>
        <v>107.12983541447201</v>
      </c>
      <c r="J439" s="306">
        <f t="shared" ca="1" si="188"/>
        <v>746.86410190403069</v>
      </c>
      <c r="K439" s="307">
        <f t="shared" ca="1" si="189"/>
        <v>-2.8129514391358228</v>
      </c>
      <c r="L439" s="304">
        <f t="shared" ca="1" si="174"/>
        <v>746.86939916474898</v>
      </c>
      <c r="M439" s="306">
        <f t="shared" ca="1" si="190"/>
        <v>-1.4844717810606665</v>
      </c>
      <c r="N439" s="304">
        <f t="shared" ca="1" si="191"/>
        <v>-85.053967861044555</v>
      </c>
      <c r="P439" s="310">
        <f t="shared" ca="1" si="192"/>
        <v>23</v>
      </c>
      <c r="Q439" s="304">
        <f t="shared" ca="1" si="193"/>
        <v>0</v>
      </c>
      <c r="R439" s="306">
        <f t="shared" ca="1" si="194"/>
        <v>0</v>
      </c>
      <c r="S439" s="307">
        <f t="shared" ca="1" si="195"/>
        <v>5.083000000000002</v>
      </c>
      <c r="T439" s="304">
        <f t="shared" ca="1" si="175"/>
        <v>49.86423000000002</v>
      </c>
      <c r="U439" s="311">
        <f t="shared" ca="1" si="176"/>
        <v>0</v>
      </c>
      <c r="V439" s="306">
        <f t="shared" ca="1" si="177"/>
        <v>1.2253446350233737</v>
      </c>
      <c r="W439" s="304">
        <f t="shared" ca="1" si="178"/>
        <v>43.179992990244742</v>
      </c>
      <c r="Y439" s="314" t="str">
        <f t="shared" ca="1" si="196"/>
        <v/>
      </c>
      <c r="Z439" s="315" t="str">
        <f t="shared" ca="1" si="197"/>
        <v/>
      </c>
      <c r="AA439" s="316" t="str">
        <f t="shared" ca="1" si="198"/>
        <v/>
      </c>
      <c r="AC439" s="310" t="e">
        <f t="shared" ca="1" si="199"/>
        <v>#N/A</v>
      </c>
      <c r="AD439" s="323" t="e">
        <f t="shared" ca="1" si="200"/>
        <v>#N/A</v>
      </c>
      <c r="AE439" s="324" t="e">
        <f t="shared" ca="1" si="179"/>
        <v>#N/A</v>
      </c>
      <c r="AG439" s="306">
        <f t="shared" ca="1" si="201"/>
        <v>1.2785177665905163</v>
      </c>
      <c r="AH439" s="304">
        <f t="shared" ca="1" si="202"/>
        <v>-8.4949525554961696</v>
      </c>
    </row>
    <row r="440" spans="1:34" x14ac:dyDescent="0.2">
      <c r="A440" s="347">
        <f t="shared" ca="1" si="180"/>
        <v>1E-4</v>
      </c>
      <c r="B440" s="304">
        <f t="shared" ca="1" si="181"/>
        <v>29.205400000000136</v>
      </c>
      <c r="D440" s="306">
        <f t="shared" ca="1" si="182"/>
        <v>-0.73241501138999998</v>
      </c>
      <c r="E440" s="307">
        <f t="shared" ca="1" si="183"/>
        <v>-1.3466504439732088</v>
      </c>
      <c r="F440" s="304">
        <f t="shared" ca="1" si="184"/>
        <v>1.5329380832775517</v>
      </c>
      <c r="G440" s="306">
        <f t="shared" ca="1" si="185"/>
        <v>9.2363795917705289</v>
      </c>
      <c r="H440" s="307">
        <f t="shared" ca="1" si="186"/>
        <v>-106.73105602802434</v>
      </c>
      <c r="I440" s="304">
        <f t="shared" ca="1" si="187"/>
        <v>107.12996326341452</v>
      </c>
      <c r="J440" s="306">
        <f t="shared" ca="1" si="188"/>
        <v>746.86410190403069</v>
      </c>
      <c r="K440" s="307">
        <f t="shared" ca="1" si="189"/>
        <v>-2.8236245380053728</v>
      </c>
      <c r="L440" s="304">
        <f t="shared" ca="1" si="174"/>
        <v>746.86943943934796</v>
      </c>
      <c r="M440" s="306">
        <f t="shared" ca="1" si="190"/>
        <v>-1.4844725705619319</v>
      </c>
      <c r="N440" s="304">
        <f t="shared" ca="1" si="191"/>
        <v>-85.054013096134994</v>
      </c>
      <c r="P440" s="310">
        <f t="shared" ca="1" si="192"/>
        <v>23</v>
      </c>
      <c r="Q440" s="304">
        <f t="shared" ca="1" si="193"/>
        <v>0</v>
      </c>
      <c r="R440" s="306">
        <f t="shared" ca="1" si="194"/>
        <v>0</v>
      </c>
      <c r="S440" s="307">
        <f t="shared" ca="1" si="195"/>
        <v>5.083000000000002</v>
      </c>
      <c r="T440" s="304">
        <f t="shared" ca="1" si="175"/>
        <v>49.86423000000002</v>
      </c>
      <c r="U440" s="311">
        <f t="shared" ca="1" si="176"/>
        <v>0</v>
      </c>
      <c r="V440" s="306">
        <f t="shared" ca="1" si="177"/>
        <v>1.2253459428465414</v>
      </c>
      <c r="W440" s="304">
        <f t="shared" ca="1" si="178"/>
        <v>43.180142139041209</v>
      </c>
      <c r="Y440" s="314" t="str">
        <f t="shared" ca="1" si="196"/>
        <v/>
      </c>
      <c r="Z440" s="315" t="str">
        <f t="shared" ca="1" si="197"/>
        <v/>
      </c>
      <c r="AA440" s="316" t="str">
        <f t="shared" ca="1" si="198"/>
        <v/>
      </c>
      <c r="AC440" s="310" t="e">
        <f t="shared" ca="1" si="199"/>
        <v>#N/A</v>
      </c>
      <c r="AD440" s="323" t="e">
        <f t="shared" ca="1" si="200"/>
        <v>#N/A</v>
      </c>
      <c r="AE440" s="324" t="e">
        <f t="shared" ca="1" si="179"/>
        <v>#N/A</v>
      </c>
      <c r="AG440" s="306">
        <f t="shared" ca="1" si="201"/>
        <v>1.2784890913175087</v>
      </c>
      <c r="AH440" s="304">
        <f t="shared" ca="1" si="202"/>
        <v>-8.4949818985332932</v>
      </c>
    </row>
    <row r="441" spans="1:34" x14ac:dyDescent="0.2">
      <c r="A441" s="347">
        <f t="shared" ca="1" si="180"/>
        <v>1E-4</v>
      </c>
      <c r="B441" s="304">
        <f t="shared" ca="1" si="181"/>
        <v>29.205500000000136</v>
      </c>
      <c r="D441" s="306">
        <f t="shared" ca="1" si="182"/>
        <v>-0.73241085938947381</v>
      </c>
      <c r="E441" s="307">
        <f t="shared" ca="1" si="183"/>
        <v>-1.3466206323221641</v>
      </c>
      <c r="F441" s="304">
        <f t="shared" ca="1" si="184"/>
        <v>1.5329099107081841</v>
      </c>
      <c r="G441" s="306">
        <f t="shared" ca="1" si="185"/>
        <v>9.2363063506845897</v>
      </c>
      <c r="H441" s="307">
        <f t="shared" ca="1" si="186"/>
        <v>-106.73119069008757</v>
      </c>
      <c r="I441" s="304">
        <f t="shared" ca="1" si="187"/>
        <v>107.13009110948956</v>
      </c>
      <c r="J441" s="306">
        <f t="shared" ca="1" si="188"/>
        <v>746.86410190403069</v>
      </c>
      <c r="K441" s="307">
        <f t="shared" ca="1" si="189"/>
        <v>-2.8342976503412785</v>
      </c>
      <c r="L441" s="304">
        <f t="shared" ca="1" si="174"/>
        <v>746.86947986651921</v>
      </c>
      <c r="M441" s="306">
        <f t="shared" ca="1" si="190"/>
        <v>-1.4844733600550528</v>
      </c>
      <c r="N441" s="304">
        <f t="shared" ca="1" si="191"/>
        <v>-85.054058330758778</v>
      </c>
      <c r="P441" s="310">
        <f t="shared" ca="1" si="192"/>
        <v>23</v>
      </c>
      <c r="Q441" s="304">
        <f t="shared" ca="1" si="193"/>
        <v>0</v>
      </c>
      <c r="R441" s="306">
        <f t="shared" ca="1" si="194"/>
        <v>0</v>
      </c>
      <c r="S441" s="307">
        <f t="shared" ca="1" si="195"/>
        <v>5.083000000000002</v>
      </c>
      <c r="T441" s="304">
        <f t="shared" ca="1" si="175"/>
        <v>49.86423000000002</v>
      </c>
      <c r="U441" s="311">
        <f t="shared" ca="1" si="176"/>
        <v>0</v>
      </c>
      <c r="V441" s="306">
        <f t="shared" ca="1" si="177"/>
        <v>1.225347250672755</v>
      </c>
      <c r="W441" s="304">
        <f t="shared" ca="1" si="178"/>
        <v>43.180291285976431</v>
      </c>
      <c r="Y441" s="314" t="str">
        <f t="shared" ca="1" si="196"/>
        <v/>
      </c>
      <c r="Z441" s="315" t="str">
        <f t="shared" ca="1" si="197"/>
        <v/>
      </c>
      <c r="AA441" s="316" t="str">
        <f t="shared" ca="1" si="198"/>
        <v/>
      </c>
      <c r="AC441" s="310" t="e">
        <f t="shared" ca="1" si="199"/>
        <v>#N/A</v>
      </c>
      <c r="AD441" s="323" t="e">
        <f t="shared" ca="1" si="200"/>
        <v>#N/A</v>
      </c>
      <c r="AE441" s="324" t="e">
        <f t="shared" ca="1" si="179"/>
        <v>#N/A</v>
      </c>
      <c r="AG441" s="306">
        <f t="shared" ca="1" si="201"/>
        <v>1.2784604163976905</v>
      </c>
      <c r="AH441" s="304">
        <f t="shared" ca="1" si="202"/>
        <v>-8.4950112412042476</v>
      </c>
    </row>
    <row r="442" spans="1:34" x14ac:dyDescent="0.2">
      <c r="A442" s="347">
        <f t="shared" ca="1" si="180"/>
        <v>1E-4</v>
      </c>
      <c r="B442" s="304">
        <f t="shared" ca="1" si="181"/>
        <v>29.205600000000135</v>
      </c>
      <c r="D442" s="306">
        <f t="shared" ca="1" si="182"/>
        <v>-0.73240670737969282</v>
      </c>
      <c r="E442" s="307">
        <f t="shared" ca="1" si="183"/>
        <v>-1.3465908210431703</v>
      </c>
      <c r="F442" s="304">
        <f t="shared" ca="1" si="184"/>
        <v>1.5328817385344775</v>
      </c>
      <c r="G442" s="306">
        <f t="shared" ca="1" si="185"/>
        <v>9.2362331100138526</v>
      </c>
      <c r="H442" s="307">
        <f t="shared" ca="1" si="186"/>
        <v>-106.73132534916968</v>
      </c>
      <c r="I442" s="304">
        <f t="shared" ca="1" si="187"/>
        <v>107.13021895269713</v>
      </c>
      <c r="J442" s="306">
        <f t="shared" ca="1" si="188"/>
        <v>746.86410190403069</v>
      </c>
      <c r="K442" s="307">
        <f t="shared" ca="1" si="189"/>
        <v>-2.8449707761432412</v>
      </c>
      <c r="L442" s="304">
        <f t="shared" ca="1" si="174"/>
        <v>746.86952044626344</v>
      </c>
      <c r="M442" s="306">
        <f t="shared" ca="1" si="190"/>
        <v>-1.4844741495400289</v>
      </c>
      <c r="N442" s="304">
        <f t="shared" ca="1" si="191"/>
        <v>-85.054103564915891</v>
      </c>
      <c r="P442" s="310">
        <f t="shared" ca="1" si="192"/>
        <v>23</v>
      </c>
      <c r="Q442" s="304">
        <f t="shared" ca="1" si="193"/>
        <v>0</v>
      </c>
      <c r="R442" s="306">
        <f t="shared" ca="1" si="194"/>
        <v>0</v>
      </c>
      <c r="S442" s="307">
        <f t="shared" ca="1" si="195"/>
        <v>5.083000000000002</v>
      </c>
      <c r="T442" s="304">
        <f t="shared" ca="1" si="175"/>
        <v>49.86423000000002</v>
      </c>
      <c r="U442" s="311">
        <f t="shared" ca="1" si="176"/>
        <v>0</v>
      </c>
      <c r="V442" s="306">
        <f t="shared" ca="1" si="177"/>
        <v>1.2253485585020152</v>
      </c>
      <c r="W442" s="304">
        <f t="shared" ca="1" si="178"/>
        <v>43.180440431050471</v>
      </c>
      <c r="Y442" s="314" t="str">
        <f t="shared" ca="1" si="196"/>
        <v/>
      </c>
      <c r="Z442" s="315" t="str">
        <f t="shared" ca="1" si="197"/>
        <v/>
      </c>
      <c r="AA442" s="316" t="str">
        <f t="shared" ca="1" si="198"/>
        <v/>
      </c>
      <c r="AC442" s="310" t="e">
        <f t="shared" ca="1" si="199"/>
        <v>#N/A</v>
      </c>
      <c r="AD442" s="323" t="e">
        <f t="shared" ca="1" si="200"/>
        <v>#N/A</v>
      </c>
      <c r="AE442" s="324" t="e">
        <f t="shared" ca="1" si="179"/>
        <v>#N/A</v>
      </c>
      <c r="AG442" s="306">
        <f t="shared" ca="1" si="201"/>
        <v>1.2784317418310618</v>
      </c>
      <c r="AH442" s="304">
        <f t="shared" ca="1" si="202"/>
        <v>-8.4950405835090326</v>
      </c>
    </row>
    <row r="443" spans="1:34" x14ac:dyDescent="0.2">
      <c r="A443" s="347">
        <f t="shared" ca="1" si="180"/>
        <v>1E-4</v>
      </c>
      <c r="B443" s="304">
        <f t="shared" ca="1" si="181"/>
        <v>29.205700000000135</v>
      </c>
      <c r="D443" s="306">
        <f t="shared" ca="1" si="182"/>
        <v>-0.73240255536066168</v>
      </c>
      <c r="E443" s="307">
        <f t="shared" ca="1" si="183"/>
        <v>-1.3465610101362184</v>
      </c>
      <c r="F443" s="304">
        <f t="shared" ca="1" si="184"/>
        <v>1.5328535667564269</v>
      </c>
      <c r="G443" s="306">
        <f t="shared" ca="1" si="185"/>
        <v>9.2361598697583158</v>
      </c>
      <c r="H443" s="307">
        <f t="shared" ca="1" si="186"/>
        <v>-106.73146000527069</v>
      </c>
      <c r="I443" s="304">
        <f t="shared" ca="1" si="187"/>
        <v>107.13034679303726</v>
      </c>
      <c r="J443" s="306">
        <f t="shared" ca="1" si="188"/>
        <v>746.86410190403069</v>
      </c>
      <c r="K443" s="307">
        <f t="shared" ca="1" si="189"/>
        <v>-2.8556439154109632</v>
      </c>
      <c r="L443" s="304">
        <f t="shared" ca="1" si="174"/>
        <v>746.86956117858085</v>
      </c>
      <c r="M443" s="306">
        <f t="shared" ca="1" si="190"/>
        <v>-1.4844749390168603</v>
      </c>
      <c r="N443" s="304">
        <f t="shared" ca="1" si="191"/>
        <v>-85.054148798606363</v>
      </c>
      <c r="P443" s="310">
        <f t="shared" ca="1" si="192"/>
        <v>23</v>
      </c>
      <c r="Q443" s="304">
        <f t="shared" ca="1" si="193"/>
        <v>0</v>
      </c>
      <c r="R443" s="306">
        <f t="shared" ca="1" si="194"/>
        <v>0</v>
      </c>
      <c r="S443" s="307">
        <f t="shared" ca="1" si="195"/>
        <v>5.083000000000002</v>
      </c>
      <c r="T443" s="304">
        <f t="shared" ca="1" si="175"/>
        <v>49.86423000000002</v>
      </c>
      <c r="U443" s="311">
        <f t="shared" ca="1" si="176"/>
        <v>0</v>
      </c>
      <c r="V443" s="306">
        <f t="shared" ca="1" si="177"/>
        <v>1.2253498663343216</v>
      </c>
      <c r="W443" s="304">
        <f t="shared" ca="1" si="178"/>
        <v>43.18058957426328</v>
      </c>
      <c r="Y443" s="314" t="str">
        <f t="shared" ca="1" si="196"/>
        <v/>
      </c>
      <c r="Z443" s="315" t="str">
        <f t="shared" ca="1" si="197"/>
        <v/>
      </c>
      <c r="AA443" s="316" t="str">
        <f t="shared" ca="1" si="198"/>
        <v/>
      </c>
      <c r="AC443" s="310" t="e">
        <f t="shared" ca="1" si="199"/>
        <v>#N/A</v>
      </c>
      <c r="AD443" s="323" t="e">
        <f t="shared" ca="1" si="200"/>
        <v>#N/A</v>
      </c>
      <c r="AE443" s="324" t="e">
        <f t="shared" ca="1" si="179"/>
        <v>#N/A</v>
      </c>
      <c r="AG443" s="306">
        <f t="shared" ca="1" si="201"/>
        <v>1.2784030676176119</v>
      </c>
      <c r="AH443" s="304">
        <f t="shared" ca="1" si="202"/>
        <v>-8.4950699254476589</v>
      </c>
    </row>
    <row r="444" spans="1:34" x14ac:dyDescent="0.2">
      <c r="A444" s="347">
        <f t="shared" ca="1" si="180"/>
        <v>1E-4</v>
      </c>
      <c r="B444" s="304">
        <f t="shared" ca="1" si="181"/>
        <v>29.205800000000135</v>
      </c>
      <c r="D444" s="306">
        <f t="shared" ca="1" si="182"/>
        <v>-0.73239840333237916</v>
      </c>
      <c r="E444" s="307">
        <f t="shared" ca="1" si="183"/>
        <v>-1.3465311996013156</v>
      </c>
      <c r="F444" s="304">
        <f t="shared" ca="1" si="184"/>
        <v>1.5328253953740383</v>
      </c>
      <c r="G444" s="306">
        <f t="shared" ca="1" si="185"/>
        <v>9.2360866299179829</v>
      </c>
      <c r="H444" s="307">
        <f t="shared" ca="1" si="186"/>
        <v>-106.73159465839065</v>
      </c>
      <c r="I444" s="304">
        <f t="shared" ca="1" si="187"/>
        <v>107.13047463051002</v>
      </c>
      <c r="J444" s="306">
        <f t="shared" ca="1" si="188"/>
        <v>746.86410190403069</v>
      </c>
      <c r="K444" s="307">
        <f t="shared" ca="1" si="189"/>
        <v>-2.8663170681441463</v>
      </c>
      <c r="L444" s="304">
        <f t="shared" ca="1" si="174"/>
        <v>746.86960206347226</v>
      </c>
      <c r="M444" s="306">
        <f t="shared" ca="1" si="190"/>
        <v>-1.4844757284855474</v>
      </c>
      <c r="N444" s="304">
        <f t="shared" ca="1" si="191"/>
        <v>-85.054194031830178</v>
      </c>
      <c r="P444" s="310">
        <f t="shared" ca="1" si="192"/>
        <v>23</v>
      </c>
      <c r="Q444" s="304">
        <f t="shared" ca="1" si="193"/>
        <v>0</v>
      </c>
      <c r="R444" s="306">
        <f t="shared" ca="1" si="194"/>
        <v>0</v>
      </c>
      <c r="S444" s="307">
        <f t="shared" ca="1" si="195"/>
        <v>5.083000000000002</v>
      </c>
      <c r="T444" s="304">
        <f t="shared" ca="1" si="175"/>
        <v>49.86423000000002</v>
      </c>
      <c r="U444" s="311">
        <f t="shared" ca="1" si="176"/>
        <v>0</v>
      </c>
      <c r="V444" s="306">
        <f t="shared" ca="1" si="177"/>
        <v>1.2253511741696734</v>
      </c>
      <c r="W444" s="304">
        <f t="shared" ca="1" si="178"/>
        <v>43.180738715614886</v>
      </c>
      <c r="Y444" s="314" t="str">
        <f t="shared" ca="1" si="196"/>
        <v/>
      </c>
      <c r="Z444" s="315" t="str">
        <f t="shared" ca="1" si="197"/>
        <v/>
      </c>
      <c r="AA444" s="316" t="str">
        <f t="shared" ca="1" si="198"/>
        <v/>
      </c>
      <c r="AC444" s="310" t="e">
        <f t="shared" ca="1" si="199"/>
        <v>#N/A</v>
      </c>
      <c r="AD444" s="323" t="e">
        <f t="shared" ca="1" si="200"/>
        <v>#N/A</v>
      </c>
      <c r="AE444" s="324" t="e">
        <f t="shared" ca="1" si="179"/>
        <v>#N/A</v>
      </c>
      <c r="AG444" s="306">
        <f t="shared" ca="1" si="201"/>
        <v>1.2783743937573462</v>
      </c>
      <c r="AH444" s="304">
        <f t="shared" ca="1" si="202"/>
        <v>-8.4950992670201195</v>
      </c>
    </row>
    <row r="445" spans="1:34" x14ac:dyDescent="0.2">
      <c r="A445" s="347">
        <f t="shared" ca="1" si="180"/>
        <v>1E-4</v>
      </c>
      <c r="B445" s="304">
        <f t="shared" ca="1" si="181"/>
        <v>29.205900000000135</v>
      </c>
      <c r="D445" s="306">
        <f t="shared" ca="1" si="182"/>
        <v>-0.73239425129484548</v>
      </c>
      <c r="E445" s="307">
        <f t="shared" ca="1" si="183"/>
        <v>-1.3465013894384583</v>
      </c>
      <c r="F445" s="304">
        <f t="shared" ca="1" si="184"/>
        <v>1.5327972243873083</v>
      </c>
      <c r="G445" s="306">
        <f t="shared" ca="1" si="185"/>
        <v>9.2360133904928539</v>
      </c>
      <c r="H445" s="307">
        <f t="shared" ca="1" si="186"/>
        <v>-106.73172930852959</v>
      </c>
      <c r="I445" s="304">
        <f t="shared" ca="1" si="187"/>
        <v>107.13060246511543</v>
      </c>
      <c r="J445" s="306">
        <f t="shared" ca="1" si="188"/>
        <v>746.86410190403069</v>
      </c>
      <c r="K445" s="307">
        <f t="shared" ca="1" si="189"/>
        <v>-2.8769902343424922</v>
      </c>
      <c r="L445" s="304">
        <f t="shared" ca="1" si="174"/>
        <v>746.86964310093822</v>
      </c>
      <c r="M445" s="306">
        <f t="shared" ca="1" si="190"/>
        <v>-1.4844765179460904</v>
      </c>
      <c r="N445" s="304">
        <f t="shared" ca="1" si="191"/>
        <v>-85.054239264587395</v>
      </c>
      <c r="P445" s="310">
        <f t="shared" ca="1" si="192"/>
        <v>23</v>
      </c>
      <c r="Q445" s="304">
        <f t="shared" ca="1" si="193"/>
        <v>0</v>
      </c>
      <c r="R445" s="306">
        <f t="shared" ca="1" si="194"/>
        <v>0</v>
      </c>
      <c r="S445" s="307">
        <f t="shared" ca="1" si="195"/>
        <v>5.083000000000002</v>
      </c>
      <c r="T445" s="304">
        <f t="shared" ca="1" si="175"/>
        <v>49.86423000000002</v>
      </c>
      <c r="U445" s="311">
        <f t="shared" ca="1" si="176"/>
        <v>0</v>
      </c>
      <c r="V445" s="306">
        <f t="shared" ca="1" si="177"/>
        <v>1.2253524820080717</v>
      </c>
      <c r="W445" s="304">
        <f t="shared" ca="1" si="178"/>
        <v>43.180887855105347</v>
      </c>
      <c r="Y445" s="314" t="str">
        <f t="shared" ca="1" si="196"/>
        <v/>
      </c>
      <c r="Z445" s="315" t="str">
        <f t="shared" ca="1" si="197"/>
        <v/>
      </c>
      <c r="AA445" s="316" t="str">
        <f t="shared" ca="1" si="198"/>
        <v/>
      </c>
      <c r="AC445" s="310" t="e">
        <f t="shared" ca="1" si="199"/>
        <v>#N/A</v>
      </c>
      <c r="AD445" s="323" t="e">
        <f t="shared" ca="1" si="200"/>
        <v>#N/A</v>
      </c>
      <c r="AE445" s="324" t="e">
        <f t="shared" ca="1" si="179"/>
        <v>#N/A</v>
      </c>
      <c r="AG445" s="306">
        <f t="shared" ca="1" si="201"/>
        <v>1.2783457202502664</v>
      </c>
      <c r="AH445" s="304">
        <f t="shared" ca="1" si="202"/>
        <v>-8.4951286082264161</v>
      </c>
    </row>
    <row r="446" spans="1:34" x14ac:dyDescent="0.2">
      <c r="A446" s="347">
        <f t="shared" ca="1" si="180"/>
        <v>1E-4</v>
      </c>
      <c r="B446" s="304">
        <f t="shared" ca="1" si="181"/>
        <v>29.206000000000135</v>
      </c>
      <c r="D446" s="306">
        <f t="shared" ca="1" si="182"/>
        <v>-0.7323900992480612</v>
      </c>
      <c r="E446" s="307">
        <f t="shared" ca="1" si="183"/>
        <v>-1.3464715796476359</v>
      </c>
      <c r="F446" s="304">
        <f t="shared" ca="1" si="184"/>
        <v>1.5327690537962282</v>
      </c>
      <c r="G446" s="306">
        <f t="shared" ca="1" si="185"/>
        <v>9.2359401514829287</v>
      </c>
      <c r="H446" s="307">
        <f t="shared" ca="1" si="186"/>
        <v>-106.73186395568756</v>
      </c>
      <c r="I446" s="304">
        <f t="shared" ca="1" si="187"/>
        <v>107.13073029685353</v>
      </c>
      <c r="J446" s="306">
        <f t="shared" ca="1" si="188"/>
        <v>746.86410190403069</v>
      </c>
      <c r="K446" s="307">
        <f t="shared" ca="1" si="189"/>
        <v>-2.8876634140057029</v>
      </c>
      <c r="L446" s="304">
        <f t="shared" ca="1" si="174"/>
        <v>746.86968429097919</v>
      </c>
      <c r="M446" s="306">
        <f t="shared" ca="1" si="190"/>
        <v>-1.4844773073984889</v>
      </c>
      <c r="N446" s="304">
        <f t="shared" ca="1" si="191"/>
        <v>-85.054284496877955</v>
      </c>
      <c r="P446" s="310">
        <f t="shared" ca="1" si="192"/>
        <v>23</v>
      </c>
      <c r="Q446" s="304">
        <f t="shared" ca="1" si="193"/>
        <v>0</v>
      </c>
      <c r="R446" s="306">
        <f t="shared" ca="1" si="194"/>
        <v>0</v>
      </c>
      <c r="S446" s="307">
        <f t="shared" ca="1" si="195"/>
        <v>5.083000000000002</v>
      </c>
      <c r="T446" s="304">
        <f t="shared" ca="1" si="175"/>
        <v>49.86423000000002</v>
      </c>
      <c r="U446" s="311">
        <f t="shared" ca="1" si="176"/>
        <v>0</v>
      </c>
      <c r="V446" s="306">
        <f t="shared" ca="1" si="177"/>
        <v>1.2253537898495162</v>
      </c>
      <c r="W446" s="304">
        <f t="shared" ca="1" si="178"/>
        <v>43.181036992734647</v>
      </c>
      <c r="Y446" s="314" t="str">
        <f t="shared" ca="1" si="196"/>
        <v/>
      </c>
      <c r="Z446" s="315" t="str">
        <f t="shared" ca="1" si="197"/>
        <v/>
      </c>
      <c r="AA446" s="316" t="str">
        <f t="shared" ca="1" si="198"/>
        <v/>
      </c>
      <c r="AC446" s="310" t="e">
        <f t="shared" ca="1" si="199"/>
        <v>#N/A</v>
      </c>
      <c r="AD446" s="323" t="e">
        <f t="shared" ca="1" si="200"/>
        <v>#N/A</v>
      </c>
      <c r="AE446" s="324" t="e">
        <f t="shared" ca="1" si="179"/>
        <v>#N/A</v>
      </c>
      <c r="AG446" s="306">
        <f t="shared" ca="1" si="201"/>
        <v>1.2783170470963583</v>
      </c>
      <c r="AH446" s="304">
        <f t="shared" ca="1" si="202"/>
        <v>-8.4951579490665612</v>
      </c>
    </row>
    <row r="447" spans="1:34" x14ac:dyDescent="0.2">
      <c r="A447" s="347">
        <f t="shared" ca="1" si="180"/>
        <v>1E-4</v>
      </c>
      <c r="B447" s="304">
        <f t="shared" ca="1" si="181"/>
        <v>29.206100000000134</v>
      </c>
      <c r="D447" s="306">
        <f t="shared" ca="1" si="182"/>
        <v>-0.73238594719202965</v>
      </c>
      <c r="E447" s="307">
        <f t="shared" ca="1" si="183"/>
        <v>-1.3464417702288483</v>
      </c>
      <c r="F447" s="304">
        <f t="shared" ca="1" si="184"/>
        <v>1.5327408836008001</v>
      </c>
      <c r="G447" s="306">
        <f t="shared" ca="1" si="185"/>
        <v>9.2358669128882092</v>
      </c>
      <c r="H447" s="307">
        <f t="shared" ca="1" si="186"/>
        <v>-106.73199859986458</v>
      </c>
      <c r="I447" s="304">
        <f t="shared" ca="1" si="187"/>
        <v>107.13085812572434</v>
      </c>
      <c r="J447" s="306">
        <f t="shared" ca="1" si="188"/>
        <v>746.86410190403069</v>
      </c>
      <c r="K447" s="307">
        <f t="shared" ca="1" si="189"/>
        <v>-2.8983366071334804</v>
      </c>
      <c r="L447" s="304">
        <f t="shared" ca="1" si="174"/>
        <v>746.86972563359575</v>
      </c>
      <c r="M447" s="306">
        <f t="shared" ca="1" si="190"/>
        <v>-1.4844780968427433</v>
      </c>
      <c r="N447" s="304">
        <f t="shared" ca="1" si="191"/>
        <v>-85.054329728701887</v>
      </c>
      <c r="P447" s="310">
        <f t="shared" ca="1" si="192"/>
        <v>23</v>
      </c>
      <c r="Q447" s="304">
        <f t="shared" ca="1" si="193"/>
        <v>0</v>
      </c>
      <c r="R447" s="306">
        <f t="shared" ca="1" si="194"/>
        <v>0</v>
      </c>
      <c r="S447" s="307">
        <f t="shared" ca="1" si="195"/>
        <v>5.083000000000002</v>
      </c>
      <c r="T447" s="304">
        <f t="shared" ca="1" si="175"/>
        <v>49.86423000000002</v>
      </c>
      <c r="U447" s="311">
        <f t="shared" ca="1" si="176"/>
        <v>0</v>
      </c>
      <c r="V447" s="306">
        <f t="shared" ca="1" si="177"/>
        <v>1.2253550976940062</v>
      </c>
      <c r="W447" s="304">
        <f t="shared" ca="1" si="178"/>
        <v>43.18118612850278</v>
      </c>
      <c r="Y447" s="314" t="str">
        <f t="shared" ca="1" si="196"/>
        <v/>
      </c>
      <c r="Z447" s="315" t="str">
        <f t="shared" ca="1" si="197"/>
        <v/>
      </c>
      <c r="AA447" s="316" t="str">
        <f t="shared" ca="1" si="198"/>
        <v/>
      </c>
      <c r="AC447" s="310" t="e">
        <f t="shared" ca="1" si="199"/>
        <v>#N/A</v>
      </c>
      <c r="AD447" s="323" t="e">
        <f t="shared" ca="1" si="200"/>
        <v>#N/A</v>
      </c>
      <c r="AE447" s="324" t="e">
        <f t="shared" ca="1" si="179"/>
        <v>#N/A</v>
      </c>
      <c r="AG447" s="306">
        <f t="shared" ca="1" si="201"/>
        <v>1.2782883742956237</v>
      </c>
      <c r="AH447" s="304">
        <f t="shared" ca="1" si="202"/>
        <v>-8.4951872895405529</v>
      </c>
    </row>
    <row r="448" spans="1:34" x14ac:dyDescent="0.2">
      <c r="A448" s="347">
        <f t="shared" ca="1" si="180"/>
        <v>1E-4</v>
      </c>
      <c r="B448" s="304">
        <f t="shared" ca="1" si="181"/>
        <v>29.206200000000134</v>
      </c>
      <c r="D448" s="306">
        <f t="shared" ca="1" si="182"/>
        <v>-0.73238179512675061</v>
      </c>
      <c r="E448" s="307">
        <f t="shared" ca="1" si="183"/>
        <v>-1.346411961182099</v>
      </c>
      <c r="F448" s="304">
        <f t="shared" ca="1" si="184"/>
        <v>1.5327127138010266</v>
      </c>
      <c r="G448" s="306">
        <f t="shared" ca="1" si="185"/>
        <v>9.2357936747086971</v>
      </c>
      <c r="H448" s="307">
        <f t="shared" ca="1" si="186"/>
        <v>-106.73213324106069</v>
      </c>
      <c r="I448" s="304">
        <f t="shared" ca="1" si="187"/>
        <v>107.13098595172791</v>
      </c>
      <c r="J448" s="306">
        <f t="shared" ca="1" si="188"/>
        <v>746.86410190403069</v>
      </c>
      <c r="K448" s="307">
        <f t="shared" ca="1" si="189"/>
        <v>-2.9090098137255267</v>
      </c>
      <c r="L448" s="304">
        <f t="shared" ca="1" si="174"/>
        <v>746.86976712878845</v>
      </c>
      <c r="M448" s="306">
        <f t="shared" ca="1" si="190"/>
        <v>-1.4844788862788538</v>
      </c>
      <c r="N448" s="304">
        <f t="shared" ca="1" si="191"/>
        <v>-85.054374960059221</v>
      </c>
      <c r="P448" s="310">
        <f t="shared" ca="1" si="192"/>
        <v>23</v>
      </c>
      <c r="Q448" s="304">
        <f t="shared" ca="1" si="193"/>
        <v>0</v>
      </c>
      <c r="R448" s="306">
        <f t="shared" ca="1" si="194"/>
        <v>0</v>
      </c>
      <c r="S448" s="307">
        <f t="shared" ca="1" si="195"/>
        <v>5.083000000000002</v>
      </c>
      <c r="T448" s="304">
        <f t="shared" ca="1" si="175"/>
        <v>49.86423000000002</v>
      </c>
      <c r="U448" s="311">
        <f t="shared" ca="1" si="176"/>
        <v>0</v>
      </c>
      <c r="V448" s="306">
        <f t="shared" ca="1" si="177"/>
        <v>1.2253564055415422</v>
      </c>
      <c r="W448" s="304">
        <f t="shared" ca="1" si="178"/>
        <v>43.181335262409767</v>
      </c>
      <c r="Y448" s="314" t="str">
        <f t="shared" ca="1" si="196"/>
        <v/>
      </c>
      <c r="Z448" s="315" t="str">
        <f t="shared" ca="1" si="197"/>
        <v/>
      </c>
      <c r="AA448" s="316" t="str">
        <f t="shared" ca="1" si="198"/>
        <v/>
      </c>
      <c r="AC448" s="310" t="e">
        <f t="shared" ca="1" si="199"/>
        <v>#N/A</v>
      </c>
      <c r="AD448" s="323" t="e">
        <f t="shared" ca="1" si="200"/>
        <v>#N/A</v>
      </c>
      <c r="AE448" s="324" t="e">
        <f t="shared" ca="1" si="179"/>
        <v>#N/A</v>
      </c>
      <c r="AG448" s="306">
        <f t="shared" ca="1" si="201"/>
        <v>1.2782597018480661</v>
      </c>
      <c r="AH448" s="304">
        <f t="shared" ca="1" si="202"/>
        <v>-8.4952166296483895</v>
      </c>
    </row>
    <row r="449" spans="1:34" x14ac:dyDescent="0.2">
      <c r="A449" s="347">
        <f t="shared" ca="1" si="180"/>
        <v>1E-4</v>
      </c>
      <c r="B449" s="304">
        <f t="shared" ca="1" si="181"/>
        <v>29.206300000000134</v>
      </c>
      <c r="D449" s="306">
        <f t="shared" ca="1" si="182"/>
        <v>-0.73237764305222375</v>
      </c>
      <c r="E449" s="307">
        <f t="shared" ca="1" si="183"/>
        <v>-1.3463821525073829</v>
      </c>
      <c r="F449" s="304">
        <f t="shared" ca="1" si="184"/>
        <v>1.5326845443969037</v>
      </c>
      <c r="G449" s="306">
        <f t="shared" ca="1" si="185"/>
        <v>9.2357204369443924</v>
      </c>
      <c r="H449" s="307">
        <f t="shared" ca="1" si="186"/>
        <v>-106.73226787927595</v>
      </c>
      <c r="I449" s="304">
        <f t="shared" ca="1" si="187"/>
        <v>107.13111377486428</v>
      </c>
      <c r="J449" s="306">
        <f t="shared" ca="1" si="188"/>
        <v>746.86410190403069</v>
      </c>
      <c r="K449" s="307">
        <f t="shared" ca="1" si="189"/>
        <v>-2.9196830337815434</v>
      </c>
      <c r="L449" s="304">
        <f t="shared" ca="1" si="174"/>
        <v>746.86980877655787</v>
      </c>
      <c r="M449" s="306">
        <f t="shared" ca="1" si="190"/>
        <v>-1.4844796757068204</v>
      </c>
      <c r="N449" s="304">
        <f t="shared" ca="1" si="191"/>
        <v>-85.054420190949926</v>
      </c>
      <c r="P449" s="310">
        <f t="shared" ca="1" si="192"/>
        <v>23</v>
      </c>
      <c r="Q449" s="304">
        <f t="shared" ca="1" si="193"/>
        <v>0</v>
      </c>
      <c r="R449" s="306">
        <f t="shared" ca="1" si="194"/>
        <v>0</v>
      </c>
      <c r="S449" s="307">
        <f t="shared" ca="1" si="195"/>
        <v>5.083000000000002</v>
      </c>
      <c r="T449" s="304">
        <f t="shared" ca="1" si="175"/>
        <v>49.86423000000002</v>
      </c>
      <c r="U449" s="311">
        <f t="shared" ca="1" si="176"/>
        <v>0</v>
      </c>
      <c r="V449" s="306">
        <f t="shared" ca="1" si="177"/>
        <v>1.2253577133921245</v>
      </c>
      <c r="W449" s="304">
        <f t="shared" ca="1" si="178"/>
        <v>43.181484394455651</v>
      </c>
      <c r="Y449" s="314" t="str">
        <f t="shared" ca="1" si="196"/>
        <v/>
      </c>
      <c r="Z449" s="315" t="str">
        <f t="shared" ca="1" si="197"/>
        <v/>
      </c>
      <c r="AA449" s="316" t="str">
        <f t="shared" ca="1" si="198"/>
        <v/>
      </c>
      <c r="AC449" s="310" t="e">
        <f t="shared" ca="1" si="199"/>
        <v>#N/A</v>
      </c>
      <c r="AD449" s="323" t="e">
        <f t="shared" ca="1" si="200"/>
        <v>#N/A</v>
      </c>
      <c r="AE449" s="324" t="e">
        <f t="shared" ca="1" si="179"/>
        <v>#N/A</v>
      </c>
      <c r="AG449" s="306">
        <f t="shared" ca="1" si="201"/>
        <v>1.2782310297536803</v>
      </c>
      <c r="AH449" s="304">
        <f t="shared" ca="1" si="202"/>
        <v>-8.4952459693900746</v>
      </c>
    </row>
    <row r="450" spans="1:34" x14ac:dyDescent="0.2">
      <c r="A450" s="347">
        <f t="shared" ca="1" si="180"/>
        <v>1E-4</v>
      </c>
      <c r="B450" s="304">
        <f t="shared" ca="1" si="181"/>
        <v>29.206400000000134</v>
      </c>
      <c r="D450" s="306">
        <f t="shared" ca="1" si="182"/>
        <v>-0.73237349096845172</v>
      </c>
      <c r="E450" s="307">
        <f t="shared" ca="1" si="183"/>
        <v>-1.346352344204691</v>
      </c>
      <c r="F450" s="304">
        <f t="shared" ca="1" si="184"/>
        <v>1.5326563753884246</v>
      </c>
      <c r="G450" s="306">
        <f t="shared" ca="1" si="185"/>
        <v>9.2356471995952951</v>
      </c>
      <c r="H450" s="307">
        <f t="shared" ca="1" si="186"/>
        <v>-106.73240251451037</v>
      </c>
      <c r="I450" s="304">
        <f t="shared" ca="1" si="187"/>
        <v>107.13124159513346</v>
      </c>
      <c r="J450" s="306">
        <f t="shared" ca="1" si="188"/>
        <v>746.86410190403069</v>
      </c>
      <c r="K450" s="307">
        <f t="shared" ca="1" si="189"/>
        <v>-2.9303562673012329</v>
      </c>
      <c r="L450" s="304">
        <f t="shared" ca="1" si="174"/>
        <v>746.86985057690447</v>
      </c>
      <c r="M450" s="306">
        <f t="shared" ca="1" si="190"/>
        <v>-1.4844804651266432</v>
      </c>
      <c r="N450" s="304">
        <f t="shared" ca="1" si="191"/>
        <v>-85.054465421374047</v>
      </c>
      <c r="P450" s="310">
        <f t="shared" ca="1" si="192"/>
        <v>23</v>
      </c>
      <c r="Q450" s="304">
        <f t="shared" ca="1" si="193"/>
        <v>0</v>
      </c>
      <c r="R450" s="306">
        <f t="shared" ca="1" si="194"/>
        <v>0</v>
      </c>
      <c r="S450" s="307">
        <f t="shared" ca="1" si="195"/>
        <v>5.083000000000002</v>
      </c>
      <c r="T450" s="304">
        <f t="shared" ca="1" si="175"/>
        <v>49.86423000000002</v>
      </c>
      <c r="U450" s="311">
        <f t="shared" ca="1" si="176"/>
        <v>0</v>
      </c>
      <c r="V450" s="306">
        <f t="shared" ca="1" si="177"/>
        <v>1.2253590212457524</v>
      </c>
      <c r="W450" s="304">
        <f t="shared" ca="1" si="178"/>
        <v>43.181633524640411</v>
      </c>
      <c r="Y450" s="314" t="str">
        <f t="shared" ca="1" si="196"/>
        <v/>
      </c>
      <c r="Z450" s="315" t="str">
        <f t="shared" ca="1" si="197"/>
        <v/>
      </c>
      <c r="AA450" s="316" t="str">
        <f t="shared" ca="1" si="198"/>
        <v/>
      </c>
      <c r="AC450" s="310" t="e">
        <f t="shared" ca="1" si="199"/>
        <v>#N/A</v>
      </c>
      <c r="AD450" s="323" t="e">
        <f t="shared" ca="1" si="200"/>
        <v>#N/A</v>
      </c>
      <c r="AE450" s="324" t="e">
        <f t="shared" ca="1" si="179"/>
        <v>#N/A</v>
      </c>
      <c r="AG450" s="306">
        <f t="shared" ca="1" si="201"/>
        <v>1.2782023580124608</v>
      </c>
      <c r="AH450" s="304">
        <f t="shared" ca="1" si="202"/>
        <v>-8.495275308765617</v>
      </c>
    </row>
    <row r="451" spans="1:34" x14ac:dyDescent="0.2">
      <c r="A451" s="347">
        <f t="shared" ca="1" si="180"/>
        <v>1E-4</v>
      </c>
      <c r="B451" s="304">
        <f t="shared" ca="1" si="181"/>
        <v>29.206500000000133</v>
      </c>
      <c r="D451" s="306">
        <f t="shared" ca="1" si="182"/>
        <v>-0.73236933887543365</v>
      </c>
      <c r="E451" s="307">
        <f t="shared" ca="1" si="183"/>
        <v>-1.3463225362740285</v>
      </c>
      <c r="F451" s="304">
        <f t="shared" ca="1" si="184"/>
        <v>1.5326282067755939</v>
      </c>
      <c r="G451" s="306">
        <f t="shared" ca="1" si="185"/>
        <v>9.2355739626614071</v>
      </c>
      <c r="H451" s="307">
        <f t="shared" ca="1" si="186"/>
        <v>-106.732537146764</v>
      </c>
      <c r="I451" s="304">
        <f t="shared" ca="1" si="187"/>
        <v>107.13136941253551</v>
      </c>
      <c r="J451" s="306">
        <f t="shared" ca="1" si="188"/>
        <v>746.86410190403069</v>
      </c>
      <c r="K451" s="307">
        <f t="shared" ca="1" si="189"/>
        <v>-2.9410295142842968</v>
      </c>
      <c r="L451" s="304">
        <f t="shared" ca="1" si="174"/>
        <v>746.86989252982892</v>
      </c>
      <c r="M451" s="306">
        <f t="shared" ca="1" si="190"/>
        <v>-1.4844812545383226</v>
      </c>
      <c r="N451" s="304">
        <f t="shared" ca="1" si="191"/>
        <v>-85.054510651331569</v>
      </c>
      <c r="P451" s="310">
        <f t="shared" ca="1" si="192"/>
        <v>23</v>
      </c>
      <c r="Q451" s="304">
        <f t="shared" ca="1" si="193"/>
        <v>0</v>
      </c>
      <c r="R451" s="306">
        <f t="shared" ca="1" si="194"/>
        <v>0</v>
      </c>
      <c r="S451" s="307">
        <f t="shared" ca="1" si="195"/>
        <v>5.083000000000002</v>
      </c>
      <c r="T451" s="304">
        <f t="shared" ca="1" si="175"/>
        <v>49.86423000000002</v>
      </c>
      <c r="U451" s="311">
        <f t="shared" ca="1" si="176"/>
        <v>0</v>
      </c>
      <c r="V451" s="306">
        <f t="shared" ca="1" si="177"/>
        <v>1.2253603291024262</v>
      </c>
      <c r="W451" s="304">
        <f t="shared" ca="1" si="178"/>
        <v>43.181782652964074</v>
      </c>
      <c r="Y451" s="314" t="str">
        <f t="shared" ca="1" si="196"/>
        <v/>
      </c>
      <c r="Z451" s="315" t="str">
        <f t="shared" ca="1" si="197"/>
        <v/>
      </c>
      <c r="AA451" s="316" t="str">
        <f t="shared" ca="1" si="198"/>
        <v/>
      </c>
      <c r="AC451" s="310" t="e">
        <f t="shared" ca="1" si="199"/>
        <v>#N/A</v>
      </c>
      <c r="AD451" s="323" t="e">
        <f t="shared" ca="1" si="200"/>
        <v>#N/A</v>
      </c>
      <c r="AE451" s="324" t="e">
        <f t="shared" ca="1" si="179"/>
        <v>#N/A</v>
      </c>
      <c r="AG451" s="306">
        <f t="shared" ca="1" si="201"/>
        <v>1.2781736866244078</v>
      </c>
      <c r="AH451" s="304">
        <f t="shared" ca="1" si="202"/>
        <v>-8.4953046477750132</v>
      </c>
    </row>
    <row r="452" spans="1:34" x14ac:dyDescent="0.2">
      <c r="A452" s="347">
        <f t="shared" ca="1" si="180"/>
        <v>1E-4</v>
      </c>
      <c r="B452" s="304">
        <f t="shared" ca="1" si="181"/>
        <v>29.206600000000133</v>
      </c>
      <c r="D452" s="306">
        <f t="shared" ca="1" si="182"/>
        <v>-0.73236518677316997</v>
      </c>
      <c r="E452" s="307">
        <f t="shared" ca="1" si="183"/>
        <v>-1.3462927287153885</v>
      </c>
      <c r="F452" s="304">
        <f t="shared" ca="1" si="184"/>
        <v>1.5326000385584058</v>
      </c>
      <c r="G452" s="306">
        <f t="shared" ca="1" si="185"/>
        <v>9.23550072614273</v>
      </c>
      <c r="H452" s="307">
        <f t="shared" ca="1" si="186"/>
        <v>-106.73267177603688</v>
      </c>
      <c r="I452" s="304">
        <f t="shared" ca="1" si="187"/>
        <v>107.13149722707044</v>
      </c>
      <c r="J452" s="306">
        <f t="shared" ca="1" si="188"/>
        <v>746.86410190403069</v>
      </c>
      <c r="K452" s="307">
        <f t="shared" ca="1" si="189"/>
        <v>-2.9517027747304367</v>
      </c>
      <c r="L452" s="304">
        <f t="shared" ref="L452:L515" ca="1" si="203">SQRT(pos_x^2+pos_z^2)</f>
        <v>746.86993463533167</v>
      </c>
      <c r="M452" s="306">
        <f t="shared" ca="1" si="190"/>
        <v>-1.4844820439418582</v>
      </c>
      <c r="N452" s="304">
        <f t="shared" ca="1" si="191"/>
        <v>-85.054555880822491</v>
      </c>
      <c r="P452" s="310">
        <f t="shared" ca="1" si="192"/>
        <v>23</v>
      </c>
      <c r="Q452" s="304">
        <f t="shared" ca="1" si="193"/>
        <v>0</v>
      </c>
      <c r="R452" s="306">
        <f t="shared" ca="1" si="194"/>
        <v>0</v>
      </c>
      <c r="S452" s="307">
        <f t="shared" ca="1" si="195"/>
        <v>5.083000000000002</v>
      </c>
      <c r="T452" s="304">
        <f t="shared" ref="T452:T515" ca="1" si="204">m*g</f>
        <v>49.86423000000002</v>
      </c>
      <c r="U452" s="311">
        <f t="shared" ref="U452:U515" ca="1" si="205">IF(pos_xz&lt;L_rampe,Poids*COS(Beta),0)</f>
        <v>0</v>
      </c>
      <c r="V452" s="306">
        <f t="shared" ref="V452:V515" ca="1" si="206">Rho_moyen*(20000-Alt_rampe-pos_z)/(20000+Alt_rampe+pos_z)</f>
        <v>1.2253616369621458</v>
      </c>
      <c r="W452" s="304">
        <f t="shared" ref="W452:W515" ca="1" si="207">1/2*Rho*Sref*Cx*vit_xz^2</f>
        <v>43.181931779426648</v>
      </c>
      <c r="Y452" s="314" t="str">
        <f t="shared" ca="1" si="196"/>
        <v/>
      </c>
      <c r="Z452" s="315" t="str">
        <f t="shared" ca="1" si="197"/>
        <v/>
      </c>
      <c r="AA452" s="316" t="str">
        <f t="shared" ca="1" si="198"/>
        <v/>
      </c>
      <c r="AC452" s="310" t="e">
        <f t="shared" ca="1" si="199"/>
        <v>#N/A</v>
      </c>
      <c r="AD452" s="323" t="e">
        <f t="shared" ca="1" si="200"/>
        <v>#N/A</v>
      </c>
      <c r="AE452" s="324" t="e">
        <f t="shared" ref="AE452:AE515" ca="1" si="208">IF(t&lt;T_para, pos_z, NA())</f>
        <v>#N/A</v>
      </c>
      <c r="AG452" s="306">
        <f t="shared" ca="1" si="201"/>
        <v>1.2781450155895175</v>
      </c>
      <c r="AH452" s="304">
        <f t="shared" ca="1" si="202"/>
        <v>-8.4953339864182684</v>
      </c>
    </row>
    <row r="453" spans="1:34" x14ac:dyDescent="0.2">
      <c r="A453" s="347">
        <f t="shared" ref="A453:A516" ca="1" si="209">IF(B452+0.01&lt;=T_ini+ROUNDUP(Temps_fin_propu,0), 0.01, IF(K452&gt;0, 0.1, 0.0001))</f>
        <v>1E-4</v>
      </c>
      <c r="B453" s="304">
        <f t="shared" ref="B453:B516" ca="1" si="210">B452+pas</f>
        <v>29.206700000000133</v>
      </c>
      <c r="D453" s="306">
        <f t="shared" ref="D453:D516" ca="1" si="211">IF(AND(L452&lt;L_rampe,Poussee&lt;Poids*SIN(M452)),0,(-W452+Poussee)/m*COS(M452)-U452/m*SIN(M452))</f>
        <v>-0.73236103466166413</v>
      </c>
      <c r="E453" s="307">
        <f t="shared" ref="E453:E516" ca="1" si="212">IF(AND(L452&lt;L_rampe,Poussee&lt;Poids*SIN(M452)),0,(-W452+Poussee)/m*SIN(M452)+U452/m*COS(M452)-Poids/m)</f>
        <v>-1.3462629215287727</v>
      </c>
      <c r="F453" s="304">
        <f t="shared" ref="F453:F516" ca="1" si="213">SQRT(acc_x^2+acc_z^2)</f>
        <v>1.5325718707368634</v>
      </c>
      <c r="G453" s="306">
        <f t="shared" ref="G453:G516" ca="1" si="214">G452+acc_x*pas</f>
        <v>9.2354274900392639</v>
      </c>
      <c r="H453" s="307">
        <f t="shared" ref="H453:H516" ca="1" si="215">H452+acc_z*pas</f>
        <v>-106.73280640232903</v>
      </c>
      <c r="I453" s="304">
        <f t="shared" ref="I453:I516" ca="1" si="216">SQRT(vit_x^2+vit_z^2)</f>
        <v>107.13162503873831</v>
      </c>
      <c r="J453" s="306">
        <f t="shared" ref="J453:J516" ca="1" si="217">J452+0.5*(vit_x+G452)*pas*(K452&gt;=0)</f>
        <v>746.86410190403069</v>
      </c>
      <c r="K453" s="307">
        <f t="shared" ref="K453:K516" ca="1" si="218">K452+0.5*(vit_z+H452)*pas</f>
        <v>-2.9623760486393551</v>
      </c>
      <c r="L453" s="304">
        <f t="shared" ca="1" si="203"/>
        <v>746.86997689341342</v>
      </c>
      <c r="M453" s="306">
        <f t="shared" ref="M453:M516" ca="1" si="219">IF(AND(L452&gt;L_rampe,G453&gt;0),ATAN2(G453,H453),$M$4)</f>
        <v>-1.4844828333372504</v>
      </c>
      <c r="N453" s="304">
        <f t="shared" ref="N453:N516" ca="1" si="220">DEGREES(Beta)</f>
        <v>-85.054601109846828</v>
      </c>
      <c r="P453" s="310">
        <f t="shared" ref="P453:P516" ca="1" si="221">MATCH(t-pas/2-T_ini,CdP_t)</f>
        <v>23</v>
      </c>
      <c r="Q453" s="304">
        <f t="shared" ref="Q453:Q516" ca="1" si="222">(INDEX(CdP,2,i_P+1)-INDEX(CdP,2,i_P+0))/(INDEX(CdP,1,i_P+1)-INDEX(CdP,1,i_P+0))*(t-pas/2-T_ini-INDEX(CdP,1,i_P+0))+INDEX(CdP,2,i_P+0)</f>
        <v>0</v>
      </c>
      <c r="R453" s="306">
        <f t="shared" ref="R453:R516" ca="1" si="223">Poussee/(g*ISP)</f>
        <v>0</v>
      </c>
      <c r="S453" s="307">
        <f t="shared" ref="S453:S516" ca="1" si="224">S452-Débit*pas</f>
        <v>5.083000000000002</v>
      </c>
      <c r="T453" s="304">
        <f t="shared" ca="1" si="204"/>
        <v>49.86423000000002</v>
      </c>
      <c r="U453" s="311">
        <f t="shared" ca="1" si="205"/>
        <v>0</v>
      </c>
      <c r="V453" s="306">
        <f t="shared" ca="1" si="206"/>
        <v>1.225362944824911</v>
      </c>
      <c r="W453" s="304">
        <f t="shared" ca="1" si="207"/>
        <v>43.182080904028126</v>
      </c>
      <c r="Y453" s="314" t="str">
        <f t="shared" ref="Y453:Y516" ca="1" si="225">IF(AND(pos_z&lt;=0,K452&gt;0),"Impact balistique","") &amp; IF(AND(H454&lt;0,vit_z&gt;=0),"Apogée","") &amp; IF(AND(Poussee=0,Q452&gt;0),"Fin de propulsion","") &amp; IF(AND(L454&gt;L_rampe,pos_xz&lt;=L_rampe),"Sortie de rampe","")</f>
        <v/>
      </c>
      <c r="Z453" s="315" t="str">
        <f t="shared" ref="Z453:Z516" ca="1" si="226">IF(ABS(t-T_para)&lt;pas/2,"Para","")</f>
        <v/>
      </c>
      <c r="AA453" s="316" t="str">
        <f t="shared" ref="AA453:AA516" ca="1" si="227">IF(ABS(t-T_satellite)&lt;pas/2,"Satellite","")</f>
        <v/>
      </c>
      <c r="AC453" s="310" t="e">
        <f t="shared" ref="AC453:AC516" ca="1" si="228">IF(ABS(t-ROUND(t,0))&lt;0.001,t,NA())</f>
        <v>#N/A</v>
      </c>
      <c r="AD453" s="323" t="e">
        <f t="shared" ref="AD453:AD516" ca="1" si="229">IF(ABS(t-ROUND(t,0))&lt;0.001,pos_x,NA())</f>
        <v>#N/A</v>
      </c>
      <c r="AE453" s="324" t="e">
        <f t="shared" ca="1" si="208"/>
        <v>#N/A</v>
      </c>
      <c r="AG453" s="306">
        <f t="shared" ref="AG453:AG516" ca="1" si="230">IF(AND(L452&lt;L_rampe,Poussee&lt;Poids*SIN(M452)),0,(-W452+Poussee)/m-Poids*SIN(M452)/m)</f>
        <v>1.2781163449077901</v>
      </c>
      <c r="AH453" s="304">
        <f t="shared" ref="AH453:AH516" ca="1" si="231">IF(AND(L452&lt;L_rampe,Poussee&lt;Poids*SIN(M452)), g*SIN(M452), (-W452+Poussee)/m)</f>
        <v>-8.4953633246953828</v>
      </c>
    </row>
    <row r="454" spans="1:34" x14ac:dyDescent="0.2">
      <c r="A454" s="347">
        <f t="shared" ca="1" si="209"/>
        <v>1E-4</v>
      </c>
      <c r="B454" s="304">
        <f t="shared" ca="1" si="210"/>
        <v>29.206800000000133</v>
      </c>
      <c r="D454" s="306">
        <f t="shared" ca="1" si="211"/>
        <v>-0.73235688254091569</v>
      </c>
      <c r="E454" s="307">
        <f t="shared" ca="1" si="212"/>
        <v>-1.3462331147141775</v>
      </c>
      <c r="F454" s="304">
        <f t="shared" ca="1" si="213"/>
        <v>1.5325437033109641</v>
      </c>
      <c r="G454" s="306">
        <f t="shared" ca="1" si="214"/>
        <v>9.2353542543510105</v>
      </c>
      <c r="H454" s="307">
        <f t="shared" ca="1" si="215"/>
        <v>-106.7329410256405</v>
      </c>
      <c r="I454" s="304">
        <f t="shared" ca="1" si="216"/>
        <v>107.13175284753915</v>
      </c>
      <c r="J454" s="306">
        <f t="shared" ca="1" si="217"/>
        <v>746.86410190403069</v>
      </c>
      <c r="K454" s="307">
        <f t="shared" ca="1" si="218"/>
        <v>-2.9730493360107535</v>
      </c>
      <c r="L454" s="304">
        <f t="shared" ca="1" si="203"/>
        <v>746.8700193040745</v>
      </c>
      <c r="M454" s="306">
        <f t="shared" ca="1" si="219"/>
        <v>-1.4844836227244995</v>
      </c>
      <c r="N454" s="304">
        <f t="shared" ca="1" si="220"/>
        <v>-85.054646338404609</v>
      </c>
      <c r="P454" s="310">
        <f t="shared" ca="1" si="221"/>
        <v>23</v>
      </c>
      <c r="Q454" s="304">
        <f t="shared" ca="1" si="222"/>
        <v>0</v>
      </c>
      <c r="R454" s="306">
        <f t="shared" ca="1" si="223"/>
        <v>0</v>
      </c>
      <c r="S454" s="307">
        <f t="shared" ca="1" si="224"/>
        <v>5.083000000000002</v>
      </c>
      <c r="T454" s="304">
        <f t="shared" ca="1" si="204"/>
        <v>49.86423000000002</v>
      </c>
      <c r="U454" s="311">
        <f t="shared" ca="1" si="205"/>
        <v>0</v>
      </c>
      <c r="V454" s="306">
        <f t="shared" ca="1" si="206"/>
        <v>1.2253642526907225</v>
      </c>
      <c r="W454" s="304">
        <f t="shared" ca="1" si="207"/>
        <v>43.182230026768572</v>
      </c>
      <c r="Y454" s="314" t="str">
        <f t="shared" ca="1" si="225"/>
        <v/>
      </c>
      <c r="Z454" s="315" t="str">
        <f t="shared" ca="1" si="226"/>
        <v/>
      </c>
      <c r="AA454" s="316" t="str">
        <f t="shared" ca="1" si="227"/>
        <v/>
      </c>
      <c r="AC454" s="310" t="e">
        <f t="shared" ca="1" si="228"/>
        <v>#N/A</v>
      </c>
      <c r="AD454" s="323" t="e">
        <f t="shared" ca="1" si="229"/>
        <v>#N/A</v>
      </c>
      <c r="AE454" s="324" t="e">
        <f t="shared" ca="1" si="208"/>
        <v>#N/A</v>
      </c>
      <c r="AG454" s="306">
        <f t="shared" ca="1" si="230"/>
        <v>1.2780876745792291</v>
      </c>
      <c r="AH454" s="304">
        <f t="shared" ca="1" si="231"/>
        <v>-8.4953926626063563</v>
      </c>
    </row>
    <row r="455" spans="1:34" x14ac:dyDescent="0.2">
      <c r="A455" s="347">
        <f t="shared" ca="1" si="209"/>
        <v>1E-4</v>
      </c>
      <c r="B455" s="304">
        <f t="shared" ca="1" si="210"/>
        <v>29.206900000000132</v>
      </c>
      <c r="D455" s="306">
        <f t="shared" ca="1" si="211"/>
        <v>-0.73235273041092364</v>
      </c>
      <c r="E455" s="307">
        <f t="shared" ca="1" si="212"/>
        <v>-1.3462033082715941</v>
      </c>
      <c r="F455" s="304">
        <f t="shared" ca="1" si="213"/>
        <v>1.5325155362806993</v>
      </c>
      <c r="G455" s="306">
        <f t="shared" ca="1" si="214"/>
        <v>9.2352810190779699</v>
      </c>
      <c r="H455" s="307">
        <f t="shared" ca="1" si="215"/>
        <v>-106.73307564597133</v>
      </c>
      <c r="I455" s="304">
        <f t="shared" ca="1" si="216"/>
        <v>107.13188065347299</v>
      </c>
      <c r="J455" s="306">
        <f t="shared" ca="1" si="217"/>
        <v>746.86410190403069</v>
      </c>
      <c r="K455" s="307">
        <f t="shared" ca="1" si="218"/>
        <v>-2.9837226368443339</v>
      </c>
      <c r="L455" s="304">
        <f t="shared" ca="1" si="203"/>
        <v>746.87006186731571</v>
      </c>
      <c r="M455" s="306">
        <f t="shared" ca="1" si="219"/>
        <v>-1.4844844121036054</v>
      </c>
      <c r="N455" s="304">
        <f t="shared" ca="1" si="220"/>
        <v>-85.054691566495805</v>
      </c>
      <c r="P455" s="310">
        <f t="shared" ca="1" si="221"/>
        <v>23</v>
      </c>
      <c r="Q455" s="304">
        <f t="shared" ca="1" si="222"/>
        <v>0</v>
      </c>
      <c r="R455" s="306">
        <f t="shared" ca="1" si="223"/>
        <v>0</v>
      </c>
      <c r="S455" s="307">
        <f t="shared" ca="1" si="224"/>
        <v>5.083000000000002</v>
      </c>
      <c r="T455" s="304">
        <f t="shared" ca="1" si="204"/>
        <v>49.86423000000002</v>
      </c>
      <c r="U455" s="311">
        <f t="shared" ca="1" si="205"/>
        <v>0</v>
      </c>
      <c r="V455" s="306">
        <f t="shared" ca="1" si="206"/>
        <v>1.2253655605595792</v>
      </c>
      <c r="W455" s="304">
        <f t="shared" ca="1" si="207"/>
        <v>43.182379147647964</v>
      </c>
      <c r="Y455" s="314" t="str">
        <f t="shared" ca="1" si="225"/>
        <v/>
      </c>
      <c r="Z455" s="315" t="str">
        <f t="shared" ca="1" si="226"/>
        <v/>
      </c>
      <c r="AA455" s="316" t="str">
        <f t="shared" ca="1" si="227"/>
        <v/>
      </c>
      <c r="AC455" s="310" t="e">
        <f t="shared" ca="1" si="228"/>
        <v>#N/A</v>
      </c>
      <c r="AD455" s="323" t="e">
        <f t="shared" ca="1" si="229"/>
        <v>#N/A</v>
      </c>
      <c r="AE455" s="324" t="e">
        <f t="shared" ca="1" si="208"/>
        <v>#N/A</v>
      </c>
      <c r="AG455" s="306">
        <f t="shared" ca="1" si="230"/>
        <v>1.2780590046038185</v>
      </c>
      <c r="AH455" s="304">
        <f t="shared" ca="1" si="231"/>
        <v>-8.4954220001512013</v>
      </c>
    </row>
    <row r="456" spans="1:34" x14ac:dyDescent="0.2">
      <c r="A456" s="347">
        <f t="shared" ca="1" si="209"/>
        <v>1E-4</v>
      </c>
      <c r="B456" s="304">
        <f t="shared" ca="1" si="210"/>
        <v>29.207000000000132</v>
      </c>
      <c r="D456" s="306">
        <f t="shared" ca="1" si="211"/>
        <v>-0.73234857827169086</v>
      </c>
      <c r="E456" s="307">
        <f t="shared" ca="1" si="212"/>
        <v>-1.3461735022010277</v>
      </c>
      <c r="F456" s="304">
        <f t="shared" ca="1" si="213"/>
        <v>1.5324873696460755</v>
      </c>
      <c r="G456" s="306">
        <f t="shared" ca="1" si="214"/>
        <v>9.2352077842201421</v>
      </c>
      <c r="H456" s="307">
        <f t="shared" ca="1" si="215"/>
        <v>-106.73321026332155</v>
      </c>
      <c r="I456" s="304">
        <f t="shared" ca="1" si="216"/>
        <v>107.13200845653986</v>
      </c>
      <c r="J456" s="306">
        <f t="shared" ca="1" si="217"/>
        <v>746.86410190403069</v>
      </c>
      <c r="K456" s="307">
        <f t="shared" ca="1" si="218"/>
        <v>-2.9943959511397984</v>
      </c>
      <c r="L456" s="304">
        <f t="shared" ca="1" si="203"/>
        <v>746.87010458313739</v>
      </c>
      <c r="M456" s="306">
        <f t="shared" ca="1" si="219"/>
        <v>-1.484485201474568</v>
      </c>
      <c r="N456" s="304">
        <f t="shared" ca="1" si="220"/>
        <v>-85.05473679412043</v>
      </c>
      <c r="P456" s="310">
        <f t="shared" ca="1" si="221"/>
        <v>23</v>
      </c>
      <c r="Q456" s="304">
        <f t="shared" ca="1" si="222"/>
        <v>0</v>
      </c>
      <c r="R456" s="306">
        <f t="shared" ca="1" si="223"/>
        <v>0</v>
      </c>
      <c r="S456" s="307">
        <f t="shared" ca="1" si="224"/>
        <v>5.083000000000002</v>
      </c>
      <c r="T456" s="304">
        <f t="shared" ca="1" si="204"/>
        <v>49.86423000000002</v>
      </c>
      <c r="U456" s="311">
        <f t="shared" ca="1" si="205"/>
        <v>0</v>
      </c>
      <c r="V456" s="306">
        <f t="shared" ca="1" si="206"/>
        <v>1.225366868431482</v>
      </c>
      <c r="W456" s="304">
        <f t="shared" ca="1" si="207"/>
        <v>43.182528266666324</v>
      </c>
      <c r="Y456" s="314" t="str">
        <f t="shared" ca="1" si="225"/>
        <v/>
      </c>
      <c r="Z456" s="315" t="str">
        <f t="shared" ca="1" si="226"/>
        <v/>
      </c>
      <c r="AA456" s="316" t="str">
        <f t="shared" ca="1" si="227"/>
        <v/>
      </c>
      <c r="AC456" s="310" t="e">
        <f t="shared" ca="1" si="228"/>
        <v>#N/A</v>
      </c>
      <c r="AD456" s="323" t="e">
        <f t="shared" ca="1" si="229"/>
        <v>#N/A</v>
      </c>
      <c r="AE456" s="324" t="e">
        <f t="shared" ca="1" si="208"/>
        <v>#N/A</v>
      </c>
      <c r="AG456" s="306">
        <f t="shared" ca="1" si="230"/>
        <v>1.2780303349815636</v>
      </c>
      <c r="AH456" s="304">
        <f t="shared" ca="1" si="231"/>
        <v>-8.4954513373299125</v>
      </c>
    </row>
    <row r="457" spans="1:34" x14ac:dyDescent="0.2">
      <c r="A457" s="347">
        <f t="shared" ca="1" si="209"/>
        <v>1E-4</v>
      </c>
      <c r="B457" s="304">
        <f t="shared" ca="1" si="210"/>
        <v>29.207100000000132</v>
      </c>
      <c r="D457" s="306">
        <f t="shared" ca="1" si="211"/>
        <v>-0.73234442612321959</v>
      </c>
      <c r="E457" s="307">
        <f t="shared" ca="1" si="212"/>
        <v>-1.3461436965024713</v>
      </c>
      <c r="F457" s="304">
        <f t="shared" ca="1" si="213"/>
        <v>1.5324592034070876</v>
      </c>
      <c r="G457" s="306">
        <f t="shared" ca="1" si="214"/>
        <v>9.2351345497775306</v>
      </c>
      <c r="H457" s="307">
        <f t="shared" ca="1" si="215"/>
        <v>-106.73334487769121</v>
      </c>
      <c r="I457" s="304">
        <f t="shared" ca="1" si="216"/>
        <v>107.13213625673983</v>
      </c>
      <c r="J457" s="306">
        <f t="shared" ca="1" si="217"/>
        <v>746.86410190403069</v>
      </c>
      <c r="K457" s="307">
        <f t="shared" ca="1" si="218"/>
        <v>-3.0050692788968489</v>
      </c>
      <c r="L457" s="304">
        <f t="shared" ca="1" si="203"/>
        <v>746.87014745154011</v>
      </c>
      <c r="M457" s="306">
        <f t="shared" ca="1" si="219"/>
        <v>-1.4844859908373877</v>
      </c>
      <c r="N457" s="304">
        <f t="shared" ca="1" si="220"/>
        <v>-85.054782021278513</v>
      </c>
      <c r="P457" s="310">
        <f t="shared" ca="1" si="221"/>
        <v>23</v>
      </c>
      <c r="Q457" s="304">
        <f t="shared" ca="1" si="222"/>
        <v>0</v>
      </c>
      <c r="R457" s="306">
        <f t="shared" ca="1" si="223"/>
        <v>0</v>
      </c>
      <c r="S457" s="307">
        <f t="shared" ca="1" si="224"/>
        <v>5.083000000000002</v>
      </c>
      <c r="T457" s="304">
        <f t="shared" ca="1" si="204"/>
        <v>49.86423000000002</v>
      </c>
      <c r="U457" s="311">
        <f t="shared" ca="1" si="205"/>
        <v>0</v>
      </c>
      <c r="V457" s="306">
        <f t="shared" ca="1" si="206"/>
        <v>1.2253681763064304</v>
      </c>
      <c r="W457" s="304">
        <f t="shared" ca="1" si="207"/>
        <v>43.182677383823666</v>
      </c>
      <c r="Y457" s="314" t="str">
        <f t="shared" ca="1" si="225"/>
        <v/>
      </c>
      <c r="Z457" s="315" t="str">
        <f t="shared" ca="1" si="226"/>
        <v/>
      </c>
      <c r="AA457" s="316" t="str">
        <f t="shared" ca="1" si="227"/>
        <v/>
      </c>
      <c r="AC457" s="310" t="e">
        <f t="shared" ca="1" si="228"/>
        <v>#N/A</v>
      </c>
      <c r="AD457" s="323" t="e">
        <f t="shared" ca="1" si="229"/>
        <v>#N/A</v>
      </c>
      <c r="AE457" s="324" t="e">
        <f t="shared" ca="1" si="208"/>
        <v>#N/A</v>
      </c>
      <c r="AG457" s="306">
        <f t="shared" ca="1" si="230"/>
        <v>1.2780016657124627</v>
      </c>
      <c r="AH457" s="304">
        <f t="shared" ca="1" si="231"/>
        <v>-8.4954806741424953</v>
      </c>
    </row>
    <row r="458" spans="1:34" x14ac:dyDescent="0.2">
      <c r="A458" s="347">
        <f t="shared" ca="1" si="209"/>
        <v>1E-4</v>
      </c>
      <c r="B458" s="304">
        <f t="shared" ca="1" si="210"/>
        <v>29.207200000000132</v>
      </c>
      <c r="D458" s="306">
        <f t="shared" ca="1" si="211"/>
        <v>-0.73234027396550794</v>
      </c>
      <c r="E458" s="307">
        <f t="shared" ca="1" si="212"/>
        <v>-1.3461138911759196</v>
      </c>
      <c r="F458" s="304">
        <f t="shared" ca="1" si="213"/>
        <v>1.5324310375637302</v>
      </c>
      <c r="G458" s="306">
        <f t="shared" ca="1" si="214"/>
        <v>9.2350613157501336</v>
      </c>
      <c r="H458" s="307">
        <f t="shared" ca="1" si="215"/>
        <v>-106.73347948908032</v>
      </c>
      <c r="I458" s="304">
        <f t="shared" ca="1" si="216"/>
        <v>107.13226405407288</v>
      </c>
      <c r="J458" s="306">
        <f t="shared" ca="1" si="217"/>
        <v>746.86410190403069</v>
      </c>
      <c r="K458" s="307">
        <f t="shared" ca="1" si="218"/>
        <v>-3.0157426201151876</v>
      </c>
      <c r="L458" s="304">
        <f t="shared" ca="1" si="203"/>
        <v>746.87019047252454</v>
      </c>
      <c r="M458" s="306">
        <f t="shared" ca="1" si="219"/>
        <v>-1.4844867801920647</v>
      </c>
      <c r="N458" s="304">
        <f t="shared" ca="1" si="220"/>
        <v>-85.054827247970039</v>
      </c>
      <c r="P458" s="310">
        <f t="shared" ca="1" si="221"/>
        <v>23</v>
      </c>
      <c r="Q458" s="304">
        <f t="shared" ca="1" si="222"/>
        <v>0</v>
      </c>
      <c r="R458" s="306">
        <f t="shared" ca="1" si="223"/>
        <v>0</v>
      </c>
      <c r="S458" s="307">
        <f t="shared" ca="1" si="224"/>
        <v>5.083000000000002</v>
      </c>
      <c r="T458" s="304">
        <f t="shared" ca="1" si="204"/>
        <v>49.86423000000002</v>
      </c>
      <c r="U458" s="311">
        <f t="shared" ca="1" si="205"/>
        <v>0</v>
      </c>
      <c r="V458" s="306">
        <f t="shared" ca="1" si="206"/>
        <v>1.2253694841844243</v>
      </c>
      <c r="W458" s="304">
        <f t="shared" ca="1" si="207"/>
        <v>43.182826499119983</v>
      </c>
      <c r="Y458" s="314" t="str">
        <f t="shared" ca="1" si="225"/>
        <v/>
      </c>
      <c r="Z458" s="315" t="str">
        <f t="shared" ca="1" si="226"/>
        <v/>
      </c>
      <c r="AA458" s="316" t="str">
        <f t="shared" ca="1" si="227"/>
        <v/>
      </c>
      <c r="AC458" s="310" t="e">
        <f t="shared" ca="1" si="228"/>
        <v>#N/A</v>
      </c>
      <c r="AD458" s="323" t="e">
        <f t="shared" ca="1" si="229"/>
        <v>#N/A</v>
      </c>
      <c r="AE458" s="324" t="e">
        <f t="shared" ca="1" si="208"/>
        <v>#N/A</v>
      </c>
      <c r="AG458" s="306">
        <f t="shared" ca="1" si="230"/>
        <v>1.2779729967965103</v>
      </c>
      <c r="AH458" s="304">
        <f t="shared" ca="1" si="231"/>
        <v>-8.4955100105889532</v>
      </c>
    </row>
    <row r="459" spans="1:34" x14ac:dyDescent="0.2">
      <c r="A459" s="347">
        <f t="shared" ca="1" si="209"/>
        <v>1E-4</v>
      </c>
      <c r="B459" s="304">
        <f t="shared" ca="1" si="210"/>
        <v>29.207300000000131</v>
      </c>
      <c r="D459" s="306">
        <f t="shared" ca="1" si="211"/>
        <v>-0.73233612179855712</v>
      </c>
      <c r="E459" s="307">
        <f t="shared" ca="1" si="212"/>
        <v>-1.3460840862213796</v>
      </c>
      <c r="F459" s="304">
        <f t="shared" ca="1" si="213"/>
        <v>1.5324028721160103</v>
      </c>
      <c r="G459" s="306">
        <f t="shared" ca="1" si="214"/>
        <v>9.2349880821379529</v>
      </c>
      <c r="H459" s="307">
        <f t="shared" ca="1" si="215"/>
        <v>-106.73361409748894</v>
      </c>
      <c r="I459" s="304">
        <f t="shared" ca="1" si="216"/>
        <v>107.13239184853907</v>
      </c>
      <c r="J459" s="306">
        <f t="shared" ca="1" si="217"/>
        <v>746.86410190403069</v>
      </c>
      <c r="K459" s="307">
        <f t="shared" ca="1" si="218"/>
        <v>-3.0264159747945159</v>
      </c>
      <c r="L459" s="304">
        <f t="shared" ca="1" si="203"/>
        <v>746.87023364609115</v>
      </c>
      <c r="M459" s="306">
        <f t="shared" ca="1" si="219"/>
        <v>-1.4844875695385991</v>
      </c>
      <c r="N459" s="304">
        <f t="shared" ca="1" si="220"/>
        <v>-85.054872474195037</v>
      </c>
      <c r="P459" s="310">
        <f t="shared" ca="1" si="221"/>
        <v>23</v>
      </c>
      <c r="Q459" s="304">
        <f t="shared" ca="1" si="222"/>
        <v>0</v>
      </c>
      <c r="R459" s="306">
        <f t="shared" ca="1" si="223"/>
        <v>0</v>
      </c>
      <c r="S459" s="307">
        <f t="shared" ca="1" si="224"/>
        <v>5.083000000000002</v>
      </c>
      <c r="T459" s="304">
        <f t="shared" ca="1" si="204"/>
        <v>49.86423000000002</v>
      </c>
      <c r="U459" s="311">
        <f t="shared" ca="1" si="205"/>
        <v>0</v>
      </c>
      <c r="V459" s="306">
        <f t="shared" ca="1" si="206"/>
        <v>1.2253707920654637</v>
      </c>
      <c r="W459" s="304">
        <f t="shared" ca="1" si="207"/>
        <v>43.182975612555303</v>
      </c>
      <c r="Y459" s="314" t="str">
        <f t="shared" ca="1" si="225"/>
        <v/>
      </c>
      <c r="Z459" s="315" t="str">
        <f t="shared" ca="1" si="226"/>
        <v/>
      </c>
      <c r="AA459" s="316" t="str">
        <f t="shared" ca="1" si="227"/>
        <v/>
      </c>
      <c r="AC459" s="310" t="e">
        <f t="shared" ca="1" si="228"/>
        <v>#N/A</v>
      </c>
      <c r="AD459" s="323" t="e">
        <f t="shared" ca="1" si="229"/>
        <v>#N/A</v>
      </c>
      <c r="AE459" s="324" t="e">
        <f t="shared" ca="1" si="208"/>
        <v>#N/A</v>
      </c>
      <c r="AG459" s="306">
        <f t="shared" ca="1" si="230"/>
        <v>1.2779443282337102</v>
      </c>
      <c r="AH459" s="304">
        <f t="shared" ca="1" si="231"/>
        <v>-8.4955393466692826</v>
      </c>
    </row>
    <row r="460" spans="1:34" x14ac:dyDescent="0.2">
      <c r="A460" s="347">
        <f t="shared" ca="1" si="209"/>
        <v>1E-4</v>
      </c>
      <c r="B460" s="304">
        <f t="shared" ca="1" si="210"/>
        <v>29.207400000000131</v>
      </c>
      <c r="D460" s="306">
        <f t="shared" ca="1" si="211"/>
        <v>-0.73233196962236757</v>
      </c>
      <c r="E460" s="307">
        <f t="shared" ca="1" si="212"/>
        <v>-1.3460542816388426</v>
      </c>
      <c r="F460" s="304">
        <f t="shared" ca="1" si="213"/>
        <v>1.5323747070639206</v>
      </c>
      <c r="G460" s="306">
        <f t="shared" ca="1" si="214"/>
        <v>9.2349148489409902</v>
      </c>
      <c r="H460" s="307">
        <f t="shared" ca="1" si="215"/>
        <v>-106.7337487029171</v>
      </c>
      <c r="I460" s="304">
        <f t="shared" ca="1" si="216"/>
        <v>107.13251964013844</v>
      </c>
      <c r="J460" s="306">
        <f t="shared" ca="1" si="217"/>
        <v>746.86410190403069</v>
      </c>
      <c r="K460" s="307">
        <f t="shared" ca="1" si="218"/>
        <v>-3.0370893429345363</v>
      </c>
      <c r="L460" s="304">
        <f t="shared" ca="1" si="203"/>
        <v>746.87027697224062</v>
      </c>
      <c r="M460" s="306">
        <f t="shared" ca="1" si="219"/>
        <v>-1.4844883588769906</v>
      </c>
      <c r="N460" s="304">
        <f t="shared" ca="1" si="220"/>
        <v>-85.054917699953478</v>
      </c>
      <c r="P460" s="310">
        <f t="shared" ca="1" si="221"/>
        <v>23</v>
      </c>
      <c r="Q460" s="304">
        <f t="shared" ca="1" si="222"/>
        <v>0</v>
      </c>
      <c r="R460" s="306">
        <f t="shared" ca="1" si="223"/>
        <v>0</v>
      </c>
      <c r="S460" s="307">
        <f t="shared" ca="1" si="224"/>
        <v>5.083000000000002</v>
      </c>
      <c r="T460" s="304">
        <f t="shared" ca="1" si="204"/>
        <v>49.86423000000002</v>
      </c>
      <c r="U460" s="311">
        <f t="shared" ca="1" si="205"/>
        <v>0</v>
      </c>
      <c r="V460" s="306">
        <f t="shared" ca="1" si="206"/>
        <v>1.2253720999495492</v>
      </c>
      <c r="W460" s="304">
        <f t="shared" ca="1" si="207"/>
        <v>43.183124724129648</v>
      </c>
      <c r="Y460" s="314" t="str">
        <f t="shared" ca="1" si="225"/>
        <v/>
      </c>
      <c r="Z460" s="315" t="str">
        <f t="shared" ca="1" si="226"/>
        <v/>
      </c>
      <c r="AA460" s="316" t="str">
        <f t="shared" ca="1" si="227"/>
        <v/>
      </c>
      <c r="AC460" s="310" t="e">
        <f t="shared" ca="1" si="228"/>
        <v>#N/A</v>
      </c>
      <c r="AD460" s="323" t="e">
        <f t="shared" ca="1" si="229"/>
        <v>#N/A</v>
      </c>
      <c r="AE460" s="324" t="e">
        <f t="shared" ca="1" si="208"/>
        <v>#N/A</v>
      </c>
      <c r="AG460" s="306">
        <f t="shared" ca="1" si="230"/>
        <v>1.2779156600240569</v>
      </c>
      <c r="AH460" s="304">
        <f t="shared" ca="1" si="231"/>
        <v>-8.4955686823834906</v>
      </c>
    </row>
    <row r="461" spans="1:34" x14ac:dyDescent="0.2">
      <c r="A461" s="347">
        <f t="shared" ca="1" si="209"/>
        <v>1E-4</v>
      </c>
      <c r="B461" s="304">
        <f t="shared" ca="1" si="210"/>
        <v>29.207500000000131</v>
      </c>
      <c r="D461" s="306">
        <f t="shared" ca="1" si="211"/>
        <v>-0.73232781743694308</v>
      </c>
      <c r="E461" s="307">
        <f t="shared" ca="1" si="212"/>
        <v>-1.346024477428303</v>
      </c>
      <c r="F461" s="304">
        <f t="shared" ca="1" si="213"/>
        <v>1.5323465424074583</v>
      </c>
      <c r="G461" s="306">
        <f t="shared" ca="1" si="214"/>
        <v>9.2348416161592457</v>
      </c>
      <c r="H461" s="307">
        <f t="shared" ca="1" si="215"/>
        <v>-106.73388330536484</v>
      </c>
      <c r="I461" s="304">
        <f t="shared" ca="1" si="216"/>
        <v>107.13264742887104</v>
      </c>
      <c r="J461" s="306">
        <f t="shared" ca="1" si="217"/>
        <v>746.86410190403069</v>
      </c>
      <c r="K461" s="307">
        <f t="shared" ca="1" si="218"/>
        <v>-3.0477627245349503</v>
      </c>
      <c r="L461" s="304">
        <f t="shared" ca="1" si="203"/>
        <v>746.87032045097317</v>
      </c>
      <c r="M461" s="306">
        <f t="shared" ca="1" si="219"/>
        <v>-1.4844891482072398</v>
      </c>
      <c r="N461" s="304">
        <f t="shared" ca="1" si="220"/>
        <v>-85.054962925245391</v>
      </c>
      <c r="P461" s="310">
        <f t="shared" ca="1" si="221"/>
        <v>23</v>
      </c>
      <c r="Q461" s="304">
        <f t="shared" ca="1" si="222"/>
        <v>0</v>
      </c>
      <c r="R461" s="306">
        <f t="shared" ca="1" si="223"/>
        <v>0</v>
      </c>
      <c r="S461" s="307">
        <f t="shared" ca="1" si="224"/>
        <v>5.083000000000002</v>
      </c>
      <c r="T461" s="304">
        <f t="shared" ca="1" si="204"/>
        <v>49.86423000000002</v>
      </c>
      <c r="U461" s="311">
        <f t="shared" ca="1" si="205"/>
        <v>0</v>
      </c>
      <c r="V461" s="306">
        <f t="shared" ca="1" si="206"/>
        <v>1.2253734078366798</v>
      </c>
      <c r="W461" s="304">
        <f t="shared" ca="1" si="207"/>
        <v>43.183273833843025</v>
      </c>
      <c r="Y461" s="314" t="str">
        <f t="shared" ca="1" si="225"/>
        <v/>
      </c>
      <c r="Z461" s="315" t="str">
        <f t="shared" ca="1" si="226"/>
        <v/>
      </c>
      <c r="AA461" s="316" t="str">
        <f t="shared" ca="1" si="227"/>
        <v/>
      </c>
      <c r="AC461" s="310" t="e">
        <f t="shared" ca="1" si="228"/>
        <v>#N/A</v>
      </c>
      <c r="AD461" s="323" t="e">
        <f t="shared" ca="1" si="229"/>
        <v>#N/A</v>
      </c>
      <c r="AE461" s="324" t="e">
        <f t="shared" ca="1" si="208"/>
        <v>#N/A</v>
      </c>
      <c r="AG461" s="306">
        <f t="shared" ca="1" si="230"/>
        <v>1.2778869921675433</v>
      </c>
      <c r="AH461" s="304">
        <f t="shared" ca="1" si="231"/>
        <v>-8.4955980177315826</v>
      </c>
    </row>
    <row r="462" spans="1:34" x14ac:dyDescent="0.2">
      <c r="A462" s="347">
        <f t="shared" ca="1" si="209"/>
        <v>1E-4</v>
      </c>
      <c r="B462" s="304">
        <f t="shared" ca="1" si="210"/>
        <v>29.207600000000131</v>
      </c>
      <c r="D462" s="306">
        <f t="shared" ca="1" si="211"/>
        <v>-0.73232366524228132</v>
      </c>
      <c r="E462" s="307">
        <f t="shared" ca="1" si="212"/>
        <v>-1.3459946735897628</v>
      </c>
      <c r="F462" s="304">
        <f t="shared" ca="1" si="213"/>
        <v>1.5323183781466243</v>
      </c>
      <c r="G462" s="306">
        <f t="shared" ca="1" si="214"/>
        <v>9.234768383792721</v>
      </c>
      <c r="H462" s="307">
        <f t="shared" ca="1" si="215"/>
        <v>-106.7340179048322</v>
      </c>
      <c r="I462" s="304">
        <f t="shared" ca="1" si="216"/>
        <v>107.13277521473687</v>
      </c>
      <c r="J462" s="306">
        <f t="shared" ca="1" si="217"/>
        <v>746.86410190403069</v>
      </c>
      <c r="K462" s="307">
        <f t="shared" ca="1" si="218"/>
        <v>-3.0584361195954601</v>
      </c>
      <c r="L462" s="304">
        <f t="shared" ca="1" si="203"/>
        <v>746.87036408228971</v>
      </c>
      <c r="M462" s="306">
        <f t="shared" ca="1" si="219"/>
        <v>-1.4844899375293465</v>
      </c>
      <c r="N462" s="304">
        <f t="shared" ca="1" si="220"/>
        <v>-85.05500815007079</v>
      </c>
      <c r="P462" s="310">
        <f t="shared" ca="1" si="221"/>
        <v>23</v>
      </c>
      <c r="Q462" s="304">
        <f t="shared" ca="1" si="222"/>
        <v>0</v>
      </c>
      <c r="R462" s="306">
        <f t="shared" ca="1" si="223"/>
        <v>0</v>
      </c>
      <c r="S462" s="307">
        <f t="shared" ca="1" si="224"/>
        <v>5.083000000000002</v>
      </c>
      <c r="T462" s="304">
        <f t="shared" ca="1" si="204"/>
        <v>49.86423000000002</v>
      </c>
      <c r="U462" s="311">
        <f t="shared" ca="1" si="205"/>
        <v>0</v>
      </c>
      <c r="V462" s="306">
        <f t="shared" ca="1" si="206"/>
        <v>1.2253747157268562</v>
      </c>
      <c r="W462" s="304">
        <f t="shared" ca="1" si="207"/>
        <v>43.183422941695433</v>
      </c>
      <c r="Y462" s="314" t="str">
        <f t="shared" ca="1" si="225"/>
        <v/>
      </c>
      <c r="Z462" s="315" t="str">
        <f t="shared" ca="1" si="226"/>
        <v/>
      </c>
      <c r="AA462" s="316" t="str">
        <f t="shared" ca="1" si="227"/>
        <v/>
      </c>
      <c r="AC462" s="310" t="e">
        <f t="shared" ca="1" si="228"/>
        <v>#N/A</v>
      </c>
      <c r="AD462" s="323" t="e">
        <f t="shared" ca="1" si="229"/>
        <v>#N/A</v>
      </c>
      <c r="AE462" s="324" t="e">
        <f t="shared" ca="1" si="208"/>
        <v>#N/A</v>
      </c>
      <c r="AG462" s="306">
        <f t="shared" ca="1" si="230"/>
        <v>1.277858324664173</v>
      </c>
      <c r="AH462" s="304">
        <f t="shared" ca="1" si="231"/>
        <v>-8.4956273527135568</v>
      </c>
    </row>
    <row r="463" spans="1:34" x14ac:dyDescent="0.2">
      <c r="A463" s="347">
        <f t="shared" ca="1" si="209"/>
        <v>1E-4</v>
      </c>
      <c r="B463" s="304">
        <f t="shared" ca="1" si="210"/>
        <v>29.207700000000131</v>
      </c>
      <c r="D463" s="306">
        <f t="shared" ca="1" si="211"/>
        <v>-0.73231951303838427</v>
      </c>
      <c r="E463" s="307">
        <f t="shared" ca="1" si="212"/>
        <v>-1.3459648701232201</v>
      </c>
      <c r="F463" s="304">
        <f t="shared" ca="1" si="213"/>
        <v>1.5322902142814179</v>
      </c>
      <c r="G463" s="306">
        <f t="shared" ca="1" si="214"/>
        <v>9.234695151841418</v>
      </c>
      <c r="H463" s="307">
        <f t="shared" ca="1" si="215"/>
        <v>-106.73415250131922</v>
      </c>
      <c r="I463" s="304">
        <f t="shared" ca="1" si="216"/>
        <v>107.13290299773598</v>
      </c>
      <c r="J463" s="306">
        <f t="shared" ca="1" si="217"/>
        <v>746.86410190403069</v>
      </c>
      <c r="K463" s="307">
        <f t="shared" ca="1" si="218"/>
        <v>-3.0691095281157676</v>
      </c>
      <c r="L463" s="304">
        <f t="shared" ca="1" si="203"/>
        <v>746.87040786619059</v>
      </c>
      <c r="M463" s="306">
        <f t="shared" ca="1" si="219"/>
        <v>-1.484490726843311</v>
      </c>
      <c r="N463" s="304">
        <f t="shared" ca="1" si="220"/>
        <v>-85.055053374429662</v>
      </c>
      <c r="P463" s="310">
        <f t="shared" ca="1" si="221"/>
        <v>23</v>
      </c>
      <c r="Q463" s="304">
        <f t="shared" ca="1" si="222"/>
        <v>0</v>
      </c>
      <c r="R463" s="306">
        <f t="shared" ca="1" si="223"/>
        <v>0</v>
      </c>
      <c r="S463" s="307">
        <f t="shared" ca="1" si="224"/>
        <v>5.083000000000002</v>
      </c>
      <c r="T463" s="304">
        <f t="shared" ca="1" si="204"/>
        <v>49.86423000000002</v>
      </c>
      <c r="U463" s="311">
        <f t="shared" ca="1" si="205"/>
        <v>0</v>
      </c>
      <c r="V463" s="306">
        <f t="shared" ca="1" si="206"/>
        <v>1.2253760236200779</v>
      </c>
      <c r="W463" s="304">
        <f t="shared" ca="1" si="207"/>
        <v>43.183572047686894</v>
      </c>
      <c r="Y463" s="314" t="str">
        <f t="shared" ca="1" si="225"/>
        <v/>
      </c>
      <c r="Z463" s="315" t="str">
        <f t="shared" ca="1" si="226"/>
        <v/>
      </c>
      <c r="AA463" s="316" t="str">
        <f t="shared" ca="1" si="227"/>
        <v/>
      </c>
      <c r="AC463" s="310" t="e">
        <f t="shared" ca="1" si="228"/>
        <v>#N/A</v>
      </c>
      <c r="AD463" s="323" t="e">
        <f t="shared" ca="1" si="229"/>
        <v>#N/A</v>
      </c>
      <c r="AE463" s="324" t="e">
        <f t="shared" ca="1" si="208"/>
        <v>#N/A</v>
      </c>
      <c r="AG463" s="306">
        <f t="shared" ca="1" si="230"/>
        <v>1.2778296575139461</v>
      </c>
      <c r="AH463" s="304">
        <f t="shared" ca="1" si="231"/>
        <v>-8.495656687329415</v>
      </c>
    </row>
    <row r="464" spans="1:34" x14ac:dyDescent="0.2">
      <c r="A464" s="347">
        <f t="shared" ca="1" si="209"/>
        <v>1E-4</v>
      </c>
      <c r="B464" s="304">
        <f t="shared" ca="1" si="210"/>
        <v>29.20780000000013</v>
      </c>
      <c r="D464" s="306">
        <f t="shared" ca="1" si="211"/>
        <v>-0.73231536082525339</v>
      </c>
      <c r="E464" s="307">
        <f t="shared" ca="1" si="212"/>
        <v>-1.3459350670286732</v>
      </c>
      <c r="F464" s="304">
        <f t="shared" ca="1" si="213"/>
        <v>1.5322620508118381</v>
      </c>
      <c r="G464" s="306">
        <f t="shared" ca="1" si="214"/>
        <v>9.2346219203053348</v>
      </c>
      <c r="H464" s="307">
        <f t="shared" ca="1" si="215"/>
        <v>-106.73428709482592</v>
      </c>
      <c r="I464" s="304">
        <f t="shared" ca="1" si="216"/>
        <v>107.13303077786844</v>
      </c>
      <c r="J464" s="306">
        <f t="shared" ca="1" si="217"/>
        <v>746.86410190403069</v>
      </c>
      <c r="K464" s="307">
        <f t="shared" ca="1" si="218"/>
        <v>-3.0797829500955749</v>
      </c>
      <c r="L464" s="304">
        <f t="shared" ca="1" si="203"/>
        <v>746.87045180267637</v>
      </c>
      <c r="M464" s="306">
        <f t="shared" ca="1" si="219"/>
        <v>-1.4844915161491332</v>
      </c>
      <c r="N464" s="304">
        <f t="shared" ca="1" si="220"/>
        <v>-85.055098598322019</v>
      </c>
      <c r="P464" s="310">
        <f t="shared" ca="1" si="221"/>
        <v>23</v>
      </c>
      <c r="Q464" s="304">
        <f t="shared" ca="1" si="222"/>
        <v>0</v>
      </c>
      <c r="R464" s="306">
        <f t="shared" ca="1" si="223"/>
        <v>0</v>
      </c>
      <c r="S464" s="307">
        <f t="shared" ca="1" si="224"/>
        <v>5.083000000000002</v>
      </c>
      <c r="T464" s="304">
        <f t="shared" ca="1" si="204"/>
        <v>49.86423000000002</v>
      </c>
      <c r="U464" s="311">
        <f t="shared" ca="1" si="205"/>
        <v>0</v>
      </c>
      <c r="V464" s="306">
        <f t="shared" ca="1" si="206"/>
        <v>1.2253773315163452</v>
      </c>
      <c r="W464" s="304">
        <f t="shared" ca="1" si="207"/>
        <v>43.183721151817444</v>
      </c>
      <c r="Y464" s="314" t="str">
        <f t="shared" ca="1" si="225"/>
        <v/>
      </c>
      <c r="Z464" s="315" t="str">
        <f t="shared" ca="1" si="226"/>
        <v/>
      </c>
      <c r="AA464" s="316" t="str">
        <f t="shared" ca="1" si="227"/>
        <v/>
      </c>
      <c r="AC464" s="310" t="e">
        <f t="shared" ca="1" si="228"/>
        <v>#N/A</v>
      </c>
      <c r="AD464" s="323" t="e">
        <f t="shared" ca="1" si="229"/>
        <v>#N/A</v>
      </c>
      <c r="AE464" s="324" t="e">
        <f t="shared" ca="1" si="208"/>
        <v>#N/A</v>
      </c>
      <c r="AG464" s="306">
        <f t="shared" ca="1" si="230"/>
        <v>1.2778009907168553</v>
      </c>
      <c r="AH464" s="304">
        <f t="shared" ca="1" si="231"/>
        <v>-8.4956860215791608</v>
      </c>
    </row>
    <row r="465" spans="1:34" x14ac:dyDescent="0.2">
      <c r="A465" s="347">
        <f t="shared" ca="1" si="209"/>
        <v>1E-4</v>
      </c>
      <c r="B465" s="304">
        <f t="shared" ca="1" si="210"/>
        <v>29.20790000000013</v>
      </c>
      <c r="D465" s="306">
        <f t="shared" ca="1" si="211"/>
        <v>-0.73231120860288967</v>
      </c>
      <c r="E465" s="307">
        <f t="shared" ca="1" si="212"/>
        <v>-1.3459052643061096</v>
      </c>
      <c r="F465" s="304">
        <f t="shared" ca="1" si="213"/>
        <v>1.5322338877378752</v>
      </c>
      <c r="G465" s="306">
        <f t="shared" ca="1" si="214"/>
        <v>9.234548689184475</v>
      </c>
      <c r="H465" s="307">
        <f t="shared" ca="1" si="215"/>
        <v>-106.73442168535234</v>
      </c>
      <c r="I465" s="304">
        <f t="shared" ca="1" si="216"/>
        <v>107.13315855513423</v>
      </c>
      <c r="J465" s="306">
        <f t="shared" ca="1" si="217"/>
        <v>746.86410190403069</v>
      </c>
      <c r="K465" s="307">
        <f t="shared" ca="1" si="218"/>
        <v>-3.0904563855345839</v>
      </c>
      <c r="L465" s="304">
        <f t="shared" ca="1" si="203"/>
        <v>746.87049589174774</v>
      </c>
      <c r="M465" s="306">
        <f t="shared" ca="1" si="219"/>
        <v>-1.4844923054468135</v>
      </c>
      <c r="N465" s="304">
        <f t="shared" ca="1" si="220"/>
        <v>-85.05514382174789</v>
      </c>
      <c r="P465" s="310">
        <f t="shared" ca="1" si="221"/>
        <v>23</v>
      </c>
      <c r="Q465" s="304">
        <f t="shared" ca="1" si="222"/>
        <v>0</v>
      </c>
      <c r="R465" s="306">
        <f t="shared" ca="1" si="223"/>
        <v>0</v>
      </c>
      <c r="S465" s="307">
        <f t="shared" ca="1" si="224"/>
        <v>5.083000000000002</v>
      </c>
      <c r="T465" s="304">
        <f t="shared" ca="1" si="204"/>
        <v>49.86423000000002</v>
      </c>
      <c r="U465" s="311">
        <f t="shared" ca="1" si="205"/>
        <v>0</v>
      </c>
      <c r="V465" s="306">
        <f t="shared" ca="1" si="206"/>
        <v>1.2253786394156578</v>
      </c>
      <c r="W465" s="304">
        <f t="shared" ca="1" si="207"/>
        <v>43.183870254087054</v>
      </c>
      <c r="Y465" s="314" t="str">
        <f t="shared" ca="1" si="225"/>
        <v/>
      </c>
      <c r="Z465" s="315" t="str">
        <f t="shared" ca="1" si="226"/>
        <v/>
      </c>
      <c r="AA465" s="316" t="str">
        <f t="shared" ca="1" si="227"/>
        <v/>
      </c>
      <c r="AC465" s="310" t="e">
        <f t="shared" ca="1" si="228"/>
        <v>#N/A</v>
      </c>
      <c r="AD465" s="323" t="e">
        <f t="shared" ca="1" si="229"/>
        <v>#N/A</v>
      </c>
      <c r="AE465" s="324" t="e">
        <f t="shared" ca="1" si="208"/>
        <v>#N/A</v>
      </c>
      <c r="AG465" s="306">
        <f t="shared" ca="1" si="230"/>
        <v>1.2777723242728918</v>
      </c>
      <c r="AH465" s="304">
        <f t="shared" ca="1" si="231"/>
        <v>-8.4957153554628029</v>
      </c>
    </row>
    <row r="466" spans="1:34" x14ac:dyDescent="0.2">
      <c r="A466" s="347">
        <f t="shared" ca="1" si="209"/>
        <v>1E-4</v>
      </c>
      <c r="B466" s="304">
        <f t="shared" ca="1" si="210"/>
        <v>29.20800000000013</v>
      </c>
      <c r="D466" s="306">
        <f t="shared" ca="1" si="211"/>
        <v>-0.7323070563712919</v>
      </c>
      <c r="E466" s="307">
        <f t="shared" ca="1" si="212"/>
        <v>-1.34587546195554</v>
      </c>
      <c r="F466" s="304">
        <f t="shared" ca="1" si="213"/>
        <v>1.532205725059538</v>
      </c>
      <c r="G466" s="306">
        <f t="shared" ca="1" si="214"/>
        <v>9.2344754584788387</v>
      </c>
      <c r="H466" s="307">
        <f t="shared" ca="1" si="215"/>
        <v>-106.73455627289854</v>
      </c>
      <c r="I466" s="304">
        <f t="shared" ca="1" si="216"/>
        <v>107.13328632953343</v>
      </c>
      <c r="J466" s="306">
        <f t="shared" ca="1" si="217"/>
        <v>746.86410190403069</v>
      </c>
      <c r="K466" s="307">
        <f t="shared" ca="1" si="218"/>
        <v>-3.1011298344324962</v>
      </c>
      <c r="L466" s="304">
        <f t="shared" ca="1" si="203"/>
        <v>746.87054013340514</v>
      </c>
      <c r="M466" s="306">
        <f t="shared" ca="1" si="219"/>
        <v>-1.4844930947363517</v>
      </c>
      <c r="N466" s="304">
        <f t="shared" ca="1" si="220"/>
        <v>-85.055189044707234</v>
      </c>
      <c r="P466" s="310">
        <f t="shared" ca="1" si="221"/>
        <v>23</v>
      </c>
      <c r="Q466" s="304">
        <f t="shared" ca="1" si="222"/>
        <v>0</v>
      </c>
      <c r="R466" s="306">
        <f t="shared" ca="1" si="223"/>
        <v>0</v>
      </c>
      <c r="S466" s="307">
        <f t="shared" ca="1" si="224"/>
        <v>5.083000000000002</v>
      </c>
      <c r="T466" s="304">
        <f t="shared" ca="1" si="204"/>
        <v>49.86423000000002</v>
      </c>
      <c r="U466" s="311">
        <f t="shared" ca="1" si="205"/>
        <v>0</v>
      </c>
      <c r="V466" s="306">
        <f t="shared" ca="1" si="206"/>
        <v>1.225379947318016</v>
      </c>
      <c r="W466" s="304">
        <f t="shared" ca="1" si="207"/>
        <v>43.184019354495788</v>
      </c>
      <c r="Y466" s="314" t="str">
        <f t="shared" ca="1" si="225"/>
        <v/>
      </c>
      <c r="Z466" s="315" t="str">
        <f t="shared" ca="1" si="226"/>
        <v/>
      </c>
      <c r="AA466" s="316" t="str">
        <f t="shared" ca="1" si="227"/>
        <v/>
      </c>
      <c r="AC466" s="310" t="e">
        <f t="shared" ca="1" si="228"/>
        <v>#N/A</v>
      </c>
      <c r="AD466" s="323" t="e">
        <f t="shared" ca="1" si="229"/>
        <v>#N/A</v>
      </c>
      <c r="AE466" s="324" t="e">
        <f t="shared" ca="1" si="208"/>
        <v>#N/A</v>
      </c>
      <c r="AG466" s="306">
        <f t="shared" ca="1" si="230"/>
        <v>1.277743658182068</v>
      </c>
      <c r="AH466" s="304">
        <f t="shared" ca="1" si="231"/>
        <v>-8.4957446889803343</v>
      </c>
    </row>
    <row r="467" spans="1:34" x14ac:dyDescent="0.2">
      <c r="A467" s="347">
        <f t="shared" ca="1" si="209"/>
        <v>1E-4</v>
      </c>
      <c r="B467" s="304">
        <f t="shared" ca="1" si="210"/>
        <v>29.20810000000013</v>
      </c>
      <c r="D467" s="306">
        <f t="shared" ca="1" si="211"/>
        <v>-0.73230290413046473</v>
      </c>
      <c r="E467" s="307">
        <f t="shared" ca="1" si="212"/>
        <v>-1.3458456599769484</v>
      </c>
      <c r="F467" s="304">
        <f t="shared" ca="1" si="213"/>
        <v>1.5321775627768148</v>
      </c>
      <c r="G467" s="306">
        <f t="shared" ca="1" si="214"/>
        <v>9.2344022281884257</v>
      </c>
      <c r="H467" s="307">
        <f t="shared" ca="1" si="215"/>
        <v>-106.73469085746454</v>
      </c>
      <c r="I467" s="304">
        <f t="shared" ca="1" si="216"/>
        <v>107.13341410106604</v>
      </c>
      <c r="J467" s="306">
        <f t="shared" ca="1" si="217"/>
        <v>746.86410190403069</v>
      </c>
      <c r="K467" s="307">
        <f t="shared" ca="1" si="218"/>
        <v>-3.1118032967890144</v>
      </c>
      <c r="L467" s="304">
        <f t="shared" ca="1" si="203"/>
        <v>746.87058452764904</v>
      </c>
      <c r="M467" s="306">
        <f t="shared" ca="1" si="219"/>
        <v>-1.4844938840177484</v>
      </c>
      <c r="N467" s="304">
        <f t="shared" ca="1" si="220"/>
        <v>-85.05523426720012</v>
      </c>
      <c r="P467" s="310">
        <f t="shared" ca="1" si="221"/>
        <v>23</v>
      </c>
      <c r="Q467" s="304">
        <f t="shared" ca="1" si="222"/>
        <v>0</v>
      </c>
      <c r="R467" s="306">
        <f t="shared" ca="1" si="223"/>
        <v>0</v>
      </c>
      <c r="S467" s="307">
        <f t="shared" ca="1" si="224"/>
        <v>5.083000000000002</v>
      </c>
      <c r="T467" s="304">
        <f t="shared" ca="1" si="204"/>
        <v>49.86423000000002</v>
      </c>
      <c r="U467" s="311">
        <f t="shared" ca="1" si="205"/>
        <v>0</v>
      </c>
      <c r="V467" s="306">
        <f t="shared" ca="1" si="206"/>
        <v>1.2253812552234198</v>
      </c>
      <c r="W467" s="304">
        <f t="shared" ca="1" si="207"/>
        <v>43.184168453043604</v>
      </c>
      <c r="Y467" s="314" t="str">
        <f t="shared" ca="1" si="225"/>
        <v/>
      </c>
      <c r="Z467" s="315" t="str">
        <f t="shared" ca="1" si="226"/>
        <v/>
      </c>
      <c r="AA467" s="316" t="str">
        <f t="shared" ca="1" si="227"/>
        <v/>
      </c>
      <c r="AC467" s="310" t="e">
        <f t="shared" ca="1" si="228"/>
        <v>#N/A</v>
      </c>
      <c r="AD467" s="323" t="e">
        <f t="shared" ca="1" si="229"/>
        <v>#N/A</v>
      </c>
      <c r="AE467" s="324" t="e">
        <f t="shared" ca="1" si="208"/>
        <v>#N/A</v>
      </c>
      <c r="AG467" s="306">
        <f t="shared" ca="1" si="230"/>
        <v>1.2777149924443698</v>
      </c>
      <c r="AH467" s="304">
        <f t="shared" ca="1" si="231"/>
        <v>-8.4957740221317675</v>
      </c>
    </row>
    <row r="468" spans="1:34" x14ac:dyDescent="0.2">
      <c r="A468" s="347">
        <f t="shared" ca="1" si="209"/>
        <v>1E-4</v>
      </c>
      <c r="B468" s="304">
        <f t="shared" ca="1" si="210"/>
        <v>29.208200000000129</v>
      </c>
      <c r="D468" s="306">
        <f t="shared" ca="1" si="211"/>
        <v>-0.73229875188040316</v>
      </c>
      <c r="E468" s="307">
        <f t="shared" ca="1" si="212"/>
        <v>-1.3458158583703455</v>
      </c>
      <c r="F468" s="304">
        <f t="shared" ca="1" si="213"/>
        <v>1.532149400889713</v>
      </c>
      <c r="G468" s="306">
        <f t="shared" ca="1" si="214"/>
        <v>9.2343289983132379</v>
      </c>
      <c r="H468" s="307">
        <f t="shared" ca="1" si="215"/>
        <v>-106.73482543905038</v>
      </c>
      <c r="I468" s="304">
        <f t="shared" ca="1" si="216"/>
        <v>107.13354186973213</v>
      </c>
      <c r="J468" s="306">
        <f t="shared" ca="1" si="217"/>
        <v>746.86410190403069</v>
      </c>
      <c r="K468" s="307">
        <f t="shared" ca="1" si="218"/>
        <v>-3.1224767726038403</v>
      </c>
      <c r="L468" s="304">
        <f t="shared" ca="1" si="203"/>
        <v>746.87062907448023</v>
      </c>
      <c r="M468" s="306">
        <f t="shared" ca="1" si="219"/>
        <v>-1.4844946732910032</v>
      </c>
      <c r="N468" s="304">
        <f t="shared" ca="1" si="220"/>
        <v>-85.055279489226493</v>
      </c>
      <c r="P468" s="310">
        <f t="shared" ca="1" si="221"/>
        <v>23</v>
      </c>
      <c r="Q468" s="304">
        <f t="shared" ca="1" si="222"/>
        <v>0</v>
      </c>
      <c r="R468" s="306">
        <f t="shared" ca="1" si="223"/>
        <v>0</v>
      </c>
      <c r="S468" s="307">
        <f t="shared" ca="1" si="224"/>
        <v>5.083000000000002</v>
      </c>
      <c r="T468" s="304">
        <f t="shared" ca="1" si="204"/>
        <v>49.86423000000002</v>
      </c>
      <c r="U468" s="311">
        <f t="shared" ca="1" si="205"/>
        <v>0</v>
      </c>
      <c r="V468" s="306">
        <f t="shared" ca="1" si="206"/>
        <v>1.2253825631318689</v>
      </c>
      <c r="W468" s="304">
        <f t="shared" ca="1" si="207"/>
        <v>43.184317549730565</v>
      </c>
      <c r="Y468" s="314" t="str">
        <f t="shared" ca="1" si="225"/>
        <v/>
      </c>
      <c r="Z468" s="315" t="str">
        <f t="shared" ca="1" si="226"/>
        <v/>
      </c>
      <c r="AA468" s="316" t="str">
        <f t="shared" ca="1" si="227"/>
        <v/>
      </c>
      <c r="AC468" s="310" t="e">
        <f t="shared" ca="1" si="228"/>
        <v>#N/A</v>
      </c>
      <c r="AD468" s="323" t="e">
        <f t="shared" ca="1" si="229"/>
        <v>#N/A</v>
      </c>
      <c r="AE468" s="324" t="e">
        <f t="shared" ca="1" si="208"/>
        <v>#N/A</v>
      </c>
      <c r="AG468" s="306">
        <f t="shared" ca="1" si="230"/>
        <v>1.2776863270598042</v>
      </c>
      <c r="AH468" s="304">
        <f t="shared" ca="1" si="231"/>
        <v>-8.4958033549170935</v>
      </c>
    </row>
    <row r="469" spans="1:34" x14ac:dyDescent="0.2">
      <c r="A469" s="347">
        <f t="shared" ca="1" si="209"/>
        <v>1E-4</v>
      </c>
      <c r="B469" s="304">
        <f t="shared" ca="1" si="210"/>
        <v>29.208300000000129</v>
      </c>
      <c r="D469" s="306">
        <f t="shared" ca="1" si="211"/>
        <v>-0.7322945996211141</v>
      </c>
      <c r="E469" s="307">
        <f t="shared" ca="1" si="212"/>
        <v>-1.345786057135717</v>
      </c>
      <c r="F469" s="304">
        <f t="shared" ca="1" si="213"/>
        <v>1.5321212393982231</v>
      </c>
      <c r="G469" s="306">
        <f t="shared" ca="1" si="214"/>
        <v>9.2342557688532754</v>
      </c>
      <c r="H469" s="307">
        <f t="shared" ca="1" si="215"/>
        <v>-106.73496001765609</v>
      </c>
      <c r="I469" s="304">
        <f t="shared" ca="1" si="216"/>
        <v>107.13366963553169</v>
      </c>
      <c r="J469" s="306">
        <f t="shared" ca="1" si="217"/>
        <v>746.86410190403069</v>
      </c>
      <c r="K469" s="307">
        <f t="shared" ca="1" si="218"/>
        <v>-3.1331502618766756</v>
      </c>
      <c r="L469" s="304">
        <f t="shared" ca="1" si="203"/>
        <v>746.87067377389894</v>
      </c>
      <c r="M469" s="306">
        <f t="shared" ca="1" si="219"/>
        <v>-1.4844954625561164</v>
      </c>
      <c r="N469" s="304">
        <f t="shared" ca="1" si="220"/>
        <v>-85.055324710786408</v>
      </c>
      <c r="P469" s="310">
        <f t="shared" ca="1" si="221"/>
        <v>23</v>
      </c>
      <c r="Q469" s="304">
        <f t="shared" ca="1" si="222"/>
        <v>0</v>
      </c>
      <c r="R469" s="306">
        <f t="shared" ca="1" si="223"/>
        <v>0</v>
      </c>
      <c r="S469" s="307">
        <f t="shared" ca="1" si="224"/>
        <v>5.083000000000002</v>
      </c>
      <c r="T469" s="304">
        <f t="shared" ca="1" si="204"/>
        <v>49.86423000000002</v>
      </c>
      <c r="U469" s="311">
        <f t="shared" ca="1" si="205"/>
        <v>0</v>
      </c>
      <c r="V469" s="306">
        <f t="shared" ca="1" si="206"/>
        <v>1.2253838710433631</v>
      </c>
      <c r="W469" s="304">
        <f t="shared" ca="1" si="207"/>
        <v>43.184466644556636</v>
      </c>
      <c r="Y469" s="314" t="str">
        <f t="shared" ca="1" si="225"/>
        <v/>
      </c>
      <c r="Z469" s="315" t="str">
        <f t="shared" ca="1" si="226"/>
        <v/>
      </c>
      <c r="AA469" s="316" t="str">
        <f t="shared" ca="1" si="227"/>
        <v/>
      </c>
      <c r="AC469" s="310" t="e">
        <f t="shared" ca="1" si="228"/>
        <v>#N/A</v>
      </c>
      <c r="AD469" s="323" t="e">
        <f t="shared" ca="1" si="229"/>
        <v>#N/A</v>
      </c>
      <c r="AE469" s="324" t="e">
        <f t="shared" ca="1" si="208"/>
        <v>#N/A</v>
      </c>
      <c r="AG469" s="306">
        <f t="shared" ca="1" si="230"/>
        <v>1.2776576620283588</v>
      </c>
      <c r="AH469" s="304">
        <f t="shared" ca="1" si="231"/>
        <v>-8.4958326873363266</v>
      </c>
    </row>
    <row r="470" spans="1:34" x14ac:dyDescent="0.2">
      <c r="A470" s="347">
        <f t="shared" ca="1" si="209"/>
        <v>1E-4</v>
      </c>
      <c r="B470" s="304">
        <f t="shared" ca="1" si="210"/>
        <v>29.208400000000129</v>
      </c>
      <c r="D470" s="306">
        <f t="shared" ca="1" si="211"/>
        <v>-0.73229044735259441</v>
      </c>
      <c r="E470" s="307">
        <f t="shared" ca="1" si="212"/>
        <v>-1.3457562562730701</v>
      </c>
      <c r="F470" s="304">
        <f t="shared" ca="1" si="213"/>
        <v>1.5320930783023503</v>
      </c>
      <c r="G470" s="306">
        <f t="shared" ca="1" si="214"/>
        <v>9.2341825398085398</v>
      </c>
      <c r="H470" s="307">
        <f t="shared" ca="1" si="215"/>
        <v>-106.73509459328172</v>
      </c>
      <c r="I470" s="304">
        <f t="shared" ca="1" si="216"/>
        <v>107.13379739846478</v>
      </c>
      <c r="J470" s="306">
        <f t="shared" ca="1" si="217"/>
        <v>746.86410190403069</v>
      </c>
      <c r="K470" s="307">
        <f t="shared" ca="1" si="218"/>
        <v>-3.1438237646072222</v>
      </c>
      <c r="L470" s="304">
        <f t="shared" ca="1" si="203"/>
        <v>746.87071862590597</v>
      </c>
      <c r="M470" s="306">
        <f t="shared" ca="1" si="219"/>
        <v>-1.4844962518130882</v>
      </c>
      <c r="N470" s="304">
        <f t="shared" ca="1" si="220"/>
        <v>-85.055369931879838</v>
      </c>
      <c r="P470" s="310">
        <f t="shared" ca="1" si="221"/>
        <v>23</v>
      </c>
      <c r="Q470" s="304">
        <f t="shared" ca="1" si="222"/>
        <v>0</v>
      </c>
      <c r="R470" s="306">
        <f t="shared" ca="1" si="223"/>
        <v>0</v>
      </c>
      <c r="S470" s="307">
        <f t="shared" ca="1" si="224"/>
        <v>5.083000000000002</v>
      </c>
      <c r="T470" s="304">
        <f t="shared" ca="1" si="204"/>
        <v>49.86423000000002</v>
      </c>
      <c r="U470" s="311">
        <f t="shared" ca="1" si="205"/>
        <v>0</v>
      </c>
      <c r="V470" s="306">
        <f t="shared" ca="1" si="206"/>
        <v>1.2253851789579024</v>
      </c>
      <c r="W470" s="304">
        <f t="shared" ca="1" si="207"/>
        <v>43.184615737521838</v>
      </c>
      <c r="Y470" s="314" t="str">
        <f t="shared" ca="1" si="225"/>
        <v/>
      </c>
      <c r="Z470" s="315" t="str">
        <f t="shared" ca="1" si="226"/>
        <v/>
      </c>
      <c r="AA470" s="316" t="str">
        <f t="shared" ca="1" si="227"/>
        <v/>
      </c>
      <c r="AC470" s="310" t="e">
        <f t="shared" ca="1" si="228"/>
        <v>#N/A</v>
      </c>
      <c r="AD470" s="323" t="e">
        <f t="shared" ca="1" si="229"/>
        <v>#N/A</v>
      </c>
      <c r="AE470" s="324" t="e">
        <f t="shared" ca="1" si="208"/>
        <v>#N/A</v>
      </c>
      <c r="AG470" s="306">
        <f t="shared" ca="1" si="230"/>
        <v>1.2776289973500408</v>
      </c>
      <c r="AH470" s="304">
        <f t="shared" ca="1" si="231"/>
        <v>-8.4958620193894596</v>
      </c>
    </row>
    <row r="471" spans="1:34" x14ac:dyDescent="0.2">
      <c r="A471" s="347">
        <f t="shared" ca="1" si="209"/>
        <v>1E-4</v>
      </c>
      <c r="B471" s="304">
        <f t="shared" ca="1" si="210"/>
        <v>29.208500000000129</v>
      </c>
      <c r="D471" s="306">
        <f t="shared" ca="1" si="211"/>
        <v>-0.73228629507484611</v>
      </c>
      <c r="E471" s="307">
        <f t="shared" ca="1" si="212"/>
        <v>-1.3457264557824029</v>
      </c>
      <c r="F471" s="304">
        <f t="shared" ca="1" si="213"/>
        <v>1.5320649176020944</v>
      </c>
      <c r="G471" s="306">
        <f t="shared" ca="1" si="214"/>
        <v>9.2341093111790329</v>
      </c>
      <c r="H471" s="307">
        <f t="shared" ca="1" si="215"/>
        <v>-106.73522916592729</v>
      </c>
      <c r="I471" s="304">
        <f t="shared" ca="1" si="216"/>
        <v>107.13392515853147</v>
      </c>
      <c r="J471" s="306">
        <f t="shared" ca="1" si="217"/>
        <v>746.86410190403069</v>
      </c>
      <c r="K471" s="307">
        <f t="shared" ca="1" si="218"/>
        <v>-3.1544972807951828</v>
      </c>
      <c r="L471" s="304">
        <f t="shared" ca="1" si="203"/>
        <v>746.87076363050176</v>
      </c>
      <c r="M471" s="306">
        <f t="shared" ca="1" si="219"/>
        <v>-1.4844970410619187</v>
      </c>
      <c r="N471" s="304">
        <f t="shared" ca="1" si="220"/>
        <v>-85.055415152506811</v>
      </c>
      <c r="P471" s="310">
        <f t="shared" ca="1" si="221"/>
        <v>23</v>
      </c>
      <c r="Q471" s="304">
        <f t="shared" ca="1" si="222"/>
        <v>0</v>
      </c>
      <c r="R471" s="306">
        <f t="shared" ca="1" si="223"/>
        <v>0</v>
      </c>
      <c r="S471" s="307">
        <f t="shared" ca="1" si="224"/>
        <v>5.083000000000002</v>
      </c>
      <c r="T471" s="304">
        <f t="shared" ca="1" si="204"/>
        <v>49.86423000000002</v>
      </c>
      <c r="U471" s="311">
        <f t="shared" ca="1" si="205"/>
        <v>0</v>
      </c>
      <c r="V471" s="306">
        <f t="shared" ca="1" si="206"/>
        <v>1.2253864868754876</v>
      </c>
      <c r="W471" s="304">
        <f t="shared" ca="1" si="207"/>
        <v>43.184764828626243</v>
      </c>
      <c r="Y471" s="314" t="str">
        <f t="shared" ca="1" si="225"/>
        <v/>
      </c>
      <c r="Z471" s="315" t="str">
        <f t="shared" ca="1" si="226"/>
        <v/>
      </c>
      <c r="AA471" s="316" t="str">
        <f t="shared" ca="1" si="227"/>
        <v/>
      </c>
      <c r="AC471" s="310" t="e">
        <f t="shared" ca="1" si="228"/>
        <v>#N/A</v>
      </c>
      <c r="AD471" s="323" t="e">
        <f t="shared" ca="1" si="229"/>
        <v>#N/A</v>
      </c>
      <c r="AE471" s="324" t="e">
        <f t="shared" ca="1" si="208"/>
        <v>#N/A</v>
      </c>
      <c r="AG471" s="306">
        <f t="shared" ca="1" si="230"/>
        <v>1.2776003330248482</v>
      </c>
      <c r="AH471" s="304">
        <f t="shared" ca="1" si="231"/>
        <v>-8.4958913510764944</v>
      </c>
    </row>
    <row r="472" spans="1:34" x14ac:dyDescent="0.2">
      <c r="A472" s="347">
        <f t="shared" ca="1" si="209"/>
        <v>1E-4</v>
      </c>
      <c r="B472" s="304">
        <f t="shared" ca="1" si="210"/>
        <v>29.208600000000128</v>
      </c>
      <c r="D472" s="306">
        <f t="shared" ca="1" si="211"/>
        <v>-0.73228214278787007</v>
      </c>
      <c r="E472" s="307">
        <f t="shared" ca="1" si="212"/>
        <v>-1.3456966556636978</v>
      </c>
      <c r="F472" s="304">
        <f t="shared" ca="1" si="213"/>
        <v>1.53203675729744</v>
      </c>
      <c r="G472" s="306">
        <f t="shared" ca="1" si="214"/>
        <v>9.2340360829647548</v>
      </c>
      <c r="H472" s="307">
        <f t="shared" ca="1" si="215"/>
        <v>-106.73536373559286</v>
      </c>
      <c r="I472" s="304">
        <f t="shared" ca="1" si="216"/>
        <v>107.13405291573173</v>
      </c>
      <c r="J472" s="306">
        <f t="shared" ca="1" si="217"/>
        <v>746.86410190403069</v>
      </c>
      <c r="K472" s="307">
        <f t="shared" ca="1" si="218"/>
        <v>-3.1651708104402587</v>
      </c>
      <c r="L472" s="304">
        <f t="shared" ca="1" si="203"/>
        <v>746.87080878768688</v>
      </c>
      <c r="M472" s="306">
        <f t="shared" ca="1" si="219"/>
        <v>-1.4844978303026077</v>
      </c>
      <c r="N472" s="304">
        <f t="shared" ca="1" si="220"/>
        <v>-85.055460372667312</v>
      </c>
      <c r="P472" s="310">
        <f t="shared" ca="1" si="221"/>
        <v>23</v>
      </c>
      <c r="Q472" s="304">
        <f t="shared" ca="1" si="222"/>
        <v>0</v>
      </c>
      <c r="R472" s="306">
        <f t="shared" ca="1" si="223"/>
        <v>0</v>
      </c>
      <c r="S472" s="307">
        <f t="shared" ca="1" si="224"/>
        <v>5.083000000000002</v>
      </c>
      <c r="T472" s="304">
        <f t="shared" ca="1" si="204"/>
        <v>49.86423000000002</v>
      </c>
      <c r="U472" s="311">
        <f t="shared" ca="1" si="205"/>
        <v>0</v>
      </c>
      <c r="V472" s="306">
        <f t="shared" ca="1" si="206"/>
        <v>1.2253877947961176</v>
      </c>
      <c r="W472" s="304">
        <f t="shared" ca="1" si="207"/>
        <v>43.184913917869792</v>
      </c>
      <c r="Y472" s="314" t="str">
        <f t="shared" ca="1" si="225"/>
        <v/>
      </c>
      <c r="Z472" s="315" t="str">
        <f t="shared" ca="1" si="226"/>
        <v/>
      </c>
      <c r="AA472" s="316" t="str">
        <f t="shared" ca="1" si="227"/>
        <v/>
      </c>
      <c r="AC472" s="310" t="e">
        <f t="shared" ca="1" si="228"/>
        <v>#N/A</v>
      </c>
      <c r="AD472" s="323" t="e">
        <f t="shared" ca="1" si="229"/>
        <v>#N/A</v>
      </c>
      <c r="AE472" s="324" t="e">
        <f t="shared" ca="1" si="208"/>
        <v>#N/A</v>
      </c>
      <c r="AG472" s="306">
        <f t="shared" ca="1" si="230"/>
        <v>1.277571669052767</v>
      </c>
      <c r="AH472" s="304">
        <f t="shared" ca="1" si="231"/>
        <v>-8.4959206823974469</v>
      </c>
    </row>
    <row r="473" spans="1:34" x14ac:dyDescent="0.2">
      <c r="A473" s="347">
        <f t="shared" ca="1" si="209"/>
        <v>1E-4</v>
      </c>
      <c r="B473" s="304">
        <f t="shared" ca="1" si="210"/>
        <v>29.208700000000128</v>
      </c>
      <c r="D473" s="306">
        <f t="shared" ca="1" si="211"/>
        <v>-0.73227799049166908</v>
      </c>
      <c r="E473" s="307">
        <f t="shared" ca="1" si="212"/>
        <v>-1.3456668559169689</v>
      </c>
      <c r="F473" s="304">
        <f t="shared" ca="1" si="213"/>
        <v>1.5320085973884014</v>
      </c>
      <c r="G473" s="306">
        <f t="shared" ca="1" si="214"/>
        <v>9.2339628551657054</v>
      </c>
      <c r="H473" s="307">
        <f t="shared" ca="1" si="215"/>
        <v>-106.73549830227844</v>
      </c>
      <c r="I473" s="304">
        <f t="shared" ca="1" si="216"/>
        <v>107.13418067006563</v>
      </c>
      <c r="J473" s="306">
        <f t="shared" ca="1" si="217"/>
        <v>746.86410190403069</v>
      </c>
      <c r="K473" s="307">
        <f t="shared" ca="1" si="218"/>
        <v>-3.1758443535421521</v>
      </c>
      <c r="L473" s="304">
        <f t="shared" ca="1" si="203"/>
        <v>746.87085409746192</v>
      </c>
      <c r="M473" s="306">
        <f t="shared" ca="1" si="219"/>
        <v>-1.4844986195351559</v>
      </c>
      <c r="N473" s="304">
        <f t="shared" ca="1" si="220"/>
        <v>-85.055505592361371</v>
      </c>
      <c r="P473" s="310">
        <f t="shared" ca="1" si="221"/>
        <v>23</v>
      </c>
      <c r="Q473" s="304">
        <f t="shared" ca="1" si="222"/>
        <v>0</v>
      </c>
      <c r="R473" s="306">
        <f t="shared" ca="1" si="223"/>
        <v>0</v>
      </c>
      <c r="S473" s="307">
        <f t="shared" ca="1" si="224"/>
        <v>5.083000000000002</v>
      </c>
      <c r="T473" s="304">
        <f t="shared" ca="1" si="204"/>
        <v>49.86423000000002</v>
      </c>
      <c r="U473" s="311">
        <f t="shared" ca="1" si="205"/>
        <v>0</v>
      </c>
      <c r="V473" s="306">
        <f t="shared" ca="1" si="206"/>
        <v>1.225389102719793</v>
      </c>
      <c r="W473" s="304">
        <f t="shared" ca="1" si="207"/>
        <v>43.185063005252523</v>
      </c>
      <c r="Y473" s="314" t="str">
        <f t="shared" ca="1" si="225"/>
        <v/>
      </c>
      <c r="Z473" s="315" t="str">
        <f t="shared" ca="1" si="226"/>
        <v/>
      </c>
      <c r="AA473" s="316" t="str">
        <f t="shared" ca="1" si="227"/>
        <v/>
      </c>
      <c r="AC473" s="310" t="e">
        <f t="shared" ca="1" si="228"/>
        <v>#N/A</v>
      </c>
      <c r="AD473" s="323" t="e">
        <f t="shared" ca="1" si="229"/>
        <v>#N/A</v>
      </c>
      <c r="AE473" s="324" t="e">
        <f t="shared" ca="1" si="208"/>
        <v>#N/A</v>
      </c>
      <c r="AG473" s="306">
        <f t="shared" ca="1" si="230"/>
        <v>1.2775430054338042</v>
      </c>
      <c r="AH473" s="304">
        <f t="shared" ca="1" si="231"/>
        <v>-8.4959500133523065</v>
      </c>
    </row>
    <row r="474" spans="1:34" x14ac:dyDescent="0.2">
      <c r="A474" s="347">
        <f t="shared" ca="1" si="209"/>
        <v>1E-4</v>
      </c>
      <c r="B474" s="304">
        <f t="shared" ca="1" si="210"/>
        <v>29.208800000000128</v>
      </c>
      <c r="D474" s="306">
        <f t="shared" ca="1" si="211"/>
        <v>-0.73227383818623948</v>
      </c>
      <c r="E474" s="307">
        <f t="shared" ca="1" si="212"/>
        <v>-1.3456370565422056</v>
      </c>
      <c r="F474" s="304">
        <f t="shared" ca="1" si="213"/>
        <v>1.5319804378749677</v>
      </c>
      <c r="G474" s="306">
        <f t="shared" ca="1" si="214"/>
        <v>9.2338896277818865</v>
      </c>
      <c r="H474" s="307">
        <f t="shared" ca="1" si="215"/>
        <v>-106.7356328659841</v>
      </c>
      <c r="I474" s="304">
        <f t="shared" ca="1" si="216"/>
        <v>107.13430842153322</v>
      </c>
      <c r="J474" s="306">
        <f t="shared" ca="1" si="217"/>
        <v>746.86410190403069</v>
      </c>
      <c r="K474" s="307">
        <f t="shared" ca="1" si="218"/>
        <v>-3.1865179101005654</v>
      </c>
      <c r="L474" s="304">
        <f t="shared" ca="1" si="203"/>
        <v>746.87089955982731</v>
      </c>
      <c r="M474" s="306">
        <f t="shared" ca="1" si="219"/>
        <v>-1.4844994087595629</v>
      </c>
      <c r="N474" s="304">
        <f t="shared" ca="1" si="220"/>
        <v>-85.055550811588986</v>
      </c>
      <c r="P474" s="310">
        <f t="shared" ca="1" si="221"/>
        <v>23</v>
      </c>
      <c r="Q474" s="304">
        <f t="shared" ca="1" si="222"/>
        <v>0</v>
      </c>
      <c r="R474" s="306">
        <f t="shared" ca="1" si="223"/>
        <v>0</v>
      </c>
      <c r="S474" s="307">
        <f t="shared" ca="1" si="224"/>
        <v>5.083000000000002</v>
      </c>
      <c r="T474" s="304">
        <f t="shared" ca="1" si="204"/>
        <v>49.86423000000002</v>
      </c>
      <c r="U474" s="311">
        <f t="shared" ca="1" si="205"/>
        <v>0</v>
      </c>
      <c r="V474" s="306">
        <f t="shared" ca="1" si="206"/>
        <v>1.2253904106465132</v>
      </c>
      <c r="W474" s="304">
        <f t="shared" ca="1" si="207"/>
        <v>43.185212090774449</v>
      </c>
      <c r="Y474" s="314" t="str">
        <f t="shared" ca="1" si="225"/>
        <v/>
      </c>
      <c r="Z474" s="315" t="str">
        <f t="shared" ca="1" si="226"/>
        <v/>
      </c>
      <c r="AA474" s="316" t="str">
        <f t="shared" ca="1" si="227"/>
        <v/>
      </c>
      <c r="AC474" s="310" t="e">
        <f t="shared" ca="1" si="228"/>
        <v>#N/A</v>
      </c>
      <c r="AD474" s="323" t="e">
        <f t="shared" ca="1" si="229"/>
        <v>#N/A</v>
      </c>
      <c r="AE474" s="324" t="e">
        <f t="shared" ca="1" si="208"/>
        <v>#N/A</v>
      </c>
      <c r="AG474" s="306">
        <f t="shared" ca="1" si="230"/>
        <v>1.277514342167958</v>
      </c>
      <c r="AH474" s="304">
        <f t="shared" ca="1" si="231"/>
        <v>-8.4959793439410802</v>
      </c>
    </row>
    <row r="475" spans="1:34" x14ac:dyDescent="0.2">
      <c r="A475" s="347">
        <f t="shared" ca="1" si="209"/>
        <v>1E-4</v>
      </c>
      <c r="B475" s="304">
        <f t="shared" ca="1" si="210"/>
        <v>29.208900000000128</v>
      </c>
      <c r="D475" s="306">
        <f t="shared" ca="1" si="211"/>
        <v>-0.73226968587158681</v>
      </c>
      <c r="E475" s="307">
        <f t="shared" ca="1" si="212"/>
        <v>-1.3456072575394096</v>
      </c>
      <c r="F475" s="304">
        <f t="shared" ca="1" si="213"/>
        <v>1.5319522787571431</v>
      </c>
      <c r="G475" s="306">
        <f t="shared" ca="1" si="214"/>
        <v>9.2338164008132999</v>
      </c>
      <c r="H475" s="307">
        <f t="shared" ca="1" si="215"/>
        <v>-106.73576742670986</v>
      </c>
      <c r="I475" s="304">
        <f t="shared" ca="1" si="216"/>
        <v>107.13443617013451</v>
      </c>
      <c r="J475" s="306">
        <f t="shared" ca="1" si="217"/>
        <v>746.86410190403069</v>
      </c>
      <c r="K475" s="307">
        <f t="shared" ca="1" si="218"/>
        <v>-3.1971914801152002</v>
      </c>
      <c r="L475" s="304">
        <f t="shared" ca="1" si="203"/>
        <v>746.87094517478374</v>
      </c>
      <c r="M475" s="306">
        <f t="shared" ca="1" si="219"/>
        <v>-1.4845001979758292</v>
      </c>
      <c r="N475" s="304">
        <f t="shared" ca="1" si="220"/>
        <v>-85.055596030350173</v>
      </c>
      <c r="P475" s="310">
        <f t="shared" ca="1" si="221"/>
        <v>23</v>
      </c>
      <c r="Q475" s="304">
        <f t="shared" ca="1" si="222"/>
        <v>0</v>
      </c>
      <c r="R475" s="306">
        <f t="shared" ca="1" si="223"/>
        <v>0</v>
      </c>
      <c r="S475" s="307">
        <f t="shared" ca="1" si="224"/>
        <v>5.083000000000002</v>
      </c>
      <c r="T475" s="304">
        <f t="shared" ca="1" si="204"/>
        <v>49.86423000000002</v>
      </c>
      <c r="U475" s="311">
        <f t="shared" ca="1" si="205"/>
        <v>0</v>
      </c>
      <c r="V475" s="306">
        <f t="shared" ca="1" si="206"/>
        <v>1.2253917185762788</v>
      </c>
      <c r="W475" s="304">
        <f t="shared" ca="1" si="207"/>
        <v>43.185361174435599</v>
      </c>
      <c r="Y475" s="314" t="str">
        <f t="shared" ca="1" si="225"/>
        <v/>
      </c>
      <c r="Z475" s="315" t="str">
        <f t="shared" ca="1" si="226"/>
        <v/>
      </c>
      <c r="AA475" s="316" t="str">
        <f t="shared" ca="1" si="227"/>
        <v/>
      </c>
      <c r="AC475" s="310" t="e">
        <f t="shared" ca="1" si="228"/>
        <v>#N/A</v>
      </c>
      <c r="AD475" s="323" t="e">
        <f t="shared" ca="1" si="229"/>
        <v>#N/A</v>
      </c>
      <c r="AE475" s="324" t="e">
        <f t="shared" ca="1" si="208"/>
        <v>#N/A</v>
      </c>
      <c r="AG475" s="306">
        <f t="shared" ca="1" si="230"/>
        <v>1.2774856792552267</v>
      </c>
      <c r="AH475" s="304">
        <f t="shared" ca="1" si="231"/>
        <v>-8.4960086741637681</v>
      </c>
    </row>
    <row r="476" spans="1:34" x14ac:dyDescent="0.2">
      <c r="A476" s="347">
        <f t="shared" ca="1" si="209"/>
        <v>1E-4</v>
      </c>
      <c r="B476" s="304">
        <f t="shared" ca="1" si="210"/>
        <v>29.209000000000128</v>
      </c>
      <c r="D476" s="306">
        <f t="shared" ca="1" si="211"/>
        <v>-0.73226553354770751</v>
      </c>
      <c r="E476" s="307">
        <f t="shared" ca="1" si="212"/>
        <v>-1.3455774589085738</v>
      </c>
      <c r="F476" s="304">
        <f t="shared" ca="1" si="213"/>
        <v>1.5319241200349198</v>
      </c>
      <c r="G476" s="306">
        <f t="shared" ca="1" si="214"/>
        <v>9.2337431742599456</v>
      </c>
      <c r="H476" s="307">
        <f t="shared" ca="1" si="215"/>
        <v>-106.73590198445575</v>
      </c>
      <c r="I476" s="304">
        <f t="shared" ca="1" si="216"/>
        <v>107.13456391586955</v>
      </c>
      <c r="J476" s="306">
        <f t="shared" ca="1" si="217"/>
        <v>746.86410190403069</v>
      </c>
      <c r="K476" s="307">
        <f t="shared" ca="1" si="218"/>
        <v>-3.2078650635857584</v>
      </c>
      <c r="L476" s="304">
        <f t="shared" ca="1" si="203"/>
        <v>746.87099094233167</v>
      </c>
      <c r="M476" s="306">
        <f t="shared" ca="1" si="219"/>
        <v>-1.4845009871839545</v>
      </c>
      <c r="N476" s="304">
        <f t="shared" ca="1" si="220"/>
        <v>-85.055641248644903</v>
      </c>
      <c r="P476" s="310">
        <f t="shared" ca="1" si="221"/>
        <v>23</v>
      </c>
      <c r="Q476" s="304">
        <f t="shared" ca="1" si="222"/>
        <v>0</v>
      </c>
      <c r="R476" s="306">
        <f t="shared" ca="1" si="223"/>
        <v>0</v>
      </c>
      <c r="S476" s="307">
        <f t="shared" ca="1" si="224"/>
        <v>5.083000000000002</v>
      </c>
      <c r="T476" s="304">
        <f t="shared" ca="1" si="204"/>
        <v>49.86423000000002</v>
      </c>
      <c r="U476" s="311">
        <f t="shared" ca="1" si="205"/>
        <v>0</v>
      </c>
      <c r="V476" s="306">
        <f t="shared" ca="1" si="206"/>
        <v>1.2253930265090895</v>
      </c>
      <c r="W476" s="304">
        <f t="shared" ca="1" si="207"/>
        <v>43.185510256235972</v>
      </c>
      <c r="Y476" s="314" t="str">
        <f t="shared" ca="1" si="225"/>
        <v/>
      </c>
      <c r="Z476" s="315" t="str">
        <f t="shared" ca="1" si="226"/>
        <v/>
      </c>
      <c r="AA476" s="316" t="str">
        <f t="shared" ca="1" si="227"/>
        <v/>
      </c>
      <c r="AC476" s="310" t="e">
        <f t="shared" ca="1" si="228"/>
        <v>#N/A</v>
      </c>
      <c r="AD476" s="323" t="e">
        <f t="shared" ca="1" si="229"/>
        <v>#N/A</v>
      </c>
      <c r="AE476" s="324" t="e">
        <f t="shared" ca="1" si="208"/>
        <v>#N/A</v>
      </c>
      <c r="AG476" s="306">
        <f t="shared" ca="1" si="230"/>
        <v>1.2774570166956032</v>
      </c>
      <c r="AH476" s="304">
        <f t="shared" ca="1" si="231"/>
        <v>-8.4960380040203773</v>
      </c>
    </row>
    <row r="477" spans="1:34" x14ac:dyDescent="0.2">
      <c r="A477" s="347">
        <f t="shared" ca="1" si="209"/>
        <v>1E-4</v>
      </c>
      <c r="B477" s="304">
        <f t="shared" ca="1" si="210"/>
        <v>29.209100000000127</v>
      </c>
      <c r="D477" s="306">
        <f t="shared" ca="1" si="211"/>
        <v>-0.73226138121460715</v>
      </c>
      <c r="E477" s="307">
        <f t="shared" ca="1" si="212"/>
        <v>-1.3455476606496948</v>
      </c>
      <c r="F477" s="304">
        <f t="shared" ca="1" si="213"/>
        <v>1.5318959617082977</v>
      </c>
      <c r="G477" s="306">
        <f t="shared" ca="1" si="214"/>
        <v>9.2336699481218236</v>
      </c>
      <c r="H477" s="307">
        <f t="shared" ca="1" si="215"/>
        <v>-106.73603653922181</v>
      </c>
      <c r="I477" s="304">
        <f t="shared" ca="1" si="216"/>
        <v>107.13469165873836</v>
      </c>
      <c r="J477" s="306">
        <f t="shared" ca="1" si="217"/>
        <v>746.86410190403069</v>
      </c>
      <c r="K477" s="307">
        <f t="shared" ca="1" si="218"/>
        <v>-3.2185386605119422</v>
      </c>
      <c r="L477" s="304">
        <f t="shared" ca="1" si="203"/>
        <v>746.87103686247167</v>
      </c>
      <c r="M477" s="306">
        <f t="shared" ca="1" si="219"/>
        <v>-1.4845017763839392</v>
      </c>
      <c r="N477" s="304">
        <f t="shared" ca="1" si="220"/>
        <v>-85.055686466473219</v>
      </c>
      <c r="P477" s="310">
        <f t="shared" ca="1" si="221"/>
        <v>23</v>
      </c>
      <c r="Q477" s="304">
        <f t="shared" ca="1" si="222"/>
        <v>0</v>
      </c>
      <c r="R477" s="306">
        <f t="shared" ca="1" si="223"/>
        <v>0</v>
      </c>
      <c r="S477" s="307">
        <f t="shared" ca="1" si="224"/>
        <v>5.083000000000002</v>
      </c>
      <c r="T477" s="304">
        <f t="shared" ca="1" si="204"/>
        <v>49.86423000000002</v>
      </c>
      <c r="U477" s="311">
        <f t="shared" ca="1" si="205"/>
        <v>0</v>
      </c>
      <c r="V477" s="306">
        <f t="shared" ca="1" si="206"/>
        <v>1.2253943344449456</v>
      </c>
      <c r="W477" s="304">
        <f t="shared" ca="1" si="207"/>
        <v>43.18565933617559</v>
      </c>
      <c r="Y477" s="314" t="str">
        <f t="shared" ca="1" si="225"/>
        <v/>
      </c>
      <c r="Z477" s="315" t="str">
        <f t="shared" ca="1" si="226"/>
        <v/>
      </c>
      <c r="AA477" s="316" t="str">
        <f t="shared" ca="1" si="227"/>
        <v/>
      </c>
      <c r="AC477" s="310" t="e">
        <f t="shared" ca="1" si="228"/>
        <v>#N/A</v>
      </c>
      <c r="AD477" s="323" t="e">
        <f t="shared" ca="1" si="229"/>
        <v>#N/A</v>
      </c>
      <c r="AE477" s="324" t="e">
        <f t="shared" ca="1" si="208"/>
        <v>#N/A</v>
      </c>
      <c r="AG477" s="306">
        <f t="shared" ca="1" si="230"/>
        <v>1.2774283544890856</v>
      </c>
      <c r="AH477" s="304">
        <f t="shared" ca="1" si="231"/>
        <v>-8.4960673335109096</v>
      </c>
    </row>
    <row r="478" spans="1:34" x14ac:dyDescent="0.2">
      <c r="A478" s="347">
        <f t="shared" ca="1" si="209"/>
        <v>1E-4</v>
      </c>
      <c r="B478" s="304">
        <f t="shared" ca="1" si="210"/>
        <v>29.209200000000127</v>
      </c>
      <c r="D478" s="306">
        <f t="shared" ca="1" si="211"/>
        <v>-0.73225722887228362</v>
      </c>
      <c r="E478" s="307">
        <f t="shared" ca="1" si="212"/>
        <v>-1.3455178627627724</v>
      </c>
      <c r="F478" s="304">
        <f t="shared" ca="1" si="213"/>
        <v>1.5318678037772759</v>
      </c>
      <c r="G478" s="306">
        <f t="shared" ca="1" si="214"/>
        <v>9.2335967223989357</v>
      </c>
      <c r="H478" s="307">
        <f t="shared" ca="1" si="215"/>
        <v>-106.73617109100809</v>
      </c>
      <c r="I478" s="304">
        <f t="shared" ca="1" si="216"/>
        <v>107.13481939874099</v>
      </c>
      <c r="J478" s="306">
        <f t="shared" ca="1" si="217"/>
        <v>746.86410190403069</v>
      </c>
      <c r="K478" s="307">
        <f t="shared" ca="1" si="218"/>
        <v>-3.2292122708934539</v>
      </c>
      <c r="L478" s="304">
        <f t="shared" ca="1" si="203"/>
        <v>746.8710829352043</v>
      </c>
      <c r="M478" s="306">
        <f t="shared" ca="1" si="219"/>
        <v>-1.4845025655757833</v>
      </c>
      <c r="N478" s="304">
        <f t="shared" ca="1" si="220"/>
        <v>-85.055731683835106</v>
      </c>
      <c r="P478" s="310">
        <f t="shared" ca="1" si="221"/>
        <v>23</v>
      </c>
      <c r="Q478" s="304">
        <f t="shared" ca="1" si="222"/>
        <v>0</v>
      </c>
      <c r="R478" s="306">
        <f t="shared" ca="1" si="223"/>
        <v>0</v>
      </c>
      <c r="S478" s="307">
        <f t="shared" ca="1" si="224"/>
        <v>5.083000000000002</v>
      </c>
      <c r="T478" s="304">
        <f t="shared" ca="1" si="204"/>
        <v>49.86423000000002</v>
      </c>
      <c r="U478" s="311">
        <f t="shared" ca="1" si="205"/>
        <v>0</v>
      </c>
      <c r="V478" s="306">
        <f t="shared" ca="1" si="206"/>
        <v>1.2253956423838466</v>
      </c>
      <c r="W478" s="304">
        <f t="shared" ca="1" si="207"/>
        <v>43.185808414254446</v>
      </c>
      <c r="Y478" s="314" t="str">
        <f t="shared" ca="1" si="225"/>
        <v/>
      </c>
      <c r="Z478" s="315" t="str">
        <f t="shared" ca="1" si="226"/>
        <v/>
      </c>
      <c r="AA478" s="316" t="str">
        <f t="shared" ca="1" si="227"/>
        <v/>
      </c>
      <c r="AC478" s="310" t="e">
        <f t="shared" ca="1" si="228"/>
        <v>#N/A</v>
      </c>
      <c r="AD478" s="323" t="e">
        <f t="shared" ca="1" si="229"/>
        <v>#N/A</v>
      </c>
      <c r="AE478" s="324" t="e">
        <f t="shared" ca="1" si="208"/>
        <v>#N/A</v>
      </c>
      <c r="AG478" s="306">
        <f t="shared" ca="1" si="230"/>
        <v>1.2773996926356723</v>
      </c>
      <c r="AH478" s="304">
        <f t="shared" ca="1" si="231"/>
        <v>-8.4960966626353667</v>
      </c>
    </row>
    <row r="479" spans="1:34" x14ac:dyDescent="0.2">
      <c r="A479" s="347">
        <f t="shared" ca="1" si="209"/>
        <v>1E-4</v>
      </c>
      <c r="B479" s="304">
        <f t="shared" ca="1" si="210"/>
        <v>29.209300000000127</v>
      </c>
      <c r="D479" s="306">
        <f t="shared" ca="1" si="211"/>
        <v>-0.73225307652073868</v>
      </c>
      <c r="E479" s="307">
        <f t="shared" ca="1" si="212"/>
        <v>-1.345488065247805</v>
      </c>
      <c r="F479" s="304">
        <f t="shared" ca="1" si="213"/>
        <v>1.531839646241854</v>
      </c>
      <c r="G479" s="306">
        <f t="shared" ca="1" si="214"/>
        <v>9.2335234970912836</v>
      </c>
      <c r="H479" s="307">
        <f t="shared" ca="1" si="215"/>
        <v>-106.73630563981462</v>
      </c>
      <c r="I479" s="304">
        <f t="shared" ca="1" si="216"/>
        <v>107.13494713587747</v>
      </c>
      <c r="J479" s="306">
        <f t="shared" ca="1" si="217"/>
        <v>746.86410190403069</v>
      </c>
      <c r="K479" s="307">
        <f t="shared" ca="1" si="218"/>
        <v>-3.2398858947299951</v>
      </c>
      <c r="L479" s="304">
        <f t="shared" ca="1" si="203"/>
        <v>746.87112916053013</v>
      </c>
      <c r="M479" s="306">
        <f t="shared" ca="1" si="219"/>
        <v>-1.484503354759487</v>
      </c>
      <c r="N479" s="304">
        <f t="shared" ca="1" si="220"/>
        <v>-85.055776900730592</v>
      </c>
      <c r="P479" s="310">
        <f t="shared" ca="1" si="221"/>
        <v>23</v>
      </c>
      <c r="Q479" s="304">
        <f t="shared" ca="1" si="222"/>
        <v>0</v>
      </c>
      <c r="R479" s="306">
        <f t="shared" ca="1" si="223"/>
        <v>0</v>
      </c>
      <c r="S479" s="307">
        <f t="shared" ca="1" si="224"/>
        <v>5.083000000000002</v>
      </c>
      <c r="T479" s="304">
        <f t="shared" ca="1" si="204"/>
        <v>49.86423000000002</v>
      </c>
      <c r="U479" s="311">
        <f t="shared" ca="1" si="205"/>
        <v>0</v>
      </c>
      <c r="V479" s="306">
        <f t="shared" ca="1" si="206"/>
        <v>1.2253969503257927</v>
      </c>
      <c r="W479" s="304">
        <f t="shared" ca="1" si="207"/>
        <v>43.185957490472568</v>
      </c>
      <c r="Y479" s="314" t="str">
        <f t="shared" ca="1" si="225"/>
        <v/>
      </c>
      <c r="Z479" s="315" t="str">
        <f t="shared" ca="1" si="226"/>
        <v/>
      </c>
      <c r="AA479" s="316" t="str">
        <f t="shared" ca="1" si="227"/>
        <v/>
      </c>
      <c r="AC479" s="310" t="e">
        <f t="shared" ca="1" si="228"/>
        <v>#N/A</v>
      </c>
      <c r="AD479" s="323" t="e">
        <f t="shared" ca="1" si="229"/>
        <v>#N/A</v>
      </c>
      <c r="AE479" s="324" t="e">
        <f t="shared" ca="1" si="208"/>
        <v>#N/A</v>
      </c>
      <c r="AG479" s="306">
        <f t="shared" ca="1" si="230"/>
        <v>1.2773710311353632</v>
      </c>
      <c r="AH479" s="304">
        <f t="shared" ca="1" si="231"/>
        <v>-8.4961259913937504</v>
      </c>
    </row>
    <row r="480" spans="1:34" x14ac:dyDescent="0.2">
      <c r="A480" s="347">
        <f t="shared" ca="1" si="209"/>
        <v>1E-4</v>
      </c>
      <c r="B480" s="304">
        <f t="shared" ca="1" si="210"/>
        <v>29.209400000000127</v>
      </c>
      <c r="D480" s="306">
        <f t="shared" ca="1" si="211"/>
        <v>-0.73224892415997234</v>
      </c>
      <c r="E480" s="307">
        <f t="shared" ca="1" si="212"/>
        <v>-1.3454582681047906</v>
      </c>
      <c r="F480" s="304">
        <f t="shared" ca="1" si="213"/>
        <v>1.5318114891020305</v>
      </c>
      <c r="G480" s="306">
        <f t="shared" ca="1" si="214"/>
        <v>9.2334502721988674</v>
      </c>
      <c r="H480" s="307">
        <f t="shared" ca="1" si="215"/>
        <v>-106.73644018564143</v>
      </c>
      <c r="I480" s="304">
        <f t="shared" ca="1" si="216"/>
        <v>107.13507487014782</v>
      </c>
      <c r="J480" s="306">
        <f t="shared" ca="1" si="217"/>
        <v>746.86410190403069</v>
      </c>
      <c r="K480" s="307">
        <f t="shared" ca="1" si="218"/>
        <v>-3.2505595320212679</v>
      </c>
      <c r="L480" s="304">
        <f t="shared" ca="1" si="203"/>
        <v>746.87117553844962</v>
      </c>
      <c r="M480" s="306">
        <f t="shared" ca="1" si="219"/>
        <v>-1.4845041439350506</v>
      </c>
      <c r="N480" s="304">
        <f t="shared" ca="1" si="220"/>
        <v>-85.055822117159678</v>
      </c>
      <c r="P480" s="310">
        <f t="shared" ca="1" si="221"/>
        <v>23</v>
      </c>
      <c r="Q480" s="304">
        <f t="shared" ca="1" si="222"/>
        <v>0</v>
      </c>
      <c r="R480" s="306">
        <f t="shared" ca="1" si="223"/>
        <v>0</v>
      </c>
      <c r="S480" s="307">
        <f t="shared" ca="1" si="224"/>
        <v>5.083000000000002</v>
      </c>
      <c r="T480" s="304">
        <f t="shared" ca="1" si="204"/>
        <v>49.86423000000002</v>
      </c>
      <c r="U480" s="311">
        <f t="shared" ca="1" si="205"/>
        <v>0</v>
      </c>
      <c r="V480" s="306">
        <f t="shared" ca="1" si="206"/>
        <v>1.2253982582707836</v>
      </c>
      <c r="W480" s="304">
        <f t="shared" ca="1" si="207"/>
        <v>43.186106564829949</v>
      </c>
      <c r="Y480" s="314" t="str">
        <f t="shared" ca="1" si="225"/>
        <v/>
      </c>
      <c r="Z480" s="315" t="str">
        <f t="shared" ca="1" si="226"/>
        <v/>
      </c>
      <c r="AA480" s="316" t="str">
        <f t="shared" ca="1" si="227"/>
        <v/>
      </c>
      <c r="AC480" s="310" t="e">
        <f t="shared" ca="1" si="228"/>
        <v>#N/A</v>
      </c>
      <c r="AD480" s="323" t="e">
        <f t="shared" ca="1" si="229"/>
        <v>#N/A</v>
      </c>
      <c r="AE480" s="324" t="e">
        <f t="shared" ca="1" si="208"/>
        <v>#N/A</v>
      </c>
      <c r="AG480" s="306">
        <f t="shared" ca="1" si="230"/>
        <v>1.2773423699881565</v>
      </c>
      <c r="AH480" s="304">
        <f t="shared" ca="1" si="231"/>
        <v>-8.4961553197860624</v>
      </c>
    </row>
    <row r="481" spans="1:34" x14ac:dyDescent="0.2">
      <c r="A481" s="347">
        <f t="shared" ca="1" si="209"/>
        <v>1E-4</v>
      </c>
      <c r="B481" s="304">
        <f t="shared" ca="1" si="210"/>
        <v>29.209500000000126</v>
      </c>
      <c r="D481" s="306">
        <f t="shared" ca="1" si="211"/>
        <v>-0.73224477178998426</v>
      </c>
      <c r="E481" s="307">
        <f t="shared" ca="1" si="212"/>
        <v>-1.3454284713337259</v>
      </c>
      <c r="F481" s="304">
        <f t="shared" ca="1" si="213"/>
        <v>1.5317833323578021</v>
      </c>
      <c r="G481" s="306">
        <f t="shared" ca="1" si="214"/>
        <v>9.2333770477216888</v>
      </c>
      <c r="H481" s="307">
        <f t="shared" ca="1" si="215"/>
        <v>-106.73657472848856</v>
      </c>
      <c r="I481" s="304">
        <f t="shared" ca="1" si="216"/>
        <v>107.13520260155211</v>
      </c>
      <c r="J481" s="306">
        <f t="shared" ca="1" si="217"/>
        <v>746.86410190403069</v>
      </c>
      <c r="K481" s="307">
        <f t="shared" ca="1" si="218"/>
        <v>-3.2612331827669743</v>
      </c>
      <c r="L481" s="304">
        <f t="shared" ca="1" si="203"/>
        <v>746.87122206896333</v>
      </c>
      <c r="M481" s="306">
        <f t="shared" ca="1" si="219"/>
        <v>-1.4845049331024738</v>
      </c>
      <c r="N481" s="304">
        <f t="shared" ca="1" si="220"/>
        <v>-85.055867333122364</v>
      </c>
      <c r="P481" s="310">
        <f t="shared" ca="1" si="221"/>
        <v>23</v>
      </c>
      <c r="Q481" s="304">
        <f t="shared" ca="1" si="222"/>
        <v>0</v>
      </c>
      <c r="R481" s="306">
        <f t="shared" ca="1" si="223"/>
        <v>0</v>
      </c>
      <c r="S481" s="307">
        <f t="shared" ca="1" si="224"/>
        <v>5.083000000000002</v>
      </c>
      <c r="T481" s="304">
        <f t="shared" ca="1" si="204"/>
        <v>49.86423000000002</v>
      </c>
      <c r="U481" s="311">
        <f t="shared" ca="1" si="205"/>
        <v>0</v>
      </c>
      <c r="V481" s="306">
        <f t="shared" ca="1" si="206"/>
        <v>1.2253995662188195</v>
      </c>
      <c r="W481" s="304">
        <f t="shared" ca="1" si="207"/>
        <v>43.186255637326646</v>
      </c>
      <c r="Y481" s="314" t="str">
        <f t="shared" ca="1" si="225"/>
        <v/>
      </c>
      <c r="Z481" s="315" t="str">
        <f t="shared" ca="1" si="226"/>
        <v/>
      </c>
      <c r="AA481" s="316" t="str">
        <f t="shared" ca="1" si="227"/>
        <v/>
      </c>
      <c r="AC481" s="310" t="e">
        <f t="shared" ca="1" si="228"/>
        <v>#N/A</v>
      </c>
      <c r="AD481" s="323" t="e">
        <f t="shared" ca="1" si="229"/>
        <v>#N/A</v>
      </c>
      <c r="AE481" s="324" t="e">
        <f t="shared" ca="1" si="208"/>
        <v>#N/A</v>
      </c>
      <c r="AG481" s="306">
        <f t="shared" ca="1" si="230"/>
        <v>1.2773137091940505</v>
      </c>
      <c r="AH481" s="304">
        <f t="shared" ca="1" si="231"/>
        <v>-8.4961846478123029</v>
      </c>
    </row>
    <row r="482" spans="1:34" x14ac:dyDescent="0.2">
      <c r="A482" s="347">
        <f t="shared" ca="1" si="209"/>
        <v>1E-4</v>
      </c>
      <c r="B482" s="304">
        <f t="shared" ca="1" si="210"/>
        <v>29.209600000000126</v>
      </c>
      <c r="D482" s="306">
        <f t="shared" ca="1" si="211"/>
        <v>-0.73224061941077867</v>
      </c>
      <c r="E482" s="307">
        <f t="shared" ca="1" si="212"/>
        <v>-1.3453986749346054</v>
      </c>
      <c r="F482" s="304">
        <f t="shared" ca="1" si="213"/>
        <v>1.5317551760091666</v>
      </c>
      <c r="G482" s="306">
        <f t="shared" ca="1" si="214"/>
        <v>9.2333038236597478</v>
      </c>
      <c r="H482" s="307">
        <f t="shared" ca="1" si="215"/>
        <v>-106.73670926835605</v>
      </c>
      <c r="I482" s="304">
        <f t="shared" ca="1" si="216"/>
        <v>107.13533033009034</v>
      </c>
      <c r="J482" s="306">
        <f t="shared" ca="1" si="217"/>
        <v>746.86410190403069</v>
      </c>
      <c r="K482" s="307">
        <f t="shared" ca="1" si="218"/>
        <v>-3.2719068469668167</v>
      </c>
      <c r="L482" s="304">
        <f t="shared" ca="1" si="203"/>
        <v>746.87126875207184</v>
      </c>
      <c r="M482" s="306">
        <f t="shared" ca="1" si="219"/>
        <v>-1.4845057222617568</v>
      </c>
      <c r="N482" s="304">
        <f t="shared" ca="1" si="220"/>
        <v>-85.055912548618636</v>
      </c>
      <c r="P482" s="310">
        <f t="shared" ca="1" si="221"/>
        <v>23</v>
      </c>
      <c r="Q482" s="304">
        <f t="shared" ca="1" si="222"/>
        <v>0</v>
      </c>
      <c r="R482" s="306">
        <f t="shared" ca="1" si="223"/>
        <v>0</v>
      </c>
      <c r="S482" s="307">
        <f t="shared" ca="1" si="224"/>
        <v>5.083000000000002</v>
      </c>
      <c r="T482" s="304">
        <f t="shared" ca="1" si="204"/>
        <v>49.86423000000002</v>
      </c>
      <c r="U482" s="311">
        <f t="shared" ca="1" si="205"/>
        <v>0</v>
      </c>
      <c r="V482" s="306">
        <f t="shared" ca="1" si="206"/>
        <v>1.2254008741699007</v>
      </c>
      <c r="W482" s="304">
        <f t="shared" ca="1" si="207"/>
        <v>43.186404707962637</v>
      </c>
      <c r="Y482" s="314" t="str">
        <f t="shared" ca="1" si="225"/>
        <v/>
      </c>
      <c r="Z482" s="315" t="str">
        <f t="shared" ca="1" si="226"/>
        <v/>
      </c>
      <c r="AA482" s="316" t="str">
        <f t="shared" ca="1" si="227"/>
        <v/>
      </c>
      <c r="AC482" s="310" t="e">
        <f t="shared" ca="1" si="228"/>
        <v>#N/A</v>
      </c>
      <c r="AD482" s="323" t="e">
        <f t="shared" ca="1" si="229"/>
        <v>#N/A</v>
      </c>
      <c r="AE482" s="324" t="e">
        <f t="shared" ca="1" si="208"/>
        <v>#N/A</v>
      </c>
      <c r="AG482" s="306">
        <f t="shared" ca="1" si="230"/>
        <v>1.2772850487530381</v>
      </c>
      <c r="AH482" s="304">
        <f t="shared" ca="1" si="231"/>
        <v>-8.4962139754724824</v>
      </c>
    </row>
    <row r="483" spans="1:34" x14ac:dyDescent="0.2">
      <c r="A483" s="347">
        <f t="shared" ca="1" si="209"/>
        <v>1E-4</v>
      </c>
      <c r="B483" s="304">
        <f t="shared" ca="1" si="210"/>
        <v>29.209700000000126</v>
      </c>
      <c r="D483" s="306">
        <f t="shared" ca="1" si="211"/>
        <v>-0.73223646702235523</v>
      </c>
      <c r="E483" s="307">
        <f t="shared" ca="1" si="212"/>
        <v>-1.3453688789074274</v>
      </c>
      <c r="F483" s="304">
        <f t="shared" ca="1" si="213"/>
        <v>1.5317270200561224</v>
      </c>
      <c r="G483" s="306">
        <f t="shared" ca="1" si="214"/>
        <v>9.2332306000130462</v>
      </c>
      <c r="H483" s="307">
        <f t="shared" ca="1" si="215"/>
        <v>-106.73684380524394</v>
      </c>
      <c r="I483" s="304">
        <f t="shared" ca="1" si="216"/>
        <v>107.13545805576256</v>
      </c>
      <c r="J483" s="306">
        <f t="shared" ca="1" si="217"/>
        <v>746.86410190403069</v>
      </c>
      <c r="K483" s="307">
        <f t="shared" ca="1" si="218"/>
        <v>-3.2825805246204967</v>
      </c>
      <c r="L483" s="304">
        <f t="shared" ca="1" si="203"/>
        <v>746.87131558777571</v>
      </c>
      <c r="M483" s="306">
        <f t="shared" ca="1" si="219"/>
        <v>-1.4845065114128999</v>
      </c>
      <c r="N483" s="304">
        <f t="shared" ca="1" si="220"/>
        <v>-85.055957763648536</v>
      </c>
      <c r="P483" s="310">
        <f t="shared" ca="1" si="221"/>
        <v>23</v>
      </c>
      <c r="Q483" s="304">
        <f t="shared" ca="1" si="222"/>
        <v>0</v>
      </c>
      <c r="R483" s="306">
        <f t="shared" ca="1" si="223"/>
        <v>0</v>
      </c>
      <c r="S483" s="307">
        <f t="shared" ca="1" si="224"/>
        <v>5.083000000000002</v>
      </c>
      <c r="T483" s="304">
        <f t="shared" ca="1" si="204"/>
        <v>49.86423000000002</v>
      </c>
      <c r="U483" s="311">
        <f t="shared" ca="1" si="205"/>
        <v>0</v>
      </c>
      <c r="V483" s="306">
        <f t="shared" ca="1" si="206"/>
        <v>1.2254021821240266</v>
      </c>
      <c r="W483" s="304">
        <f t="shared" ca="1" si="207"/>
        <v>43.186553776737931</v>
      </c>
      <c r="Y483" s="314" t="str">
        <f t="shared" ca="1" si="225"/>
        <v/>
      </c>
      <c r="Z483" s="315" t="str">
        <f t="shared" ca="1" si="226"/>
        <v/>
      </c>
      <c r="AA483" s="316" t="str">
        <f t="shared" ca="1" si="227"/>
        <v/>
      </c>
      <c r="AC483" s="310" t="e">
        <f t="shared" ca="1" si="228"/>
        <v>#N/A</v>
      </c>
      <c r="AD483" s="323" t="e">
        <f t="shared" ca="1" si="229"/>
        <v>#N/A</v>
      </c>
      <c r="AE483" s="324" t="e">
        <f t="shared" ca="1" si="208"/>
        <v>#N/A</v>
      </c>
      <c r="AG483" s="306">
        <f t="shared" ca="1" si="230"/>
        <v>1.2772563886651174</v>
      </c>
      <c r="AH483" s="304">
        <f t="shared" ca="1" si="231"/>
        <v>-8.4962433027665991</v>
      </c>
    </row>
    <row r="484" spans="1:34" x14ac:dyDescent="0.2">
      <c r="A484" s="347">
        <f t="shared" ca="1" si="209"/>
        <v>1E-4</v>
      </c>
      <c r="B484" s="304">
        <f t="shared" ca="1" si="210"/>
        <v>29.209800000000126</v>
      </c>
      <c r="D484" s="306">
        <f t="shared" ca="1" si="211"/>
        <v>-0.7322323146247135</v>
      </c>
      <c r="E484" s="307">
        <f t="shared" ca="1" si="212"/>
        <v>-1.3453390832521954</v>
      </c>
      <c r="F484" s="304">
        <f t="shared" ca="1" si="213"/>
        <v>1.5316988644986727</v>
      </c>
      <c r="G484" s="306">
        <f t="shared" ca="1" si="214"/>
        <v>9.233157376781584</v>
      </c>
      <c r="H484" s="307">
        <f t="shared" ca="1" si="215"/>
        <v>-106.73697833915226</v>
      </c>
      <c r="I484" s="304">
        <f t="shared" ca="1" si="216"/>
        <v>107.13558577856881</v>
      </c>
      <c r="J484" s="306">
        <f t="shared" ca="1" si="217"/>
        <v>746.86410190403069</v>
      </c>
      <c r="K484" s="307">
        <f t="shared" ca="1" si="218"/>
        <v>-3.2932542157277163</v>
      </c>
      <c r="L484" s="304">
        <f t="shared" ca="1" si="203"/>
        <v>746.87136257607563</v>
      </c>
      <c r="M484" s="306">
        <f t="shared" ca="1" si="219"/>
        <v>-1.4845073005559031</v>
      </c>
      <c r="N484" s="304">
        <f t="shared" ca="1" si="220"/>
        <v>-85.056002978212049</v>
      </c>
      <c r="P484" s="310">
        <f t="shared" ca="1" si="221"/>
        <v>23</v>
      </c>
      <c r="Q484" s="304">
        <f t="shared" ca="1" si="222"/>
        <v>0</v>
      </c>
      <c r="R484" s="306">
        <f t="shared" ca="1" si="223"/>
        <v>0</v>
      </c>
      <c r="S484" s="307">
        <f t="shared" ca="1" si="224"/>
        <v>5.083000000000002</v>
      </c>
      <c r="T484" s="304">
        <f t="shared" ca="1" si="204"/>
        <v>49.86423000000002</v>
      </c>
      <c r="U484" s="311">
        <f t="shared" ca="1" si="205"/>
        <v>0</v>
      </c>
      <c r="V484" s="306">
        <f t="shared" ca="1" si="206"/>
        <v>1.2254034900811974</v>
      </c>
      <c r="W484" s="304">
        <f t="shared" ca="1" si="207"/>
        <v>43.186702843652562</v>
      </c>
      <c r="Y484" s="314" t="str">
        <f t="shared" ca="1" si="225"/>
        <v/>
      </c>
      <c r="Z484" s="315" t="str">
        <f t="shared" ca="1" si="226"/>
        <v/>
      </c>
      <c r="AA484" s="316" t="str">
        <f t="shared" ca="1" si="227"/>
        <v/>
      </c>
      <c r="AC484" s="310" t="e">
        <f t="shared" ca="1" si="228"/>
        <v>#N/A</v>
      </c>
      <c r="AD484" s="323" t="e">
        <f t="shared" ca="1" si="229"/>
        <v>#N/A</v>
      </c>
      <c r="AE484" s="324" t="e">
        <f t="shared" ca="1" si="208"/>
        <v>#N/A</v>
      </c>
      <c r="AG484" s="306">
        <f t="shared" ca="1" si="230"/>
        <v>1.277227728930292</v>
      </c>
      <c r="AH484" s="304">
        <f t="shared" ca="1" si="231"/>
        <v>-8.4962726296946514</v>
      </c>
    </row>
    <row r="485" spans="1:34" x14ac:dyDescent="0.2">
      <c r="A485" s="347">
        <f t="shared" ca="1" si="209"/>
        <v>1E-4</v>
      </c>
      <c r="B485" s="304">
        <f t="shared" ca="1" si="210"/>
        <v>29.209900000000125</v>
      </c>
      <c r="D485" s="306">
        <f t="shared" ca="1" si="211"/>
        <v>-0.73222816221785592</v>
      </c>
      <c r="E485" s="307">
        <f t="shared" ca="1" si="212"/>
        <v>-1.3453092879688988</v>
      </c>
      <c r="F485" s="304">
        <f t="shared" ca="1" si="213"/>
        <v>1.5316707093368092</v>
      </c>
      <c r="G485" s="306">
        <f t="shared" ca="1" si="214"/>
        <v>9.233084153965363</v>
      </c>
      <c r="H485" s="307">
        <f t="shared" ca="1" si="215"/>
        <v>-106.73711287008105</v>
      </c>
      <c r="I485" s="304">
        <f t="shared" ca="1" si="216"/>
        <v>107.13571349850912</v>
      </c>
      <c r="J485" s="306">
        <f t="shared" ca="1" si="217"/>
        <v>746.86410190403069</v>
      </c>
      <c r="K485" s="307">
        <f t="shared" ca="1" si="218"/>
        <v>-3.3039279202881779</v>
      </c>
      <c r="L485" s="304">
        <f t="shared" ca="1" si="203"/>
        <v>746.87140971697181</v>
      </c>
      <c r="M485" s="306">
        <f t="shared" ca="1" si="219"/>
        <v>-1.4845080896907665</v>
      </c>
      <c r="N485" s="304">
        <f t="shared" ca="1" si="220"/>
        <v>-85.056048192309191</v>
      </c>
      <c r="P485" s="310">
        <f t="shared" ca="1" si="221"/>
        <v>23</v>
      </c>
      <c r="Q485" s="304">
        <f t="shared" ca="1" si="222"/>
        <v>0</v>
      </c>
      <c r="R485" s="306">
        <f t="shared" ca="1" si="223"/>
        <v>0</v>
      </c>
      <c r="S485" s="307">
        <f t="shared" ca="1" si="224"/>
        <v>5.083000000000002</v>
      </c>
      <c r="T485" s="304">
        <f t="shared" ca="1" si="204"/>
        <v>49.86423000000002</v>
      </c>
      <c r="U485" s="311">
        <f t="shared" ca="1" si="205"/>
        <v>0</v>
      </c>
      <c r="V485" s="306">
        <f t="shared" ca="1" si="206"/>
        <v>1.2254047980414131</v>
      </c>
      <c r="W485" s="304">
        <f t="shared" ca="1" si="207"/>
        <v>43.186851908706522</v>
      </c>
      <c r="Y485" s="314" t="str">
        <f t="shared" ca="1" si="225"/>
        <v/>
      </c>
      <c r="Z485" s="315" t="str">
        <f t="shared" ca="1" si="226"/>
        <v/>
      </c>
      <c r="AA485" s="316" t="str">
        <f t="shared" ca="1" si="227"/>
        <v/>
      </c>
      <c r="AC485" s="310" t="e">
        <f t="shared" ca="1" si="228"/>
        <v>#N/A</v>
      </c>
      <c r="AD485" s="323" t="e">
        <f t="shared" ca="1" si="229"/>
        <v>#N/A</v>
      </c>
      <c r="AE485" s="324" t="e">
        <f t="shared" ca="1" si="208"/>
        <v>#N/A</v>
      </c>
      <c r="AG485" s="306">
        <f t="shared" ca="1" si="230"/>
        <v>1.2771990695485567</v>
      </c>
      <c r="AH485" s="304">
        <f t="shared" ca="1" si="231"/>
        <v>-8.496301956256648</v>
      </c>
    </row>
    <row r="486" spans="1:34" x14ac:dyDescent="0.2">
      <c r="A486" s="347">
        <f t="shared" ca="1" si="209"/>
        <v>1E-4</v>
      </c>
      <c r="B486" s="304">
        <f t="shared" ca="1" si="210"/>
        <v>29.210000000000125</v>
      </c>
      <c r="D486" s="306">
        <f t="shared" ca="1" si="211"/>
        <v>-0.73222400980178204</v>
      </c>
      <c r="E486" s="307">
        <f t="shared" ca="1" si="212"/>
        <v>-1.3452794930575394</v>
      </c>
      <c r="F486" s="304">
        <f t="shared" ca="1" si="213"/>
        <v>1.5316425545705337</v>
      </c>
      <c r="G486" s="306">
        <f t="shared" ca="1" si="214"/>
        <v>9.2330109315643831</v>
      </c>
      <c r="H486" s="307">
        <f t="shared" ca="1" si="215"/>
        <v>-106.73724739803035</v>
      </c>
      <c r="I486" s="304">
        <f t="shared" ca="1" si="216"/>
        <v>107.13584121558353</v>
      </c>
      <c r="J486" s="306">
        <f t="shared" ca="1" si="217"/>
        <v>746.86410190403069</v>
      </c>
      <c r="K486" s="307">
        <f t="shared" ca="1" si="218"/>
        <v>-3.3146016383015837</v>
      </c>
      <c r="L486" s="304">
        <f t="shared" ca="1" si="203"/>
        <v>746.87145701046506</v>
      </c>
      <c r="M486" s="306">
        <f t="shared" ca="1" si="219"/>
        <v>-1.4845088788174905</v>
      </c>
      <c r="N486" s="304">
        <f t="shared" ca="1" si="220"/>
        <v>-85.056093405939976</v>
      </c>
      <c r="P486" s="310">
        <f t="shared" ca="1" si="221"/>
        <v>23</v>
      </c>
      <c r="Q486" s="304">
        <f t="shared" ca="1" si="222"/>
        <v>0</v>
      </c>
      <c r="R486" s="306">
        <f t="shared" ca="1" si="223"/>
        <v>0</v>
      </c>
      <c r="S486" s="307">
        <f t="shared" ca="1" si="224"/>
        <v>5.083000000000002</v>
      </c>
      <c r="T486" s="304">
        <f t="shared" ca="1" si="204"/>
        <v>49.86423000000002</v>
      </c>
      <c r="U486" s="311">
        <f t="shared" ca="1" si="205"/>
        <v>0</v>
      </c>
      <c r="V486" s="306">
        <f t="shared" ca="1" si="206"/>
        <v>1.2254061060046733</v>
      </c>
      <c r="W486" s="304">
        <f t="shared" ca="1" si="207"/>
        <v>43.187000971899828</v>
      </c>
      <c r="Y486" s="314" t="str">
        <f t="shared" ca="1" si="225"/>
        <v/>
      </c>
      <c r="Z486" s="315" t="str">
        <f t="shared" ca="1" si="226"/>
        <v/>
      </c>
      <c r="AA486" s="316" t="str">
        <f t="shared" ca="1" si="227"/>
        <v/>
      </c>
      <c r="AC486" s="310" t="e">
        <f t="shared" ca="1" si="228"/>
        <v>#N/A</v>
      </c>
      <c r="AD486" s="323" t="e">
        <f t="shared" ca="1" si="229"/>
        <v>#N/A</v>
      </c>
      <c r="AE486" s="324" t="e">
        <f t="shared" ca="1" si="208"/>
        <v>#N/A</v>
      </c>
      <c r="AG486" s="306">
        <f t="shared" ca="1" si="230"/>
        <v>1.277170410519906</v>
      </c>
      <c r="AH486" s="304">
        <f t="shared" ca="1" si="231"/>
        <v>-8.496331282452589</v>
      </c>
    </row>
    <row r="487" spans="1:34" x14ac:dyDescent="0.2">
      <c r="A487" s="347">
        <f t="shared" ca="1" si="209"/>
        <v>1E-4</v>
      </c>
      <c r="B487" s="304">
        <f t="shared" ca="1" si="210"/>
        <v>29.210100000000125</v>
      </c>
      <c r="D487" s="306">
        <f t="shared" ca="1" si="211"/>
        <v>-0.73221985737649165</v>
      </c>
      <c r="E487" s="307">
        <f t="shared" ca="1" si="212"/>
        <v>-1.345249698518117</v>
      </c>
      <c r="F487" s="304">
        <f t="shared" ca="1" si="213"/>
        <v>1.5316144001998462</v>
      </c>
      <c r="G487" s="306">
        <f t="shared" ca="1" si="214"/>
        <v>9.2329377095786462</v>
      </c>
      <c r="H487" s="307">
        <f t="shared" ca="1" si="215"/>
        <v>-106.7373819230002</v>
      </c>
      <c r="I487" s="304">
        <f t="shared" ca="1" si="216"/>
        <v>107.13596892979206</v>
      </c>
      <c r="J487" s="306">
        <f t="shared" ca="1" si="217"/>
        <v>746.86410190403069</v>
      </c>
      <c r="K487" s="307">
        <f t="shared" ca="1" si="218"/>
        <v>-3.3252753697676352</v>
      </c>
      <c r="L487" s="304">
        <f t="shared" ca="1" si="203"/>
        <v>746.87150445655584</v>
      </c>
      <c r="M487" s="306">
        <f t="shared" ca="1" si="219"/>
        <v>-1.4845096679360748</v>
      </c>
      <c r="N487" s="304">
        <f t="shared" ca="1" si="220"/>
        <v>-85.056138619104388</v>
      </c>
      <c r="P487" s="310">
        <f t="shared" ca="1" si="221"/>
        <v>23</v>
      </c>
      <c r="Q487" s="304">
        <f t="shared" ca="1" si="222"/>
        <v>0</v>
      </c>
      <c r="R487" s="306">
        <f t="shared" ca="1" si="223"/>
        <v>0</v>
      </c>
      <c r="S487" s="307">
        <f t="shared" ca="1" si="224"/>
        <v>5.083000000000002</v>
      </c>
      <c r="T487" s="304">
        <f t="shared" ca="1" si="204"/>
        <v>49.86423000000002</v>
      </c>
      <c r="U487" s="311">
        <f t="shared" ca="1" si="205"/>
        <v>0</v>
      </c>
      <c r="V487" s="306">
        <f t="shared" ca="1" si="206"/>
        <v>1.2254074139709787</v>
      </c>
      <c r="W487" s="304">
        <f t="shared" ca="1" si="207"/>
        <v>43.187150033232513</v>
      </c>
      <c r="Y487" s="314" t="str">
        <f t="shared" ca="1" si="225"/>
        <v/>
      </c>
      <c r="Z487" s="315" t="str">
        <f t="shared" ca="1" si="226"/>
        <v/>
      </c>
      <c r="AA487" s="316" t="str">
        <f t="shared" ca="1" si="227"/>
        <v/>
      </c>
      <c r="AC487" s="310" t="e">
        <f t="shared" ca="1" si="228"/>
        <v>#N/A</v>
      </c>
      <c r="AD487" s="323" t="e">
        <f t="shared" ca="1" si="229"/>
        <v>#N/A</v>
      </c>
      <c r="AE487" s="324" t="e">
        <f t="shared" ca="1" si="208"/>
        <v>#N/A</v>
      </c>
      <c r="AG487" s="306">
        <f t="shared" ca="1" si="230"/>
        <v>1.2771417518443471</v>
      </c>
      <c r="AH487" s="304">
        <f t="shared" ca="1" si="231"/>
        <v>-8.4963606082824725</v>
      </c>
    </row>
    <row r="488" spans="1:34" x14ac:dyDescent="0.2">
      <c r="A488" s="347">
        <f t="shared" ca="1" si="209"/>
        <v>1E-4</v>
      </c>
      <c r="B488" s="304">
        <f t="shared" ca="1" si="210"/>
        <v>29.210200000000125</v>
      </c>
      <c r="D488" s="306">
        <f t="shared" ca="1" si="211"/>
        <v>-0.73221570494198895</v>
      </c>
      <c r="E488" s="307">
        <f t="shared" ca="1" si="212"/>
        <v>-1.3452199043506194</v>
      </c>
      <c r="F488" s="304">
        <f t="shared" ca="1" si="213"/>
        <v>1.5315862462247378</v>
      </c>
      <c r="G488" s="306">
        <f t="shared" ca="1" si="214"/>
        <v>9.2328644880081523</v>
      </c>
      <c r="H488" s="307">
        <f t="shared" ca="1" si="215"/>
        <v>-106.73751644499063</v>
      </c>
      <c r="I488" s="304">
        <f t="shared" ca="1" si="216"/>
        <v>107.13609664113477</v>
      </c>
      <c r="J488" s="306">
        <f t="shared" ca="1" si="217"/>
        <v>746.86410190403069</v>
      </c>
      <c r="K488" s="307">
        <f t="shared" ca="1" si="218"/>
        <v>-3.3359491146860347</v>
      </c>
      <c r="L488" s="304">
        <f t="shared" ca="1" si="203"/>
        <v>746.87155205524471</v>
      </c>
      <c r="M488" s="306">
        <f t="shared" ca="1" si="219"/>
        <v>-1.4845104570465197</v>
      </c>
      <c r="N488" s="304">
        <f t="shared" ca="1" si="220"/>
        <v>-85.056183831802457</v>
      </c>
      <c r="P488" s="310">
        <f t="shared" ca="1" si="221"/>
        <v>23</v>
      </c>
      <c r="Q488" s="304">
        <f t="shared" ca="1" si="222"/>
        <v>0</v>
      </c>
      <c r="R488" s="306">
        <f t="shared" ca="1" si="223"/>
        <v>0</v>
      </c>
      <c r="S488" s="307">
        <f t="shared" ca="1" si="224"/>
        <v>5.083000000000002</v>
      </c>
      <c r="T488" s="304">
        <f t="shared" ca="1" si="204"/>
        <v>49.86423000000002</v>
      </c>
      <c r="U488" s="311">
        <f t="shared" ca="1" si="205"/>
        <v>0</v>
      </c>
      <c r="V488" s="306">
        <f t="shared" ca="1" si="206"/>
        <v>1.2254087219403291</v>
      </c>
      <c r="W488" s="304">
        <f t="shared" ca="1" si="207"/>
        <v>43.187299092704592</v>
      </c>
      <c r="Y488" s="314" t="str">
        <f t="shared" ca="1" si="225"/>
        <v/>
      </c>
      <c r="Z488" s="315" t="str">
        <f t="shared" ca="1" si="226"/>
        <v/>
      </c>
      <c r="AA488" s="316" t="str">
        <f t="shared" ca="1" si="227"/>
        <v/>
      </c>
      <c r="AC488" s="310" t="e">
        <f t="shared" ca="1" si="228"/>
        <v>#N/A</v>
      </c>
      <c r="AD488" s="323" t="e">
        <f t="shared" ca="1" si="229"/>
        <v>#N/A</v>
      </c>
      <c r="AE488" s="324" t="e">
        <f t="shared" ca="1" si="208"/>
        <v>#N/A</v>
      </c>
      <c r="AG488" s="306">
        <f t="shared" ca="1" si="230"/>
        <v>1.2771130935218657</v>
      </c>
      <c r="AH488" s="304">
        <f t="shared" ca="1" si="231"/>
        <v>-8.4963899337463111</v>
      </c>
    </row>
    <row r="489" spans="1:34" x14ac:dyDescent="0.2">
      <c r="A489" s="347">
        <f t="shared" ca="1" si="209"/>
        <v>1E-4</v>
      </c>
      <c r="B489" s="304">
        <f t="shared" ca="1" si="210"/>
        <v>29.210300000000124</v>
      </c>
      <c r="D489" s="306">
        <f t="shared" ca="1" si="211"/>
        <v>-0.73221155249827186</v>
      </c>
      <c r="E489" s="307">
        <f t="shared" ca="1" si="212"/>
        <v>-1.3451901105550483</v>
      </c>
      <c r="F489" s="304">
        <f t="shared" ca="1" si="213"/>
        <v>1.5315580926452097</v>
      </c>
      <c r="G489" s="306">
        <f t="shared" ca="1" si="214"/>
        <v>9.2327912668529031</v>
      </c>
      <c r="H489" s="307">
        <f t="shared" ca="1" si="215"/>
        <v>-106.73765096400169</v>
      </c>
      <c r="I489" s="304">
        <f t="shared" ca="1" si="216"/>
        <v>107.13622434961168</v>
      </c>
      <c r="J489" s="306">
        <f t="shared" ca="1" si="217"/>
        <v>746.86410190403069</v>
      </c>
      <c r="K489" s="307">
        <f t="shared" ca="1" si="218"/>
        <v>-3.3466228730564844</v>
      </c>
      <c r="L489" s="304">
        <f t="shared" ca="1" si="203"/>
        <v>746.87159980653223</v>
      </c>
      <c r="M489" s="306">
        <f t="shared" ca="1" si="219"/>
        <v>-1.4845112461488252</v>
      </c>
      <c r="N489" s="304">
        <f t="shared" ca="1" si="220"/>
        <v>-85.056229044034168</v>
      </c>
      <c r="P489" s="310">
        <f t="shared" ca="1" si="221"/>
        <v>23</v>
      </c>
      <c r="Q489" s="304">
        <f t="shared" ca="1" si="222"/>
        <v>0</v>
      </c>
      <c r="R489" s="306">
        <f t="shared" ca="1" si="223"/>
        <v>0</v>
      </c>
      <c r="S489" s="307">
        <f t="shared" ca="1" si="224"/>
        <v>5.083000000000002</v>
      </c>
      <c r="T489" s="304">
        <f t="shared" ca="1" si="204"/>
        <v>49.86423000000002</v>
      </c>
      <c r="U489" s="311">
        <f t="shared" ca="1" si="205"/>
        <v>0</v>
      </c>
      <c r="V489" s="306">
        <f t="shared" ca="1" si="206"/>
        <v>1.225410029912724</v>
      </c>
      <c r="W489" s="304">
        <f t="shared" ca="1" si="207"/>
        <v>43.187448150316051</v>
      </c>
      <c r="Y489" s="314" t="str">
        <f t="shared" ca="1" si="225"/>
        <v/>
      </c>
      <c r="Z489" s="315" t="str">
        <f t="shared" ca="1" si="226"/>
        <v/>
      </c>
      <c r="AA489" s="316" t="str">
        <f t="shared" ca="1" si="227"/>
        <v/>
      </c>
      <c r="AC489" s="310" t="e">
        <f t="shared" ca="1" si="228"/>
        <v>#N/A</v>
      </c>
      <c r="AD489" s="323" t="e">
        <f t="shared" ca="1" si="229"/>
        <v>#N/A</v>
      </c>
      <c r="AE489" s="324" t="e">
        <f t="shared" ca="1" si="208"/>
        <v>#N/A</v>
      </c>
      <c r="AG489" s="306">
        <f t="shared" ca="1" si="230"/>
        <v>1.277084435552462</v>
      </c>
      <c r="AH489" s="304">
        <f t="shared" ca="1" si="231"/>
        <v>-8.496419258844103</v>
      </c>
    </row>
    <row r="490" spans="1:34" x14ac:dyDescent="0.2">
      <c r="A490" s="347">
        <f t="shared" ca="1" si="209"/>
        <v>1E-4</v>
      </c>
      <c r="B490" s="304">
        <f t="shared" ca="1" si="210"/>
        <v>29.210400000000124</v>
      </c>
      <c r="D490" s="306">
        <f t="shared" ca="1" si="211"/>
        <v>-0.7322074000453439</v>
      </c>
      <c r="E490" s="307">
        <f t="shared" ca="1" si="212"/>
        <v>-1.3451603171314073</v>
      </c>
      <c r="F490" s="304">
        <f t="shared" ca="1" si="213"/>
        <v>1.5315299394612663</v>
      </c>
      <c r="G490" s="306">
        <f t="shared" ca="1" si="214"/>
        <v>9.2327180461128986</v>
      </c>
      <c r="H490" s="307">
        <f t="shared" ca="1" si="215"/>
        <v>-106.73778548003339</v>
      </c>
      <c r="I490" s="304">
        <f t="shared" ca="1" si="216"/>
        <v>107.13635205522282</v>
      </c>
      <c r="J490" s="306">
        <f t="shared" ca="1" si="217"/>
        <v>746.86410190403069</v>
      </c>
      <c r="K490" s="307">
        <f t="shared" ca="1" si="218"/>
        <v>-3.3572966448786863</v>
      </c>
      <c r="L490" s="304">
        <f t="shared" ca="1" si="203"/>
        <v>746.87164771041887</v>
      </c>
      <c r="M490" s="306">
        <f t="shared" ca="1" si="219"/>
        <v>-1.4845120352429917</v>
      </c>
      <c r="N490" s="304">
        <f t="shared" ca="1" si="220"/>
        <v>-85.056274255799551</v>
      </c>
      <c r="P490" s="310">
        <f t="shared" ca="1" si="221"/>
        <v>23</v>
      </c>
      <c r="Q490" s="304">
        <f t="shared" ca="1" si="222"/>
        <v>0</v>
      </c>
      <c r="R490" s="306">
        <f t="shared" ca="1" si="223"/>
        <v>0</v>
      </c>
      <c r="S490" s="307">
        <f t="shared" ca="1" si="224"/>
        <v>5.083000000000002</v>
      </c>
      <c r="T490" s="304">
        <f t="shared" ca="1" si="204"/>
        <v>49.86423000000002</v>
      </c>
      <c r="U490" s="311">
        <f t="shared" ca="1" si="205"/>
        <v>0</v>
      </c>
      <c r="V490" s="306">
        <f t="shared" ca="1" si="206"/>
        <v>1.2254113378881633</v>
      </c>
      <c r="W490" s="304">
        <f t="shared" ca="1" si="207"/>
        <v>43.18759720606689</v>
      </c>
      <c r="Y490" s="314" t="str">
        <f t="shared" ca="1" si="225"/>
        <v/>
      </c>
      <c r="Z490" s="315" t="str">
        <f t="shared" ca="1" si="226"/>
        <v/>
      </c>
      <c r="AA490" s="316" t="str">
        <f t="shared" ca="1" si="227"/>
        <v/>
      </c>
      <c r="AC490" s="310" t="e">
        <f t="shared" ca="1" si="228"/>
        <v>#N/A</v>
      </c>
      <c r="AD490" s="323" t="e">
        <f t="shared" ca="1" si="229"/>
        <v>#N/A</v>
      </c>
      <c r="AE490" s="324" t="e">
        <f t="shared" ca="1" si="208"/>
        <v>#N/A</v>
      </c>
      <c r="AG490" s="306">
        <f t="shared" ca="1" si="230"/>
        <v>1.2770557779361411</v>
      </c>
      <c r="AH490" s="304">
        <f t="shared" ca="1" si="231"/>
        <v>-8.4964485835758481</v>
      </c>
    </row>
    <row r="491" spans="1:34" x14ac:dyDescent="0.2">
      <c r="A491" s="347">
        <f t="shared" ca="1" si="209"/>
        <v>1E-4</v>
      </c>
      <c r="B491" s="304">
        <f t="shared" ca="1" si="210"/>
        <v>29.210500000000124</v>
      </c>
      <c r="D491" s="306">
        <f t="shared" ca="1" si="211"/>
        <v>-0.73220324758320254</v>
      </c>
      <c r="E491" s="307">
        <f t="shared" ca="1" si="212"/>
        <v>-1.3451305240796927</v>
      </c>
      <c r="F491" s="304">
        <f t="shared" ca="1" si="213"/>
        <v>1.5315017866729042</v>
      </c>
      <c r="G491" s="306">
        <f t="shared" ca="1" si="214"/>
        <v>9.2326448257881406</v>
      </c>
      <c r="H491" s="307">
        <f t="shared" ca="1" si="215"/>
        <v>-106.7379199930858</v>
      </c>
      <c r="I491" s="304">
        <f t="shared" ca="1" si="216"/>
        <v>107.13647975796823</v>
      </c>
      <c r="J491" s="306">
        <f t="shared" ca="1" si="217"/>
        <v>746.86410190403069</v>
      </c>
      <c r="K491" s="307">
        <f t="shared" ca="1" si="218"/>
        <v>-3.3679704301523423</v>
      </c>
      <c r="L491" s="304">
        <f t="shared" ca="1" si="203"/>
        <v>746.87169576690519</v>
      </c>
      <c r="M491" s="306">
        <f t="shared" ca="1" si="219"/>
        <v>-1.4845128243290191</v>
      </c>
      <c r="N491" s="304">
        <f t="shared" ca="1" si="220"/>
        <v>-85.056319467098589</v>
      </c>
      <c r="P491" s="310">
        <f t="shared" ca="1" si="221"/>
        <v>23</v>
      </c>
      <c r="Q491" s="304">
        <f t="shared" ca="1" si="222"/>
        <v>0</v>
      </c>
      <c r="R491" s="306">
        <f t="shared" ca="1" si="223"/>
        <v>0</v>
      </c>
      <c r="S491" s="307">
        <f t="shared" ca="1" si="224"/>
        <v>5.083000000000002</v>
      </c>
      <c r="T491" s="304">
        <f t="shared" ca="1" si="204"/>
        <v>49.86423000000002</v>
      </c>
      <c r="U491" s="311">
        <f t="shared" ca="1" si="205"/>
        <v>0</v>
      </c>
      <c r="V491" s="306">
        <f t="shared" ca="1" si="206"/>
        <v>1.2254126458666479</v>
      </c>
      <c r="W491" s="304">
        <f t="shared" ca="1" si="207"/>
        <v>43.18774625995718</v>
      </c>
      <c r="Y491" s="314" t="str">
        <f t="shared" ca="1" si="225"/>
        <v/>
      </c>
      <c r="Z491" s="315" t="str">
        <f t="shared" ca="1" si="226"/>
        <v/>
      </c>
      <c r="AA491" s="316" t="str">
        <f t="shared" ca="1" si="227"/>
        <v/>
      </c>
      <c r="AC491" s="310" t="e">
        <f t="shared" ca="1" si="228"/>
        <v>#N/A</v>
      </c>
      <c r="AD491" s="323" t="e">
        <f t="shared" ca="1" si="229"/>
        <v>#N/A</v>
      </c>
      <c r="AE491" s="324" t="e">
        <f t="shared" ca="1" si="208"/>
        <v>#N/A</v>
      </c>
      <c r="AG491" s="306">
        <f t="shared" ca="1" si="230"/>
        <v>1.2770271206728996</v>
      </c>
      <c r="AH491" s="304">
        <f t="shared" ca="1" si="231"/>
        <v>-8.4964779079415447</v>
      </c>
    </row>
    <row r="492" spans="1:34" x14ac:dyDescent="0.2">
      <c r="A492" s="347">
        <f t="shared" ca="1" si="209"/>
        <v>1E-4</v>
      </c>
      <c r="B492" s="304">
        <f t="shared" ca="1" si="210"/>
        <v>29.210600000000124</v>
      </c>
      <c r="D492" s="306">
        <f t="shared" ca="1" si="211"/>
        <v>-0.73219909511185088</v>
      </c>
      <c r="E492" s="307">
        <f t="shared" ca="1" si="212"/>
        <v>-1.3451007313998922</v>
      </c>
      <c r="F492" s="304">
        <f t="shared" ca="1" si="213"/>
        <v>1.5314736342801132</v>
      </c>
      <c r="G492" s="306">
        <f t="shared" ca="1" si="214"/>
        <v>9.2325716058786291</v>
      </c>
      <c r="H492" s="307">
        <f t="shared" ca="1" si="215"/>
        <v>-106.73805450315893</v>
      </c>
      <c r="I492" s="304">
        <f t="shared" ca="1" si="216"/>
        <v>107.13660745784797</v>
      </c>
      <c r="J492" s="306">
        <f t="shared" ca="1" si="217"/>
        <v>746.86410190403069</v>
      </c>
      <c r="K492" s="307">
        <f t="shared" ca="1" si="218"/>
        <v>-3.3786442288771545</v>
      </c>
      <c r="L492" s="304">
        <f t="shared" ca="1" si="203"/>
        <v>746.87174397599199</v>
      </c>
      <c r="M492" s="306">
        <f t="shared" ca="1" si="219"/>
        <v>-1.4845136134069075</v>
      </c>
      <c r="N492" s="304">
        <f t="shared" ca="1" si="220"/>
        <v>-85.056364677931299</v>
      </c>
      <c r="P492" s="310">
        <f t="shared" ca="1" si="221"/>
        <v>23</v>
      </c>
      <c r="Q492" s="304">
        <f t="shared" ca="1" si="222"/>
        <v>0</v>
      </c>
      <c r="R492" s="306">
        <f t="shared" ca="1" si="223"/>
        <v>0</v>
      </c>
      <c r="S492" s="307">
        <f t="shared" ca="1" si="224"/>
        <v>5.083000000000002</v>
      </c>
      <c r="T492" s="304">
        <f t="shared" ca="1" si="204"/>
        <v>49.86423000000002</v>
      </c>
      <c r="U492" s="311">
        <f t="shared" ca="1" si="205"/>
        <v>0</v>
      </c>
      <c r="V492" s="306">
        <f t="shared" ca="1" si="206"/>
        <v>1.2254139538481763</v>
      </c>
      <c r="W492" s="304">
        <f t="shared" ca="1" si="207"/>
        <v>43.187895311986885</v>
      </c>
      <c r="Y492" s="314" t="str">
        <f t="shared" ca="1" si="225"/>
        <v/>
      </c>
      <c r="Z492" s="315" t="str">
        <f t="shared" ca="1" si="226"/>
        <v/>
      </c>
      <c r="AA492" s="316" t="str">
        <f t="shared" ca="1" si="227"/>
        <v/>
      </c>
      <c r="AC492" s="310" t="e">
        <f t="shared" ca="1" si="228"/>
        <v>#N/A</v>
      </c>
      <c r="AD492" s="323" t="e">
        <f t="shared" ca="1" si="229"/>
        <v>#N/A</v>
      </c>
      <c r="AE492" s="324" t="e">
        <f t="shared" ca="1" si="208"/>
        <v>#N/A</v>
      </c>
      <c r="AG492" s="306">
        <f t="shared" ca="1" si="230"/>
        <v>1.2769984637627232</v>
      </c>
      <c r="AH492" s="304">
        <f t="shared" ca="1" si="231"/>
        <v>-8.4965072319412087</v>
      </c>
    </row>
    <row r="493" spans="1:34" x14ac:dyDescent="0.2">
      <c r="A493" s="347">
        <f t="shared" ca="1" si="209"/>
        <v>1E-4</v>
      </c>
      <c r="B493" s="304">
        <f t="shared" ca="1" si="210"/>
        <v>29.210700000000124</v>
      </c>
      <c r="D493" s="306">
        <f t="shared" ca="1" si="211"/>
        <v>-0.7321949426312897</v>
      </c>
      <c r="E493" s="307">
        <f t="shared" ca="1" si="212"/>
        <v>-1.3450709390920128</v>
      </c>
      <c r="F493" s="304">
        <f t="shared" ca="1" si="213"/>
        <v>1.5314454822829009</v>
      </c>
      <c r="G493" s="306">
        <f t="shared" ca="1" si="214"/>
        <v>9.2324983863843659</v>
      </c>
      <c r="H493" s="307">
        <f t="shared" ca="1" si="215"/>
        <v>-106.73818901025284</v>
      </c>
      <c r="I493" s="304">
        <f t="shared" ca="1" si="216"/>
        <v>107.13673515486204</v>
      </c>
      <c r="J493" s="306">
        <f t="shared" ca="1" si="217"/>
        <v>746.86410190403069</v>
      </c>
      <c r="K493" s="307">
        <f t="shared" ca="1" si="218"/>
        <v>-3.389318041052825</v>
      </c>
      <c r="L493" s="304">
        <f t="shared" ca="1" si="203"/>
        <v>746.87179233767949</v>
      </c>
      <c r="M493" s="306">
        <f t="shared" ca="1" si="219"/>
        <v>-1.484514402476657</v>
      </c>
      <c r="N493" s="304">
        <f t="shared" ca="1" si="220"/>
        <v>-85.056409888297694</v>
      </c>
      <c r="P493" s="310">
        <f t="shared" ca="1" si="221"/>
        <v>23</v>
      </c>
      <c r="Q493" s="304">
        <f t="shared" ca="1" si="222"/>
        <v>0</v>
      </c>
      <c r="R493" s="306">
        <f t="shared" ca="1" si="223"/>
        <v>0</v>
      </c>
      <c r="S493" s="307">
        <f t="shared" ca="1" si="224"/>
        <v>5.083000000000002</v>
      </c>
      <c r="T493" s="304">
        <f t="shared" ca="1" si="204"/>
        <v>49.86423000000002</v>
      </c>
      <c r="U493" s="311">
        <f t="shared" ca="1" si="205"/>
        <v>0</v>
      </c>
      <c r="V493" s="306">
        <f t="shared" ca="1" si="206"/>
        <v>1.2254152618327501</v>
      </c>
      <c r="W493" s="304">
        <f t="shared" ca="1" si="207"/>
        <v>43.188044362156035</v>
      </c>
      <c r="Y493" s="314" t="str">
        <f t="shared" ca="1" si="225"/>
        <v/>
      </c>
      <c r="Z493" s="315" t="str">
        <f t="shared" ca="1" si="226"/>
        <v/>
      </c>
      <c r="AA493" s="316" t="str">
        <f t="shared" ca="1" si="227"/>
        <v/>
      </c>
      <c r="AC493" s="310" t="e">
        <f t="shared" ca="1" si="228"/>
        <v>#N/A</v>
      </c>
      <c r="AD493" s="323" t="e">
        <f t="shared" ca="1" si="229"/>
        <v>#N/A</v>
      </c>
      <c r="AE493" s="324" t="e">
        <f t="shared" ca="1" si="208"/>
        <v>#N/A</v>
      </c>
      <c r="AG493" s="306">
        <f t="shared" ca="1" si="230"/>
        <v>1.2769698072056244</v>
      </c>
      <c r="AH493" s="304">
        <f t="shared" ca="1" si="231"/>
        <v>-8.4965365555748313</v>
      </c>
    </row>
    <row r="494" spans="1:34" x14ac:dyDescent="0.2">
      <c r="A494" s="347">
        <f t="shared" ca="1" si="209"/>
        <v>1E-4</v>
      </c>
      <c r="B494" s="304">
        <f t="shared" ca="1" si="210"/>
        <v>29.210800000000123</v>
      </c>
      <c r="D494" s="306">
        <f t="shared" ca="1" si="211"/>
        <v>-0.73219079014151944</v>
      </c>
      <c r="E494" s="307">
        <f t="shared" ca="1" si="212"/>
        <v>-1.3450411471560475</v>
      </c>
      <c r="F494" s="304">
        <f t="shared" ca="1" si="213"/>
        <v>1.5314173306812608</v>
      </c>
      <c r="G494" s="306">
        <f t="shared" ca="1" si="214"/>
        <v>9.232425167305351</v>
      </c>
      <c r="H494" s="307">
        <f t="shared" ca="1" si="215"/>
        <v>-106.73832351436755</v>
      </c>
      <c r="I494" s="304">
        <f t="shared" ca="1" si="216"/>
        <v>107.13686284901048</v>
      </c>
      <c r="J494" s="306">
        <f t="shared" ca="1" si="217"/>
        <v>746.86410190403069</v>
      </c>
      <c r="K494" s="307">
        <f t="shared" ca="1" si="218"/>
        <v>-3.3999918666790561</v>
      </c>
      <c r="L494" s="304">
        <f t="shared" ca="1" si="203"/>
        <v>746.87184085196827</v>
      </c>
      <c r="M494" s="306">
        <f t="shared" ca="1" si="219"/>
        <v>-1.4845151915382679</v>
      </c>
      <c r="N494" s="304">
        <f t="shared" ca="1" si="220"/>
        <v>-85.056455098197773</v>
      </c>
      <c r="P494" s="310">
        <f t="shared" ca="1" si="221"/>
        <v>23</v>
      </c>
      <c r="Q494" s="304">
        <f t="shared" ca="1" si="222"/>
        <v>0</v>
      </c>
      <c r="R494" s="306">
        <f t="shared" ca="1" si="223"/>
        <v>0</v>
      </c>
      <c r="S494" s="307">
        <f t="shared" ca="1" si="224"/>
        <v>5.083000000000002</v>
      </c>
      <c r="T494" s="304">
        <f t="shared" ca="1" si="204"/>
        <v>49.86423000000002</v>
      </c>
      <c r="U494" s="311">
        <f t="shared" ca="1" si="205"/>
        <v>0</v>
      </c>
      <c r="V494" s="306">
        <f t="shared" ca="1" si="206"/>
        <v>1.2254165698203683</v>
      </c>
      <c r="W494" s="304">
        <f t="shared" ca="1" si="207"/>
        <v>43.188193410464642</v>
      </c>
      <c r="Y494" s="314" t="str">
        <f t="shared" ca="1" si="225"/>
        <v/>
      </c>
      <c r="Z494" s="315" t="str">
        <f t="shared" ca="1" si="226"/>
        <v/>
      </c>
      <c r="AA494" s="316" t="str">
        <f t="shared" ca="1" si="227"/>
        <v/>
      </c>
      <c r="AC494" s="310" t="e">
        <f t="shared" ca="1" si="228"/>
        <v>#N/A</v>
      </c>
      <c r="AD494" s="323" t="e">
        <f t="shared" ca="1" si="229"/>
        <v>#N/A</v>
      </c>
      <c r="AE494" s="324" t="e">
        <f t="shared" ca="1" si="208"/>
        <v>#N/A</v>
      </c>
      <c r="AG494" s="306">
        <f t="shared" ca="1" si="230"/>
        <v>1.276941151001596</v>
      </c>
      <c r="AH494" s="304">
        <f t="shared" ca="1" si="231"/>
        <v>-8.4965658788424197</v>
      </c>
    </row>
    <row r="495" spans="1:34" x14ac:dyDescent="0.2">
      <c r="A495" s="347">
        <f t="shared" ca="1" si="209"/>
        <v>1E-4</v>
      </c>
      <c r="B495" s="304">
        <f t="shared" ca="1" si="210"/>
        <v>29.210900000000123</v>
      </c>
      <c r="D495" s="306">
        <f t="shared" ca="1" si="211"/>
        <v>-0.73218663764253977</v>
      </c>
      <c r="E495" s="307">
        <f t="shared" ca="1" si="212"/>
        <v>-1.3450113555919962</v>
      </c>
      <c r="F495" s="304">
        <f t="shared" ca="1" si="213"/>
        <v>1.5313891794751937</v>
      </c>
      <c r="G495" s="306">
        <f t="shared" ca="1" si="214"/>
        <v>9.2323519486415861</v>
      </c>
      <c r="H495" s="307">
        <f t="shared" ca="1" si="215"/>
        <v>-106.73845801550311</v>
      </c>
      <c r="I495" s="304">
        <f t="shared" ca="1" si="216"/>
        <v>107.13699054029335</v>
      </c>
      <c r="J495" s="306">
        <f t="shared" ca="1" si="217"/>
        <v>746.86410190403069</v>
      </c>
      <c r="K495" s="307">
        <f t="shared" ca="1" si="218"/>
        <v>-3.4106657057555494</v>
      </c>
      <c r="L495" s="304">
        <f t="shared" ca="1" si="203"/>
        <v>746.87188951885901</v>
      </c>
      <c r="M495" s="306">
        <f t="shared" ca="1" si="219"/>
        <v>-1.4845159805917401</v>
      </c>
      <c r="N495" s="304">
        <f t="shared" ca="1" si="220"/>
        <v>-85.056500307631538</v>
      </c>
      <c r="P495" s="310">
        <f t="shared" ca="1" si="221"/>
        <v>23</v>
      </c>
      <c r="Q495" s="304">
        <f t="shared" ca="1" si="222"/>
        <v>0</v>
      </c>
      <c r="R495" s="306">
        <f t="shared" ca="1" si="223"/>
        <v>0</v>
      </c>
      <c r="S495" s="307">
        <f t="shared" ca="1" si="224"/>
        <v>5.083000000000002</v>
      </c>
      <c r="T495" s="304">
        <f t="shared" ca="1" si="204"/>
        <v>49.86423000000002</v>
      </c>
      <c r="U495" s="311">
        <f t="shared" ca="1" si="205"/>
        <v>0</v>
      </c>
      <c r="V495" s="306">
        <f t="shared" ca="1" si="206"/>
        <v>1.2254178778110312</v>
      </c>
      <c r="W495" s="304">
        <f t="shared" ca="1" si="207"/>
        <v>43.188342456912729</v>
      </c>
      <c r="Y495" s="314" t="str">
        <f t="shared" ca="1" si="225"/>
        <v/>
      </c>
      <c r="Z495" s="315" t="str">
        <f t="shared" ca="1" si="226"/>
        <v/>
      </c>
      <c r="AA495" s="316" t="str">
        <f t="shared" ca="1" si="227"/>
        <v/>
      </c>
      <c r="AC495" s="310" t="e">
        <f t="shared" ca="1" si="228"/>
        <v>#N/A</v>
      </c>
      <c r="AD495" s="323" t="e">
        <f t="shared" ca="1" si="229"/>
        <v>#N/A</v>
      </c>
      <c r="AE495" s="324" t="e">
        <f t="shared" ca="1" si="208"/>
        <v>#N/A</v>
      </c>
      <c r="AG495" s="306">
        <f t="shared" ca="1" si="230"/>
        <v>1.276912495150631</v>
      </c>
      <c r="AH495" s="304">
        <f t="shared" ca="1" si="231"/>
        <v>-8.4965952017439754</v>
      </c>
    </row>
    <row r="496" spans="1:34" x14ac:dyDescent="0.2">
      <c r="A496" s="347">
        <f t="shared" ca="1" si="209"/>
        <v>1E-4</v>
      </c>
      <c r="B496" s="304">
        <f t="shared" ca="1" si="210"/>
        <v>29.211000000000123</v>
      </c>
      <c r="D496" s="306">
        <f t="shared" ca="1" si="211"/>
        <v>-0.73218248513435458</v>
      </c>
      <c r="E496" s="307">
        <f t="shared" ca="1" si="212"/>
        <v>-1.3449815643998537</v>
      </c>
      <c r="F496" s="304">
        <f t="shared" ca="1" si="213"/>
        <v>1.5313610286646964</v>
      </c>
      <c r="G496" s="306">
        <f t="shared" ca="1" si="214"/>
        <v>9.2322787303930731</v>
      </c>
      <c r="H496" s="307">
        <f t="shared" ca="1" si="215"/>
        <v>-106.73859251365955</v>
      </c>
      <c r="I496" s="304">
        <f t="shared" ca="1" si="216"/>
        <v>107.13711822871066</v>
      </c>
      <c r="J496" s="306">
        <f t="shared" ca="1" si="217"/>
        <v>746.86410190403069</v>
      </c>
      <c r="K496" s="307">
        <f t="shared" ca="1" si="218"/>
        <v>-3.4213395582820074</v>
      </c>
      <c r="L496" s="304">
        <f t="shared" ca="1" si="203"/>
        <v>746.87193833835215</v>
      </c>
      <c r="M496" s="306">
        <f t="shared" ca="1" si="219"/>
        <v>-1.4845167696370738</v>
      </c>
      <c r="N496" s="304">
        <f t="shared" ca="1" si="220"/>
        <v>-85.056545516599002</v>
      </c>
      <c r="P496" s="310">
        <f t="shared" ca="1" si="221"/>
        <v>23</v>
      </c>
      <c r="Q496" s="304">
        <f t="shared" ca="1" si="222"/>
        <v>0</v>
      </c>
      <c r="R496" s="306">
        <f t="shared" ca="1" si="223"/>
        <v>0</v>
      </c>
      <c r="S496" s="307">
        <f t="shared" ca="1" si="224"/>
        <v>5.083000000000002</v>
      </c>
      <c r="T496" s="304">
        <f t="shared" ca="1" si="204"/>
        <v>49.86423000000002</v>
      </c>
      <c r="U496" s="311">
        <f t="shared" ca="1" si="205"/>
        <v>0</v>
      </c>
      <c r="V496" s="306">
        <f t="shared" ca="1" si="206"/>
        <v>1.2254191858047383</v>
      </c>
      <c r="W496" s="304">
        <f t="shared" ca="1" si="207"/>
        <v>43.18849150150028</v>
      </c>
      <c r="Y496" s="314" t="str">
        <f t="shared" ca="1" si="225"/>
        <v/>
      </c>
      <c r="Z496" s="315" t="str">
        <f t="shared" ca="1" si="226"/>
        <v/>
      </c>
      <c r="AA496" s="316" t="str">
        <f t="shared" ca="1" si="227"/>
        <v/>
      </c>
      <c r="AC496" s="310" t="e">
        <f t="shared" ca="1" si="228"/>
        <v>#N/A</v>
      </c>
      <c r="AD496" s="323" t="e">
        <f t="shared" ca="1" si="229"/>
        <v>#N/A</v>
      </c>
      <c r="AE496" s="324" t="e">
        <f t="shared" ca="1" si="208"/>
        <v>#N/A</v>
      </c>
      <c r="AG496" s="306">
        <f t="shared" ca="1" si="230"/>
        <v>1.2768838396527311</v>
      </c>
      <c r="AH496" s="304">
        <f t="shared" ca="1" si="231"/>
        <v>-8.4966245242795022</v>
      </c>
    </row>
    <row r="497" spans="1:34" x14ac:dyDescent="0.2">
      <c r="A497" s="347">
        <f t="shared" ca="1" si="209"/>
        <v>1E-4</v>
      </c>
      <c r="B497" s="304">
        <f t="shared" ca="1" si="210"/>
        <v>29.211100000000123</v>
      </c>
      <c r="D497" s="306">
        <f t="shared" ca="1" si="211"/>
        <v>-0.73217833261696175</v>
      </c>
      <c r="E497" s="307">
        <f t="shared" ca="1" si="212"/>
        <v>-1.3449517735796199</v>
      </c>
      <c r="F497" s="304">
        <f t="shared" ca="1" si="213"/>
        <v>1.5313328782497682</v>
      </c>
      <c r="G497" s="306">
        <f t="shared" ca="1" si="214"/>
        <v>9.2322055125598119</v>
      </c>
      <c r="H497" s="307">
        <f t="shared" ca="1" si="215"/>
        <v>-106.73872700883692</v>
      </c>
      <c r="I497" s="304">
        <f t="shared" ca="1" si="216"/>
        <v>107.13724591426248</v>
      </c>
      <c r="J497" s="306">
        <f t="shared" ca="1" si="217"/>
        <v>746.86410190403069</v>
      </c>
      <c r="K497" s="307">
        <f t="shared" ca="1" si="218"/>
        <v>-3.4320134242581322</v>
      </c>
      <c r="L497" s="304">
        <f t="shared" ca="1" si="203"/>
        <v>746.87198731044839</v>
      </c>
      <c r="M497" s="306">
        <f t="shared" ca="1" si="219"/>
        <v>-1.4845175586742692</v>
      </c>
      <c r="N497" s="304">
        <f t="shared" ca="1" si="220"/>
        <v>-85.056590725100179</v>
      </c>
      <c r="P497" s="310">
        <f t="shared" ca="1" si="221"/>
        <v>23</v>
      </c>
      <c r="Q497" s="304">
        <f t="shared" ca="1" si="222"/>
        <v>0</v>
      </c>
      <c r="R497" s="306">
        <f t="shared" ca="1" si="223"/>
        <v>0</v>
      </c>
      <c r="S497" s="307">
        <f t="shared" ca="1" si="224"/>
        <v>5.083000000000002</v>
      </c>
      <c r="T497" s="304">
        <f t="shared" ca="1" si="204"/>
        <v>49.86423000000002</v>
      </c>
      <c r="U497" s="311">
        <f t="shared" ca="1" si="205"/>
        <v>0</v>
      </c>
      <c r="V497" s="306">
        <f t="shared" ca="1" si="206"/>
        <v>1.2254204938014903</v>
      </c>
      <c r="W497" s="304">
        <f t="shared" ca="1" si="207"/>
        <v>43.188640544227361</v>
      </c>
      <c r="Y497" s="314" t="str">
        <f t="shared" ca="1" si="225"/>
        <v/>
      </c>
      <c r="Z497" s="315" t="str">
        <f t="shared" ca="1" si="226"/>
        <v/>
      </c>
      <c r="AA497" s="316" t="str">
        <f t="shared" ca="1" si="227"/>
        <v/>
      </c>
      <c r="AC497" s="310" t="e">
        <f t="shared" ca="1" si="228"/>
        <v>#N/A</v>
      </c>
      <c r="AD497" s="323" t="e">
        <f t="shared" ca="1" si="229"/>
        <v>#N/A</v>
      </c>
      <c r="AE497" s="324" t="e">
        <f t="shared" ca="1" si="208"/>
        <v>#N/A</v>
      </c>
      <c r="AG497" s="306">
        <f t="shared" ca="1" si="230"/>
        <v>1.2768551845078946</v>
      </c>
      <c r="AH497" s="304">
        <f t="shared" ca="1" si="231"/>
        <v>-8.496653846449</v>
      </c>
    </row>
    <row r="498" spans="1:34" x14ac:dyDescent="0.2">
      <c r="A498" s="347">
        <f t="shared" ca="1" si="209"/>
        <v>1E-4</v>
      </c>
      <c r="B498" s="304">
        <f t="shared" ca="1" si="210"/>
        <v>29.211200000000122</v>
      </c>
      <c r="D498" s="306">
        <f t="shared" ca="1" si="211"/>
        <v>-0.7321741800903635</v>
      </c>
      <c r="E498" s="307">
        <f t="shared" ca="1" si="212"/>
        <v>-1.344921983131286</v>
      </c>
      <c r="F498" s="304">
        <f t="shared" ca="1" si="213"/>
        <v>1.5313047282304024</v>
      </c>
      <c r="G498" s="306">
        <f t="shared" ca="1" si="214"/>
        <v>9.2321322951418026</v>
      </c>
      <c r="H498" s="307">
        <f t="shared" ca="1" si="215"/>
        <v>-106.73886150103523</v>
      </c>
      <c r="I498" s="304">
        <f t="shared" ca="1" si="216"/>
        <v>107.13737359694881</v>
      </c>
      <c r="J498" s="306">
        <f t="shared" ca="1" si="217"/>
        <v>746.86410190403069</v>
      </c>
      <c r="K498" s="307">
        <f t="shared" ca="1" si="218"/>
        <v>-3.4426873036836256</v>
      </c>
      <c r="L498" s="304">
        <f t="shared" ca="1" si="203"/>
        <v>746.87203643514817</v>
      </c>
      <c r="M498" s="306">
        <f t="shared" ca="1" si="219"/>
        <v>-1.4845183477033264</v>
      </c>
      <c r="N498" s="304">
        <f t="shared" ca="1" si="220"/>
        <v>-85.05663593313507</v>
      </c>
      <c r="P498" s="310">
        <f t="shared" ca="1" si="221"/>
        <v>23</v>
      </c>
      <c r="Q498" s="304">
        <f t="shared" ca="1" si="222"/>
        <v>0</v>
      </c>
      <c r="R498" s="306">
        <f t="shared" ca="1" si="223"/>
        <v>0</v>
      </c>
      <c r="S498" s="307">
        <f t="shared" ca="1" si="224"/>
        <v>5.083000000000002</v>
      </c>
      <c r="T498" s="304">
        <f t="shared" ca="1" si="204"/>
        <v>49.86423000000002</v>
      </c>
      <c r="U498" s="311">
        <f t="shared" ca="1" si="205"/>
        <v>0</v>
      </c>
      <c r="V498" s="306">
        <f t="shared" ca="1" si="206"/>
        <v>1.2254218018012866</v>
      </c>
      <c r="W498" s="304">
        <f t="shared" ca="1" si="207"/>
        <v>43.188789585093936</v>
      </c>
      <c r="Y498" s="314" t="str">
        <f t="shared" ca="1" si="225"/>
        <v/>
      </c>
      <c r="Z498" s="315" t="str">
        <f t="shared" ca="1" si="226"/>
        <v/>
      </c>
      <c r="AA498" s="316" t="str">
        <f t="shared" ca="1" si="227"/>
        <v/>
      </c>
      <c r="AC498" s="310" t="e">
        <f t="shared" ca="1" si="228"/>
        <v>#N/A</v>
      </c>
      <c r="AD498" s="323" t="e">
        <f t="shared" ca="1" si="229"/>
        <v>#N/A</v>
      </c>
      <c r="AE498" s="324" t="e">
        <f t="shared" ca="1" si="208"/>
        <v>#N/A</v>
      </c>
      <c r="AG498" s="306">
        <f t="shared" ca="1" si="230"/>
        <v>1.2768265297161143</v>
      </c>
      <c r="AH498" s="304">
        <f t="shared" ca="1" si="231"/>
        <v>-8.4966831682524777</v>
      </c>
    </row>
    <row r="499" spans="1:34" x14ac:dyDescent="0.2">
      <c r="A499" s="347">
        <f t="shared" ca="1" si="209"/>
        <v>1E-4</v>
      </c>
      <c r="B499" s="304">
        <f t="shared" ca="1" si="210"/>
        <v>29.211300000000122</v>
      </c>
      <c r="D499" s="306">
        <f t="shared" ca="1" si="211"/>
        <v>-0.73217002755455929</v>
      </c>
      <c r="E499" s="307">
        <f t="shared" ca="1" si="212"/>
        <v>-1.3448921930548554</v>
      </c>
      <c r="F499" s="304">
        <f t="shared" ca="1" si="213"/>
        <v>1.5312765786066025</v>
      </c>
      <c r="G499" s="306">
        <f t="shared" ca="1" si="214"/>
        <v>9.2320590781390468</v>
      </c>
      <c r="H499" s="307">
        <f t="shared" ca="1" si="215"/>
        <v>-106.73899599025454</v>
      </c>
      <c r="I499" s="304">
        <f t="shared" ca="1" si="216"/>
        <v>107.13750127676968</v>
      </c>
      <c r="J499" s="306">
        <f t="shared" ca="1" si="217"/>
        <v>746.86410190403069</v>
      </c>
      <c r="K499" s="307">
        <f t="shared" ca="1" si="218"/>
        <v>-3.4533611965581903</v>
      </c>
      <c r="L499" s="304">
        <f t="shared" ca="1" si="203"/>
        <v>746.87208571245196</v>
      </c>
      <c r="M499" s="306">
        <f t="shared" ca="1" si="219"/>
        <v>-1.4845191367242452</v>
      </c>
      <c r="N499" s="304">
        <f t="shared" ca="1" si="220"/>
        <v>-85.05668114070366</v>
      </c>
      <c r="P499" s="310">
        <f t="shared" ca="1" si="221"/>
        <v>23</v>
      </c>
      <c r="Q499" s="304">
        <f t="shared" ca="1" si="222"/>
        <v>0</v>
      </c>
      <c r="R499" s="306">
        <f t="shared" ca="1" si="223"/>
        <v>0</v>
      </c>
      <c r="S499" s="307">
        <f t="shared" ca="1" si="224"/>
        <v>5.083000000000002</v>
      </c>
      <c r="T499" s="304">
        <f t="shared" ca="1" si="204"/>
        <v>49.86423000000002</v>
      </c>
      <c r="U499" s="311">
        <f t="shared" ca="1" si="205"/>
        <v>0</v>
      </c>
      <c r="V499" s="306">
        <f t="shared" ca="1" si="206"/>
        <v>1.2254231098041277</v>
      </c>
      <c r="W499" s="304">
        <f t="shared" ca="1" si="207"/>
        <v>43.188938624100032</v>
      </c>
      <c r="Y499" s="314" t="str">
        <f t="shared" ca="1" si="225"/>
        <v/>
      </c>
      <c r="Z499" s="315" t="str">
        <f t="shared" ca="1" si="226"/>
        <v/>
      </c>
      <c r="AA499" s="316" t="str">
        <f t="shared" ca="1" si="227"/>
        <v/>
      </c>
      <c r="AC499" s="310" t="e">
        <f t="shared" ca="1" si="228"/>
        <v>#N/A</v>
      </c>
      <c r="AD499" s="323" t="e">
        <f t="shared" ca="1" si="229"/>
        <v>#N/A</v>
      </c>
      <c r="AE499" s="324" t="e">
        <f t="shared" ca="1" si="208"/>
        <v>#N/A</v>
      </c>
      <c r="AG499" s="306">
        <f t="shared" ca="1" si="230"/>
        <v>1.2767978752773939</v>
      </c>
      <c r="AH499" s="304">
        <f t="shared" ca="1" si="231"/>
        <v>-8.4967124896899318</v>
      </c>
    </row>
    <row r="500" spans="1:34" x14ac:dyDescent="0.2">
      <c r="A500" s="347">
        <f t="shared" ca="1" si="209"/>
        <v>1E-4</v>
      </c>
      <c r="B500" s="304">
        <f t="shared" ca="1" si="210"/>
        <v>29.211400000000122</v>
      </c>
      <c r="D500" s="306">
        <f t="shared" ca="1" si="211"/>
        <v>-0.73216587500955277</v>
      </c>
      <c r="E500" s="307">
        <f t="shared" ca="1" si="212"/>
        <v>-1.3448624033503283</v>
      </c>
      <c r="F500" s="304">
        <f t="shared" ca="1" si="213"/>
        <v>1.5312484293783699</v>
      </c>
      <c r="G500" s="306">
        <f t="shared" ca="1" si="214"/>
        <v>9.2319858615515464</v>
      </c>
      <c r="H500" s="307">
        <f t="shared" ca="1" si="215"/>
        <v>-106.73913047649488</v>
      </c>
      <c r="I500" s="304">
        <f t="shared" ca="1" si="216"/>
        <v>107.13762895372514</v>
      </c>
      <c r="J500" s="306">
        <f t="shared" ca="1" si="217"/>
        <v>746.86410190403069</v>
      </c>
      <c r="K500" s="307">
        <f t="shared" ca="1" si="218"/>
        <v>-3.4640351028815277</v>
      </c>
      <c r="L500" s="304">
        <f t="shared" ca="1" si="203"/>
        <v>746.87213514236043</v>
      </c>
      <c r="M500" s="306">
        <f t="shared" ca="1" si="219"/>
        <v>-1.4845199257370263</v>
      </c>
      <c r="N500" s="304">
        <f t="shared" ca="1" si="220"/>
        <v>-85.056726347806006</v>
      </c>
      <c r="P500" s="310">
        <f t="shared" ca="1" si="221"/>
        <v>23</v>
      </c>
      <c r="Q500" s="304">
        <f t="shared" ca="1" si="222"/>
        <v>0</v>
      </c>
      <c r="R500" s="306">
        <f t="shared" ca="1" si="223"/>
        <v>0</v>
      </c>
      <c r="S500" s="307">
        <f t="shared" ca="1" si="224"/>
        <v>5.083000000000002</v>
      </c>
      <c r="T500" s="304">
        <f t="shared" ca="1" si="204"/>
        <v>49.86423000000002</v>
      </c>
      <c r="U500" s="311">
        <f t="shared" ca="1" si="205"/>
        <v>0</v>
      </c>
      <c r="V500" s="306">
        <f t="shared" ca="1" si="206"/>
        <v>1.2254244178100129</v>
      </c>
      <c r="W500" s="304">
        <f t="shared" ca="1" si="207"/>
        <v>43.189087661245651</v>
      </c>
      <c r="Y500" s="314" t="str">
        <f t="shared" ca="1" si="225"/>
        <v/>
      </c>
      <c r="Z500" s="315" t="str">
        <f t="shared" ca="1" si="226"/>
        <v/>
      </c>
      <c r="AA500" s="316" t="str">
        <f t="shared" ca="1" si="227"/>
        <v/>
      </c>
      <c r="AC500" s="310" t="e">
        <f t="shared" ca="1" si="228"/>
        <v>#N/A</v>
      </c>
      <c r="AD500" s="323" t="e">
        <f t="shared" ca="1" si="229"/>
        <v>#N/A</v>
      </c>
      <c r="AE500" s="324" t="e">
        <f t="shared" ca="1" si="208"/>
        <v>#N/A</v>
      </c>
      <c r="AG500" s="306">
        <f t="shared" ca="1" si="230"/>
        <v>1.2767692211917296</v>
      </c>
      <c r="AH500" s="304">
        <f t="shared" ca="1" si="231"/>
        <v>-8.4967418107613639</v>
      </c>
    </row>
    <row r="501" spans="1:34" x14ac:dyDescent="0.2">
      <c r="A501" s="347">
        <f t="shared" ca="1" si="209"/>
        <v>1E-4</v>
      </c>
      <c r="B501" s="304">
        <f t="shared" ca="1" si="210"/>
        <v>29.211500000000122</v>
      </c>
      <c r="D501" s="306">
        <f t="shared" ca="1" si="211"/>
        <v>-0.73216172245534017</v>
      </c>
      <c r="E501" s="307">
        <f t="shared" ca="1" si="212"/>
        <v>-1.3448326140176974</v>
      </c>
      <c r="F501" s="304">
        <f t="shared" ca="1" si="213"/>
        <v>1.5312202805456971</v>
      </c>
      <c r="G501" s="306">
        <f t="shared" ca="1" si="214"/>
        <v>9.2319126453793015</v>
      </c>
      <c r="H501" s="307">
        <f t="shared" ca="1" si="215"/>
        <v>-106.73926495975628</v>
      </c>
      <c r="I501" s="304">
        <f t="shared" ca="1" si="216"/>
        <v>107.13775662781525</v>
      </c>
      <c r="J501" s="306">
        <f t="shared" ca="1" si="217"/>
        <v>746.86410190403069</v>
      </c>
      <c r="K501" s="307">
        <f t="shared" ca="1" si="218"/>
        <v>-3.4747090226533404</v>
      </c>
      <c r="L501" s="304">
        <f t="shared" ca="1" si="203"/>
        <v>746.87218472487405</v>
      </c>
      <c r="M501" s="306">
        <f t="shared" ca="1" si="219"/>
        <v>-1.4845207147416692</v>
      </c>
      <c r="N501" s="304">
        <f t="shared" ca="1" si="220"/>
        <v>-85.056771554442065</v>
      </c>
      <c r="P501" s="310">
        <f t="shared" ca="1" si="221"/>
        <v>23</v>
      </c>
      <c r="Q501" s="304">
        <f t="shared" ca="1" si="222"/>
        <v>0</v>
      </c>
      <c r="R501" s="306">
        <f t="shared" ca="1" si="223"/>
        <v>0</v>
      </c>
      <c r="S501" s="307">
        <f t="shared" ca="1" si="224"/>
        <v>5.083000000000002</v>
      </c>
      <c r="T501" s="304">
        <f t="shared" ca="1" si="204"/>
        <v>49.86423000000002</v>
      </c>
      <c r="U501" s="311">
        <f t="shared" ca="1" si="205"/>
        <v>0</v>
      </c>
      <c r="V501" s="306">
        <f t="shared" ca="1" si="206"/>
        <v>1.225425725818942</v>
      </c>
      <c r="W501" s="304">
        <f t="shared" ca="1" si="207"/>
        <v>43.189236696530813</v>
      </c>
      <c r="Y501" s="314" t="str">
        <f t="shared" ca="1" si="225"/>
        <v/>
      </c>
      <c r="Z501" s="315" t="str">
        <f t="shared" ca="1" si="226"/>
        <v/>
      </c>
      <c r="AA501" s="316" t="str">
        <f t="shared" ca="1" si="227"/>
        <v/>
      </c>
      <c r="AC501" s="310" t="e">
        <f t="shared" ca="1" si="228"/>
        <v>#N/A</v>
      </c>
      <c r="AD501" s="323" t="e">
        <f t="shared" ca="1" si="229"/>
        <v>#N/A</v>
      </c>
      <c r="AE501" s="324" t="e">
        <f t="shared" ca="1" si="208"/>
        <v>#N/A</v>
      </c>
      <c r="AG501" s="306">
        <f t="shared" ca="1" si="230"/>
        <v>1.2767405674591199</v>
      </c>
      <c r="AH501" s="304">
        <f t="shared" ca="1" si="231"/>
        <v>-8.4967711314667778</v>
      </c>
    </row>
    <row r="502" spans="1:34" x14ac:dyDescent="0.2">
      <c r="A502" s="347">
        <f t="shared" ca="1" si="209"/>
        <v>1E-4</v>
      </c>
      <c r="B502" s="304">
        <f t="shared" ca="1" si="210"/>
        <v>29.211600000000121</v>
      </c>
      <c r="D502" s="306">
        <f t="shared" ca="1" si="211"/>
        <v>-0.73215756989192715</v>
      </c>
      <c r="E502" s="307">
        <f t="shared" ca="1" si="212"/>
        <v>-1.344802825056961</v>
      </c>
      <c r="F502" s="304">
        <f t="shared" ca="1" si="213"/>
        <v>1.5311921321085853</v>
      </c>
      <c r="G502" s="306">
        <f t="shared" ca="1" si="214"/>
        <v>9.2318394296223119</v>
      </c>
      <c r="H502" s="307">
        <f t="shared" ca="1" si="215"/>
        <v>-106.7393994400388</v>
      </c>
      <c r="I502" s="304">
        <f t="shared" ca="1" si="216"/>
        <v>107.13788429904001</v>
      </c>
      <c r="J502" s="306">
        <f t="shared" ca="1" si="217"/>
        <v>746.86410190403069</v>
      </c>
      <c r="K502" s="307">
        <f t="shared" ca="1" si="218"/>
        <v>-3.4853829558733302</v>
      </c>
      <c r="L502" s="304">
        <f t="shared" ca="1" si="203"/>
        <v>746.87223445999336</v>
      </c>
      <c r="M502" s="306">
        <f t="shared" ca="1" si="219"/>
        <v>-1.4845215037381743</v>
      </c>
      <c r="N502" s="304">
        <f t="shared" ca="1" si="220"/>
        <v>-85.056816760611852</v>
      </c>
      <c r="P502" s="310">
        <f t="shared" ca="1" si="221"/>
        <v>23</v>
      </c>
      <c r="Q502" s="304">
        <f t="shared" ca="1" si="222"/>
        <v>0</v>
      </c>
      <c r="R502" s="306">
        <f t="shared" ca="1" si="223"/>
        <v>0</v>
      </c>
      <c r="S502" s="307">
        <f t="shared" ca="1" si="224"/>
        <v>5.083000000000002</v>
      </c>
      <c r="T502" s="304">
        <f t="shared" ca="1" si="204"/>
        <v>49.86423000000002</v>
      </c>
      <c r="U502" s="311">
        <f t="shared" ca="1" si="205"/>
        <v>0</v>
      </c>
      <c r="V502" s="306">
        <f t="shared" ca="1" si="206"/>
        <v>1.2254270338309166</v>
      </c>
      <c r="W502" s="304">
        <f t="shared" ca="1" si="207"/>
        <v>43.189385729955561</v>
      </c>
      <c r="Y502" s="314" t="str">
        <f t="shared" ca="1" si="225"/>
        <v/>
      </c>
      <c r="Z502" s="315" t="str">
        <f t="shared" ca="1" si="226"/>
        <v/>
      </c>
      <c r="AA502" s="316" t="str">
        <f t="shared" ca="1" si="227"/>
        <v/>
      </c>
      <c r="AC502" s="310" t="e">
        <f t="shared" ca="1" si="228"/>
        <v>#N/A</v>
      </c>
      <c r="AD502" s="323" t="e">
        <f t="shared" ca="1" si="229"/>
        <v>#N/A</v>
      </c>
      <c r="AE502" s="324" t="e">
        <f t="shared" ca="1" si="208"/>
        <v>#N/A</v>
      </c>
      <c r="AG502" s="306">
        <f t="shared" ca="1" si="230"/>
        <v>1.2767119140795629</v>
      </c>
      <c r="AH502" s="304">
        <f t="shared" ca="1" si="231"/>
        <v>-8.4968004518061768</v>
      </c>
    </row>
    <row r="503" spans="1:34" x14ac:dyDescent="0.2">
      <c r="A503" s="347">
        <f t="shared" ca="1" si="209"/>
        <v>1E-4</v>
      </c>
      <c r="B503" s="304">
        <f t="shared" ca="1" si="210"/>
        <v>29.211700000000121</v>
      </c>
      <c r="D503" s="306">
        <f t="shared" ca="1" si="211"/>
        <v>-0.73215341731931416</v>
      </c>
      <c r="E503" s="307">
        <f t="shared" ca="1" si="212"/>
        <v>-1.3447730364681139</v>
      </c>
      <c r="F503" s="304">
        <f t="shared" ca="1" si="213"/>
        <v>1.5311639840670301</v>
      </c>
      <c r="G503" s="306">
        <f t="shared" ca="1" si="214"/>
        <v>9.2317662142805794</v>
      </c>
      <c r="H503" s="307">
        <f t="shared" ca="1" si="215"/>
        <v>-106.73953391734244</v>
      </c>
      <c r="I503" s="304">
        <f t="shared" ca="1" si="216"/>
        <v>107.13801196739946</v>
      </c>
      <c r="J503" s="306">
        <f t="shared" ca="1" si="217"/>
        <v>746.86410190403069</v>
      </c>
      <c r="K503" s="307">
        <f t="shared" ca="1" si="218"/>
        <v>-3.4960569025411994</v>
      </c>
      <c r="L503" s="304">
        <f t="shared" ca="1" si="203"/>
        <v>746.87228434771907</v>
      </c>
      <c r="M503" s="306">
        <f t="shared" ca="1" si="219"/>
        <v>-1.4845222927265418</v>
      </c>
      <c r="N503" s="304">
        <f t="shared" ca="1" si="220"/>
        <v>-85.056861966315395</v>
      </c>
      <c r="P503" s="310">
        <f t="shared" ca="1" si="221"/>
        <v>23</v>
      </c>
      <c r="Q503" s="304">
        <f t="shared" ca="1" si="222"/>
        <v>0</v>
      </c>
      <c r="R503" s="306">
        <f t="shared" ca="1" si="223"/>
        <v>0</v>
      </c>
      <c r="S503" s="307">
        <f t="shared" ca="1" si="224"/>
        <v>5.083000000000002</v>
      </c>
      <c r="T503" s="304">
        <f t="shared" ca="1" si="204"/>
        <v>49.86423000000002</v>
      </c>
      <c r="U503" s="311">
        <f t="shared" ca="1" si="205"/>
        <v>0</v>
      </c>
      <c r="V503" s="306">
        <f t="shared" ca="1" si="206"/>
        <v>1.2254283418459349</v>
      </c>
      <c r="W503" s="304">
        <f t="shared" ca="1" si="207"/>
        <v>43.189534761519866</v>
      </c>
      <c r="Y503" s="314" t="str">
        <f t="shared" ca="1" si="225"/>
        <v/>
      </c>
      <c r="Z503" s="315" t="str">
        <f t="shared" ca="1" si="226"/>
        <v/>
      </c>
      <c r="AA503" s="316" t="str">
        <f t="shared" ca="1" si="227"/>
        <v/>
      </c>
      <c r="AC503" s="310" t="e">
        <f t="shared" ca="1" si="228"/>
        <v>#N/A</v>
      </c>
      <c r="AD503" s="323" t="e">
        <f t="shared" ca="1" si="229"/>
        <v>#N/A</v>
      </c>
      <c r="AE503" s="324" t="e">
        <f t="shared" ca="1" si="208"/>
        <v>#N/A</v>
      </c>
      <c r="AG503" s="306">
        <f t="shared" ca="1" si="230"/>
        <v>1.2766832610530496</v>
      </c>
      <c r="AH503" s="304">
        <f t="shared" ca="1" si="231"/>
        <v>-8.4968297717795682</v>
      </c>
    </row>
    <row r="504" spans="1:34" x14ac:dyDescent="0.2">
      <c r="A504" s="347">
        <f t="shared" ca="1" si="209"/>
        <v>1E-4</v>
      </c>
      <c r="B504" s="304">
        <f t="shared" ca="1" si="210"/>
        <v>29.211800000000121</v>
      </c>
      <c r="D504" s="306">
        <f t="shared" ca="1" si="211"/>
        <v>-0.73214926473749831</v>
      </c>
      <c r="E504" s="307">
        <f t="shared" ca="1" si="212"/>
        <v>-1.3447432482511594</v>
      </c>
      <c r="F504" s="304">
        <f t="shared" ca="1" si="213"/>
        <v>1.5311358364210337</v>
      </c>
      <c r="G504" s="306">
        <f t="shared" ca="1" si="214"/>
        <v>9.2316929993541059</v>
      </c>
      <c r="H504" s="307">
        <f t="shared" ca="1" si="215"/>
        <v>-106.73966839166727</v>
      </c>
      <c r="I504" s="304">
        <f t="shared" ca="1" si="216"/>
        <v>107.13813963289364</v>
      </c>
      <c r="J504" s="306">
        <f t="shared" ca="1" si="217"/>
        <v>746.86410190403069</v>
      </c>
      <c r="K504" s="307">
        <f t="shared" ca="1" si="218"/>
        <v>-3.5067308626566498</v>
      </c>
      <c r="L504" s="304">
        <f t="shared" ca="1" si="203"/>
        <v>746.87233438805151</v>
      </c>
      <c r="M504" s="306">
        <f t="shared" ca="1" si="219"/>
        <v>-1.4845230817067716</v>
      </c>
      <c r="N504" s="304">
        <f t="shared" ca="1" si="220"/>
        <v>-85.05690717155268</v>
      </c>
      <c r="P504" s="310">
        <f t="shared" ca="1" si="221"/>
        <v>23</v>
      </c>
      <c r="Q504" s="304">
        <f t="shared" ca="1" si="222"/>
        <v>0</v>
      </c>
      <c r="R504" s="306">
        <f t="shared" ca="1" si="223"/>
        <v>0</v>
      </c>
      <c r="S504" s="307">
        <f t="shared" ca="1" si="224"/>
        <v>5.083000000000002</v>
      </c>
      <c r="T504" s="304">
        <f t="shared" ca="1" si="204"/>
        <v>49.86423000000002</v>
      </c>
      <c r="U504" s="311">
        <f t="shared" ca="1" si="205"/>
        <v>0</v>
      </c>
      <c r="V504" s="306">
        <f t="shared" ca="1" si="206"/>
        <v>1.2254296498639976</v>
      </c>
      <c r="W504" s="304">
        <f t="shared" ca="1" si="207"/>
        <v>43.189683791223757</v>
      </c>
      <c r="Y504" s="314" t="str">
        <f t="shared" ca="1" si="225"/>
        <v/>
      </c>
      <c r="Z504" s="315" t="str">
        <f t="shared" ca="1" si="226"/>
        <v/>
      </c>
      <c r="AA504" s="316" t="str">
        <f t="shared" ca="1" si="227"/>
        <v/>
      </c>
      <c r="AC504" s="310" t="e">
        <f t="shared" ca="1" si="228"/>
        <v>#N/A</v>
      </c>
      <c r="AD504" s="323" t="e">
        <f t="shared" ca="1" si="229"/>
        <v>#N/A</v>
      </c>
      <c r="AE504" s="324" t="e">
        <f t="shared" ca="1" si="208"/>
        <v>#N/A</v>
      </c>
      <c r="AG504" s="306">
        <f t="shared" ca="1" si="230"/>
        <v>1.2766546083795856</v>
      </c>
      <c r="AH504" s="304">
        <f t="shared" ca="1" si="231"/>
        <v>-8.4968590913869466</v>
      </c>
    </row>
    <row r="505" spans="1:34" x14ac:dyDescent="0.2">
      <c r="A505" s="347">
        <f t="shared" ca="1" si="209"/>
        <v>1E-4</v>
      </c>
      <c r="B505" s="304">
        <f t="shared" ca="1" si="210"/>
        <v>29.211900000000121</v>
      </c>
      <c r="D505" s="306">
        <f t="shared" ca="1" si="211"/>
        <v>-0.73214511214648381</v>
      </c>
      <c r="E505" s="307">
        <f t="shared" ca="1" si="212"/>
        <v>-1.3447134604060906</v>
      </c>
      <c r="F505" s="304">
        <f t="shared" ca="1" si="213"/>
        <v>1.5311076891705919</v>
      </c>
      <c r="G505" s="306">
        <f t="shared" ca="1" si="214"/>
        <v>9.2316197848428914</v>
      </c>
      <c r="H505" s="307">
        <f t="shared" ca="1" si="215"/>
        <v>-106.73980286301331</v>
      </c>
      <c r="I505" s="304">
        <f t="shared" ca="1" si="216"/>
        <v>107.1382672955226</v>
      </c>
      <c r="J505" s="306">
        <f t="shared" ca="1" si="217"/>
        <v>746.86410190403069</v>
      </c>
      <c r="K505" s="307">
        <f t="shared" ca="1" si="218"/>
        <v>-3.5174048362193839</v>
      </c>
      <c r="L505" s="304">
        <f t="shared" ca="1" si="203"/>
        <v>746.87238458099125</v>
      </c>
      <c r="M505" s="306">
        <f t="shared" ca="1" si="219"/>
        <v>-1.4845238706788642</v>
      </c>
      <c r="N505" s="304">
        <f t="shared" ca="1" si="220"/>
        <v>-85.056952376323736</v>
      </c>
      <c r="P505" s="310">
        <f t="shared" ca="1" si="221"/>
        <v>23</v>
      </c>
      <c r="Q505" s="304">
        <f t="shared" ca="1" si="222"/>
        <v>0</v>
      </c>
      <c r="R505" s="306">
        <f t="shared" ca="1" si="223"/>
        <v>0</v>
      </c>
      <c r="S505" s="307">
        <f t="shared" ca="1" si="224"/>
        <v>5.083000000000002</v>
      </c>
      <c r="T505" s="304">
        <f t="shared" ca="1" si="204"/>
        <v>49.86423000000002</v>
      </c>
      <c r="U505" s="311">
        <f t="shared" ca="1" si="205"/>
        <v>0</v>
      </c>
      <c r="V505" s="306">
        <f t="shared" ca="1" si="206"/>
        <v>1.2254309578851046</v>
      </c>
      <c r="W505" s="304">
        <f t="shared" ca="1" si="207"/>
        <v>43.189832819067249</v>
      </c>
      <c r="Y505" s="314" t="str">
        <f t="shared" ca="1" si="225"/>
        <v/>
      </c>
      <c r="Z505" s="315" t="str">
        <f t="shared" ca="1" si="226"/>
        <v/>
      </c>
      <c r="AA505" s="316" t="str">
        <f t="shared" ca="1" si="227"/>
        <v/>
      </c>
      <c r="AC505" s="310" t="e">
        <f t="shared" ca="1" si="228"/>
        <v>#N/A</v>
      </c>
      <c r="AD505" s="323" t="e">
        <f t="shared" ca="1" si="229"/>
        <v>#N/A</v>
      </c>
      <c r="AE505" s="324" t="e">
        <f t="shared" ca="1" si="208"/>
        <v>#N/A</v>
      </c>
      <c r="AG505" s="306">
        <f t="shared" ca="1" si="230"/>
        <v>1.2766259560591688</v>
      </c>
      <c r="AH505" s="304">
        <f t="shared" ca="1" si="231"/>
        <v>-8.4968884106283173</v>
      </c>
    </row>
    <row r="506" spans="1:34" x14ac:dyDescent="0.2">
      <c r="A506" s="347">
        <f t="shared" ca="1" si="209"/>
        <v>1E-4</v>
      </c>
      <c r="B506" s="304">
        <f t="shared" ca="1" si="210"/>
        <v>29.212000000000121</v>
      </c>
      <c r="D506" s="306">
        <f t="shared" ca="1" si="211"/>
        <v>-0.73214095954626868</v>
      </c>
      <c r="E506" s="307">
        <f t="shared" ca="1" si="212"/>
        <v>-1.3446836729329057</v>
      </c>
      <c r="F506" s="304">
        <f t="shared" ca="1" si="213"/>
        <v>1.5310795423157024</v>
      </c>
      <c r="G506" s="306">
        <f t="shared" ca="1" si="214"/>
        <v>9.2315465707469375</v>
      </c>
      <c r="H506" s="307">
        <f t="shared" ca="1" si="215"/>
        <v>-106.7399373313806</v>
      </c>
      <c r="I506" s="304">
        <f t="shared" ca="1" si="216"/>
        <v>107.13839495528636</v>
      </c>
      <c r="J506" s="306">
        <f t="shared" ca="1" si="217"/>
        <v>746.86410190403069</v>
      </c>
      <c r="K506" s="307">
        <f t="shared" ca="1" si="218"/>
        <v>-3.5280788232291038</v>
      </c>
      <c r="L506" s="304">
        <f t="shared" ca="1" si="203"/>
        <v>746.87243492653897</v>
      </c>
      <c r="M506" s="306">
        <f t="shared" ca="1" si="219"/>
        <v>-1.4845246596428192</v>
      </c>
      <c r="N506" s="304">
        <f t="shared" ca="1" si="220"/>
        <v>-85.056997580628547</v>
      </c>
      <c r="P506" s="310">
        <f t="shared" ca="1" si="221"/>
        <v>23</v>
      </c>
      <c r="Q506" s="304">
        <f t="shared" ca="1" si="222"/>
        <v>0</v>
      </c>
      <c r="R506" s="306">
        <f t="shared" ca="1" si="223"/>
        <v>0</v>
      </c>
      <c r="S506" s="307">
        <f t="shared" ca="1" si="224"/>
        <v>5.083000000000002</v>
      </c>
      <c r="T506" s="304">
        <f t="shared" ca="1" si="204"/>
        <v>49.86423000000002</v>
      </c>
      <c r="U506" s="311">
        <f t="shared" ca="1" si="205"/>
        <v>0</v>
      </c>
      <c r="V506" s="306">
        <f t="shared" ca="1" si="206"/>
        <v>1.2254322659092558</v>
      </c>
      <c r="W506" s="304">
        <f t="shared" ca="1" si="207"/>
        <v>43.189981845050362</v>
      </c>
      <c r="Y506" s="314" t="str">
        <f t="shared" ca="1" si="225"/>
        <v/>
      </c>
      <c r="Z506" s="315" t="str">
        <f t="shared" ca="1" si="226"/>
        <v/>
      </c>
      <c r="AA506" s="316" t="str">
        <f t="shared" ca="1" si="227"/>
        <v/>
      </c>
      <c r="AC506" s="310" t="e">
        <f t="shared" ca="1" si="228"/>
        <v>#N/A</v>
      </c>
      <c r="AD506" s="323" t="e">
        <f t="shared" ca="1" si="229"/>
        <v>#N/A</v>
      </c>
      <c r="AE506" s="324" t="e">
        <f t="shared" ca="1" si="208"/>
        <v>#N/A</v>
      </c>
      <c r="AG506" s="306">
        <f t="shared" ca="1" si="230"/>
        <v>1.2765973040917906</v>
      </c>
      <c r="AH506" s="304">
        <f t="shared" ca="1" si="231"/>
        <v>-8.4969177295036857</v>
      </c>
    </row>
    <row r="507" spans="1:34" x14ac:dyDescent="0.2">
      <c r="A507" s="347">
        <f t="shared" ca="1" si="209"/>
        <v>1E-4</v>
      </c>
      <c r="B507" s="304">
        <f t="shared" ca="1" si="210"/>
        <v>29.21210000000012</v>
      </c>
      <c r="D507" s="306">
        <f t="shared" ca="1" si="211"/>
        <v>-0.73213680693685645</v>
      </c>
      <c r="E507" s="307">
        <f t="shared" ca="1" si="212"/>
        <v>-1.3446538858316011</v>
      </c>
      <c r="F507" s="304">
        <f t="shared" ca="1" si="213"/>
        <v>1.5310513958563639</v>
      </c>
      <c r="G507" s="306">
        <f t="shared" ca="1" si="214"/>
        <v>9.2314733570662444</v>
      </c>
      <c r="H507" s="307">
        <f t="shared" ca="1" si="215"/>
        <v>-106.74007179676919</v>
      </c>
      <c r="I507" s="304">
        <f t="shared" ca="1" si="216"/>
        <v>107.13852261218494</v>
      </c>
      <c r="J507" s="306">
        <f t="shared" ca="1" si="217"/>
        <v>746.86410190403069</v>
      </c>
      <c r="K507" s="307">
        <f t="shared" ca="1" si="218"/>
        <v>-3.5387528236855115</v>
      </c>
      <c r="L507" s="304">
        <f t="shared" ca="1" si="203"/>
        <v>746.87248542469513</v>
      </c>
      <c r="M507" s="306">
        <f t="shared" ca="1" si="219"/>
        <v>-1.484525448598637</v>
      </c>
      <c r="N507" s="304">
        <f t="shared" ca="1" si="220"/>
        <v>-85.057042784467129</v>
      </c>
      <c r="P507" s="310">
        <f t="shared" ca="1" si="221"/>
        <v>23</v>
      </c>
      <c r="Q507" s="304">
        <f t="shared" ca="1" si="222"/>
        <v>0</v>
      </c>
      <c r="R507" s="306">
        <f t="shared" ca="1" si="223"/>
        <v>0</v>
      </c>
      <c r="S507" s="307">
        <f t="shared" ca="1" si="224"/>
        <v>5.083000000000002</v>
      </c>
      <c r="T507" s="304">
        <f t="shared" ca="1" si="204"/>
        <v>49.86423000000002</v>
      </c>
      <c r="U507" s="311">
        <f t="shared" ca="1" si="205"/>
        <v>0</v>
      </c>
      <c r="V507" s="306">
        <f t="shared" ca="1" si="206"/>
        <v>1.2254335739364512</v>
      </c>
      <c r="W507" s="304">
        <f t="shared" ca="1" si="207"/>
        <v>43.190130869173082</v>
      </c>
      <c r="Y507" s="314" t="str">
        <f t="shared" ca="1" si="225"/>
        <v/>
      </c>
      <c r="Z507" s="315" t="str">
        <f t="shared" ca="1" si="226"/>
        <v/>
      </c>
      <c r="AA507" s="316" t="str">
        <f t="shared" ca="1" si="227"/>
        <v/>
      </c>
      <c r="AC507" s="310" t="e">
        <f t="shared" ca="1" si="228"/>
        <v>#N/A</v>
      </c>
      <c r="AD507" s="323" t="e">
        <f t="shared" ca="1" si="229"/>
        <v>#N/A</v>
      </c>
      <c r="AE507" s="324" t="e">
        <f t="shared" ca="1" si="208"/>
        <v>#N/A</v>
      </c>
      <c r="AG507" s="306">
        <f t="shared" ca="1" si="230"/>
        <v>1.2765686524774527</v>
      </c>
      <c r="AH507" s="304">
        <f t="shared" ca="1" si="231"/>
        <v>-8.4969470480130518</v>
      </c>
    </row>
    <row r="508" spans="1:34" x14ac:dyDescent="0.2">
      <c r="A508" s="347">
        <f t="shared" ca="1" si="209"/>
        <v>1E-4</v>
      </c>
      <c r="B508" s="304">
        <f t="shared" ca="1" si="210"/>
        <v>29.21220000000012</v>
      </c>
      <c r="D508" s="306">
        <f t="shared" ca="1" si="211"/>
        <v>-0.73213265431824726</v>
      </c>
      <c r="E508" s="307">
        <f t="shared" ca="1" si="212"/>
        <v>-1.3446240991021767</v>
      </c>
      <c r="F508" s="304">
        <f t="shared" ca="1" si="213"/>
        <v>1.5310232497925766</v>
      </c>
      <c r="G508" s="306">
        <f t="shared" ca="1" si="214"/>
        <v>9.231400143800812</v>
      </c>
      <c r="H508" s="307">
        <f t="shared" ca="1" si="215"/>
        <v>-106.74020625917909</v>
      </c>
      <c r="I508" s="304">
        <f t="shared" ca="1" si="216"/>
        <v>107.13865026621839</v>
      </c>
      <c r="J508" s="306">
        <f t="shared" ca="1" si="217"/>
        <v>746.86410190403069</v>
      </c>
      <c r="K508" s="307">
        <f t="shared" ca="1" si="218"/>
        <v>-3.5494268375883089</v>
      </c>
      <c r="L508" s="304">
        <f t="shared" ca="1" si="203"/>
        <v>746.87253607546029</v>
      </c>
      <c r="M508" s="306">
        <f t="shared" ca="1" si="219"/>
        <v>-1.4845262375463177</v>
      </c>
      <c r="N508" s="304">
        <f t="shared" ca="1" si="220"/>
        <v>-85.057087987839495</v>
      </c>
      <c r="P508" s="310">
        <f t="shared" ca="1" si="221"/>
        <v>23</v>
      </c>
      <c r="Q508" s="304">
        <f t="shared" ca="1" si="222"/>
        <v>0</v>
      </c>
      <c r="R508" s="306">
        <f t="shared" ca="1" si="223"/>
        <v>0</v>
      </c>
      <c r="S508" s="307">
        <f t="shared" ca="1" si="224"/>
        <v>5.083000000000002</v>
      </c>
      <c r="T508" s="304">
        <f t="shared" ca="1" si="204"/>
        <v>49.86423000000002</v>
      </c>
      <c r="U508" s="311">
        <f t="shared" ca="1" si="205"/>
        <v>0</v>
      </c>
      <c r="V508" s="306">
        <f t="shared" ca="1" si="206"/>
        <v>1.2254348819666907</v>
      </c>
      <c r="W508" s="304">
        <f t="shared" ca="1" si="207"/>
        <v>43.190279891435424</v>
      </c>
      <c r="Y508" s="314" t="str">
        <f t="shared" ca="1" si="225"/>
        <v/>
      </c>
      <c r="Z508" s="315" t="str">
        <f t="shared" ca="1" si="226"/>
        <v/>
      </c>
      <c r="AA508" s="316" t="str">
        <f t="shared" ca="1" si="227"/>
        <v/>
      </c>
      <c r="AC508" s="310" t="e">
        <f t="shared" ca="1" si="228"/>
        <v>#N/A</v>
      </c>
      <c r="AD508" s="323" t="e">
        <f t="shared" ca="1" si="229"/>
        <v>#N/A</v>
      </c>
      <c r="AE508" s="324" t="e">
        <f t="shared" ca="1" si="208"/>
        <v>#N/A</v>
      </c>
      <c r="AG508" s="306">
        <f t="shared" ca="1" si="230"/>
        <v>1.2765400012161532</v>
      </c>
      <c r="AH508" s="304">
        <f t="shared" ca="1" si="231"/>
        <v>-8.4969763661564173</v>
      </c>
    </row>
    <row r="509" spans="1:34" x14ac:dyDescent="0.2">
      <c r="A509" s="347">
        <f t="shared" ca="1" si="209"/>
        <v>1E-4</v>
      </c>
      <c r="B509" s="304">
        <f t="shared" ca="1" si="210"/>
        <v>29.21230000000012</v>
      </c>
      <c r="D509" s="306">
        <f t="shared" ca="1" si="211"/>
        <v>-0.7321285016904403</v>
      </c>
      <c r="E509" s="307">
        <f t="shared" ca="1" si="212"/>
        <v>-1.3445943127446363</v>
      </c>
      <c r="F509" s="304">
        <f t="shared" ca="1" si="213"/>
        <v>1.5309951041243435</v>
      </c>
      <c r="G509" s="306">
        <f t="shared" ca="1" si="214"/>
        <v>9.2313269309506421</v>
      </c>
      <c r="H509" s="307">
        <f t="shared" ca="1" si="215"/>
        <v>-106.74034071861037</v>
      </c>
      <c r="I509" s="304">
        <f t="shared" ca="1" si="216"/>
        <v>107.13877791738678</v>
      </c>
      <c r="J509" s="306">
        <f t="shared" ca="1" si="217"/>
        <v>746.86410190403069</v>
      </c>
      <c r="K509" s="307">
        <f t="shared" ca="1" si="218"/>
        <v>-3.5601008649371986</v>
      </c>
      <c r="L509" s="304">
        <f t="shared" ca="1" si="203"/>
        <v>746.87258687883491</v>
      </c>
      <c r="M509" s="306">
        <f t="shared" ca="1" si="219"/>
        <v>-1.4845270264858614</v>
      </c>
      <c r="N509" s="304">
        <f t="shared" ca="1" si="220"/>
        <v>-85.057133190745645</v>
      </c>
      <c r="P509" s="310">
        <f t="shared" ca="1" si="221"/>
        <v>23</v>
      </c>
      <c r="Q509" s="304">
        <f t="shared" ca="1" si="222"/>
        <v>0</v>
      </c>
      <c r="R509" s="306">
        <f t="shared" ca="1" si="223"/>
        <v>0</v>
      </c>
      <c r="S509" s="307">
        <f t="shared" ca="1" si="224"/>
        <v>5.083000000000002</v>
      </c>
      <c r="T509" s="304">
        <f t="shared" ca="1" si="204"/>
        <v>49.86423000000002</v>
      </c>
      <c r="U509" s="311">
        <f t="shared" ca="1" si="205"/>
        <v>0</v>
      </c>
      <c r="V509" s="306">
        <f t="shared" ca="1" si="206"/>
        <v>1.2254361899999746</v>
      </c>
      <c r="W509" s="304">
        <f t="shared" ca="1" si="207"/>
        <v>43.190428911837451</v>
      </c>
      <c r="Y509" s="314" t="str">
        <f t="shared" ca="1" si="225"/>
        <v/>
      </c>
      <c r="Z509" s="315" t="str">
        <f t="shared" ca="1" si="226"/>
        <v/>
      </c>
      <c r="AA509" s="316" t="str">
        <f t="shared" ca="1" si="227"/>
        <v/>
      </c>
      <c r="AC509" s="310" t="e">
        <f t="shared" ca="1" si="228"/>
        <v>#N/A</v>
      </c>
      <c r="AD509" s="323" t="e">
        <f t="shared" ca="1" si="229"/>
        <v>#N/A</v>
      </c>
      <c r="AE509" s="324" t="e">
        <f t="shared" ca="1" si="208"/>
        <v>#N/A</v>
      </c>
      <c r="AG509" s="306">
        <f t="shared" ca="1" si="230"/>
        <v>1.276511350307894</v>
      </c>
      <c r="AH509" s="304">
        <f t="shared" ca="1" si="231"/>
        <v>-8.4970056839337804</v>
      </c>
    </row>
    <row r="510" spans="1:34" x14ac:dyDescent="0.2">
      <c r="A510" s="347">
        <f t="shared" ca="1" si="209"/>
        <v>1E-4</v>
      </c>
      <c r="B510" s="304">
        <f t="shared" ca="1" si="210"/>
        <v>29.21240000000012</v>
      </c>
      <c r="D510" s="306">
        <f t="shared" ca="1" si="211"/>
        <v>-0.73212434905343882</v>
      </c>
      <c r="E510" s="307">
        <f t="shared" ca="1" si="212"/>
        <v>-1.3445645267589583</v>
      </c>
      <c r="F510" s="304">
        <f t="shared" ca="1" si="213"/>
        <v>1.5309669588516479</v>
      </c>
      <c r="G510" s="306">
        <f t="shared" ca="1" si="214"/>
        <v>9.2312537185157364</v>
      </c>
      <c r="H510" s="307">
        <f t="shared" ca="1" si="215"/>
        <v>-106.74047517506304</v>
      </c>
      <c r="I510" s="304">
        <f t="shared" ca="1" si="216"/>
        <v>107.1389055656901</v>
      </c>
      <c r="J510" s="306">
        <f t="shared" ca="1" si="217"/>
        <v>746.86410190403069</v>
      </c>
      <c r="K510" s="307">
        <f t="shared" ca="1" si="218"/>
        <v>-3.5707749057318821</v>
      </c>
      <c r="L510" s="304">
        <f t="shared" ca="1" si="203"/>
        <v>746.87263783481967</v>
      </c>
      <c r="M510" s="306">
        <f t="shared" ca="1" si="219"/>
        <v>-1.4845278154172681</v>
      </c>
      <c r="N510" s="304">
        <f t="shared" ca="1" si="220"/>
        <v>-85.057178393185566</v>
      </c>
      <c r="P510" s="310">
        <f t="shared" ca="1" si="221"/>
        <v>23</v>
      </c>
      <c r="Q510" s="304">
        <f t="shared" ca="1" si="222"/>
        <v>0</v>
      </c>
      <c r="R510" s="306">
        <f t="shared" ca="1" si="223"/>
        <v>0</v>
      </c>
      <c r="S510" s="307">
        <f t="shared" ca="1" si="224"/>
        <v>5.083000000000002</v>
      </c>
      <c r="T510" s="304">
        <f t="shared" ca="1" si="204"/>
        <v>49.86423000000002</v>
      </c>
      <c r="U510" s="311">
        <f t="shared" ca="1" si="205"/>
        <v>0</v>
      </c>
      <c r="V510" s="306">
        <f t="shared" ca="1" si="206"/>
        <v>1.2254374980363028</v>
      </c>
      <c r="W510" s="304">
        <f t="shared" ca="1" si="207"/>
        <v>43.190577930379135</v>
      </c>
      <c r="Y510" s="314" t="str">
        <f t="shared" ca="1" si="225"/>
        <v/>
      </c>
      <c r="Z510" s="315" t="str">
        <f t="shared" ca="1" si="226"/>
        <v/>
      </c>
      <c r="AA510" s="316" t="str">
        <f t="shared" ca="1" si="227"/>
        <v/>
      </c>
      <c r="AC510" s="310" t="e">
        <f t="shared" ca="1" si="228"/>
        <v>#N/A</v>
      </c>
      <c r="AD510" s="323" t="e">
        <f t="shared" ca="1" si="229"/>
        <v>#N/A</v>
      </c>
      <c r="AE510" s="324" t="e">
        <f t="shared" ca="1" si="208"/>
        <v>#N/A</v>
      </c>
      <c r="AG510" s="306">
        <f t="shared" ca="1" si="230"/>
        <v>1.2764826997526626</v>
      </c>
      <c r="AH510" s="304">
        <f t="shared" ca="1" si="231"/>
        <v>-8.4970350013451572</v>
      </c>
    </row>
    <row r="511" spans="1:34" x14ac:dyDescent="0.2">
      <c r="A511" s="347">
        <f t="shared" ca="1" si="209"/>
        <v>1E-4</v>
      </c>
      <c r="B511" s="304">
        <f t="shared" ca="1" si="210"/>
        <v>29.212500000000119</v>
      </c>
      <c r="D511" s="306">
        <f t="shared" ca="1" si="211"/>
        <v>-0.73212019640724368</v>
      </c>
      <c r="E511" s="307">
        <f t="shared" ca="1" si="212"/>
        <v>-1.3445347411451554</v>
      </c>
      <c r="F511" s="304">
        <f t="shared" ca="1" si="213"/>
        <v>1.5309388139745006</v>
      </c>
      <c r="G511" s="306">
        <f t="shared" ca="1" si="214"/>
        <v>9.231180506496095</v>
      </c>
      <c r="H511" s="307">
        <f t="shared" ca="1" si="215"/>
        <v>-106.74060962853716</v>
      </c>
      <c r="I511" s="304">
        <f t="shared" ca="1" si="216"/>
        <v>107.13903321112839</v>
      </c>
      <c r="J511" s="306">
        <f t="shared" ca="1" si="217"/>
        <v>746.86410190403069</v>
      </c>
      <c r="K511" s="307">
        <f t="shared" ca="1" si="218"/>
        <v>-3.5814489599720623</v>
      </c>
      <c r="L511" s="304">
        <f t="shared" ca="1" si="203"/>
        <v>746.87268894341503</v>
      </c>
      <c r="M511" s="306">
        <f t="shared" ca="1" si="219"/>
        <v>-1.4845286043405381</v>
      </c>
      <c r="N511" s="304">
        <f t="shared" ca="1" si="220"/>
        <v>-85.0572235951593</v>
      </c>
      <c r="P511" s="310">
        <f t="shared" ca="1" si="221"/>
        <v>23</v>
      </c>
      <c r="Q511" s="304">
        <f t="shared" ca="1" si="222"/>
        <v>0</v>
      </c>
      <c r="R511" s="306">
        <f t="shared" ca="1" si="223"/>
        <v>0</v>
      </c>
      <c r="S511" s="307">
        <f t="shared" ca="1" si="224"/>
        <v>5.083000000000002</v>
      </c>
      <c r="T511" s="304">
        <f t="shared" ca="1" si="204"/>
        <v>49.86423000000002</v>
      </c>
      <c r="U511" s="311">
        <f t="shared" ca="1" si="205"/>
        <v>0</v>
      </c>
      <c r="V511" s="306">
        <f t="shared" ca="1" si="206"/>
        <v>1.2254388060756749</v>
      </c>
      <c r="W511" s="304">
        <f t="shared" ca="1" si="207"/>
        <v>43.190726947060497</v>
      </c>
      <c r="Y511" s="314" t="str">
        <f t="shared" ca="1" si="225"/>
        <v/>
      </c>
      <c r="Z511" s="315" t="str">
        <f t="shared" ca="1" si="226"/>
        <v/>
      </c>
      <c r="AA511" s="316" t="str">
        <f t="shared" ca="1" si="227"/>
        <v/>
      </c>
      <c r="AC511" s="310" t="e">
        <f t="shared" ca="1" si="228"/>
        <v>#N/A</v>
      </c>
      <c r="AD511" s="323" t="e">
        <f t="shared" ca="1" si="229"/>
        <v>#N/A</v>
      </c>
      <c r="AE511" s="324" t="e">
        <f t="shared" ca="1" si="208"/>
        <v>#N/A</v>
      </c>
      <c r="AG511" s="306">
        <f t="shared" ca="1" si="230"/>
        <v>1.2764540495504608</v>
      </c>
      <c r="AH511" s="304">
        <f t="shared" ca="1" si="231"/>
        <v>-8.4970643183905405</v>
      </c>
    </row>
    <row r="512" spans="1:34" x14ac:dyDescent="0.2">
      <c r="A512" s="347">
        <f t="shared" ca="1" si="209"/>
        <v>1E-4</v>
      </c>
      <c r="B512" s="304">
        <f t="shared" ca="1" si="210"/>
        <v>29.212600000000119</v>
      </c>
      <c r="D512" s="306">
        <f t="shared" ca="1" si="211"/>
        <v>-0.73211604375185302</v>
      </c>
      <c r="E512" s="307">
        <f t="shared" ca="1" si="212"/>
        <v>-1.3445049559032203</v>
      </c>
      <c r="F512" s="304">
        <f t="shared" ca="1" si="213"/>
        <v>1.5309106694928956</v>
      </c>
      <c r="G512" s="306">
        <f t="shared" ca="1" si="214"/>
        <v>9.2311072948917197</v>
      </c>
      <c r="H512" s="307">
        <f t="shared" ca="1" si="215"/>
        <v>-106.74074407903275</v>
      </c>
      <c r="I512" s="304">
        <f t="shared" ca="1" si="216"/>
        <v>107.13916085370171</v>
      </c>
      <c r="J512" s="306">
        <f t="shared" ca="1" si="217"/>
        <v>746.86410190403069</v>
      </c>
      <c r="K512" s="307">
        <f t="shared" ca="1" si="218"/>
        <v>-3.5921230276574407</v>
      </c>
      <c r="L512" s="304">
        <f t="shared" ca="1" si="203"/>
        <v>746.87274020462155</v>
      </c>
      <c r="M512" s="306">
        <f t="shared" ca="1" si="219"/>
        <v>-1.4845293932556716</v>
      </c>
      <c r="N512" s="304">
        <f t="shared" ca="1" si="220"/>
        <v>-85.057268796666833</v>
      </c>
      <c r="P512" s="310">
        <f t="shared" ca="1" si="221"/>
        <v>23</v>
      </c>
      <c r="Q512" s="304">
        <f t="shared" ca="1" si="222"/>
        <v>0</v>
      </c>
      <c r="R512" s="306">
        <f t="shared" ca="1" si="223"/>
        <v>0</v>
      </c>
      <c r="S512" s="307">
        <f t="shared" ca="1" si="224"/>
        <v>5.083000000000002</v>
      </c>
      <c r="T512" s="304">
        <f t="shared" ca="1" si="204"/>
        <v>49.86423000000002</v>
      </c>
      <c r="U512" s="311">
        <f t="shared" ca="1" si="205"/>
        <v>0</v>
      </c>
      <c r="V512" s="306">
        <f t="shared" ca="1" si="206"/>
        <v>1.2254401141180911</v>
      </c>
      <c r="W512" s="304">
        <f t="shared" ca="1" si="207"/>
        <v>43.190875961881545</v>
      </c>
      <c r="Y512" s="314" t="str">
        <f t="shared" ca="1" si="225"/>
        <v/>
      </c>
      <c r="Z512" s="315" t="str">
        <f t="shared" ca="1" si="226"/>
        <v/>
      </c>
      <c r="AA512" s="316" t="str">
        <f t="shared" ca="1" si="227"/>
        <v/>
      </c>
      <c r="AC512" s="310" t="e">
        <f t="shared" ca="1" si="228"/>
        <v>#N/A</v>
      </c>
      <c r="AD512" s="323" t="e">
        <f t="shared" ca="1" si="229"/>
        <v>#N/A</v>
      </c>
      <c r="AE512" s="324" t="e">
        <f t="shared" ca="1" si="208"/>
        <v>#N/A</v>
      </c>
      <c r="AG512" s="306">
        <f t="shared" ca="1" si="230"/>
        <v>1.2764253997012869</v>
      </c>
      <c r="AH512" s="304">
        <f t="shared" ca="1" si="231"/>
        <v>-8.4970936350699358</v>
      </c>
    </row>
    <row r="513" spans="1:34" x14ac:dyDescent="0.2">
      <c r="A513" s="347">
        <f t="shared" ca="1" si="209"/>
        <v>1E-4</v>
      </c>
      <c r="B513" s="304">
        <f t="shared" ca="1" si="210"/>
        <v>29.212700000000119</v>
      </c>
      <c r="D513" s="306">
        <f t="shared" ca="1" si="211"/>
        <v>-0.73211189108726871</v>
      </c>
      <c r="E513" s="307">
        <f t="shared" ca="1" si="212"/>
        <v>-1.3444751710331513</v>
      </c>
      <c r="F513" s="304">
        <f t="shared" ca="1" si="213"/>
        <v>1.5308825254068315</v>
      </c>
      <c r="G513" s="306">
        <f t="shared" ca="1" si="214"/>
        <v>9.2310340837026104</v>
      </c>
      <c r="H513" s="307">
        <f t="shared" ca="1" si="215"/>
        <v>-106.74087852654985</v>
      </c>
      <c r="I513" s="304">
        <f t="shared" ca="1" si="216"/>
        <v>107.13928849341006</v>
      </c>
      <c r="J513" s="306">
        <f t="shared" ca="1" si="217"/>
        <v>746.86410190403069</v>
      </c>
      <c r="K513" s="307">
        <f t="shared" ca="1" si="218"/>
        <v>-3.60279710878772</v>
      </c>
      <c r="L513" s="304">
        <f t="shared" ca="1" si="203"/>
        <v>746.87279161843981</v>
      </c>
      <c r="M513" s="306">
        <f t="shared" ca="1" si="219"/>
        <v>-1.4845301821626684</v>
      </c>
      <c r="N513" s="304">
        <f t="shared" ca="1" si="220"/>
        <v>-85.057313997708192</v>
      </c>
      <c r="P513" s="310">
        <f t="shared" ca="1" si="221"/>
        <v>23</v>
      </c>
      <c r="Q513" s="304">
        <f t="shared" ca="1" si="222"/>
        <v>0</v>
      </c>
      <c r="R513" s="306">
        <f t="shared" ca="1" si="223"/>
        <v>0</v>
      </c>
      <c r="S513" s="307">
        <f t="shared" ca="1" si="224"/>
        <v>5.083000000000002</v>
      </c>
      <c r="T513" s="304">
        <f t="shared" ca="1" si="204"/>
        <v>49.86423000000002</v>
      </c>
      <c r="U513" s="311">
        <f t="shared" ca="1" si="205"/>
        <v>0</v>
      </c>
      <c r="V513" s="306">
        <f t="shared" ca="1" si="206"/>
        <v>1.225441422163551</v>
      </c>
      <c r="W513" s="304">
        <f t="shared" ca="1" si="207"/>
        <v>43.191024974842279</v>
      </c>
      <c r="Y513" s="314" t="str">
        <f t="shared" ca="1" si="225"/>
        <v/>
      </c>
      <c r="Z513" s="315" t="str">
        <f t="shared" ca="1" si="226"/>
        <v/>
      </c>
      <c r="AA513" s="316" t="str">
        <f t="shared" ca="1" si="227"/>
        <v/>
      </c>
      <c r="AC513" s="310" t="e">
        <f t="shared" ca="1" si="228"/>
        <v>#N/A</v>
      </c>
      <c r="AD513" s="323" t="e">
        <f t="shared" ca="1" si="229"/>
        <v>#N/A</v>
      </c>
      <c r="AE513" s="324" t="e">
        <f t="shared" ca="1" si="208"/>
        <v>#N/A</v>
      </c>
      <c r="AG513" s="306">
        <f t="shared" ca="1" si="230"/>
        <v>1.2763967502051408</v>
      </c>
      <c r="AH513" s="304">
        <f t="shared" ca="1" si="231"/>
        <v>-8.4971229513833428</v>
      </c>
    </row>
    <row r="514" spans="1:34" x14ac:dyDescent="0.2">
      <c r="A514" s="347">
        <f t="shared" ca="1" si="209"/>
        <v>1E-4</v>
      </c>
      <c r="B514" s="304">
        <f t="shared" ca="1" si="210"/>
        <v>29.212800000000119</v>
      </c>
      <c r="D514" s="306">
        <f t="shared" ca="1" si="211"/>
        <v>-0.73210773841349208</v>
      </c>
      <c r="E514" s="307">
        <f t="shared" ca="1" si="212"/>
        <v>-1.3444453865349502</v>
      </c>
      <c r="F514" s="304">
        <f t="shared" ca="1" si="213"/>
        <v>1.5308543817163112</v>
      </c>
      <c r="G514" s="306">
        <f t="shared" ca="1" si="214"/>
        <v>9.2309608729287689</v>
      </c>
      <c r="H514" s="307">
        <f t="shared" ca="1" si="215"/>
        <v>-106.74101297108851</v>
      </c>
      <c r="I514" s="304">
        <f t="shared" ca="1" si="216"/>
        <v>107.13941613025352</v>
      </c>
      <c r="J514" s="306">
        <f t="shared" ca="1" si="217"/>
        <v>746.86410190403069</v>
      </c>
      <c r="K514" s="307">
        <f t="shared" ca="1" si="218"/>
        <v>-3.613471203362602</v>
      </c>
      <c r="L514" s="304">
        <f t="shared" ca="1" si="203"/>
        <v>746.87284318487036</v>
      </c>
      <c r="M514" s="306">
        <f t="shared" ca="1" si="219"/>
        <v>-1.4845309710615286</v>
      </c>
      <c r="N514" s="304">
        <f t="shared" ca="1" si="220"/>
        <v>-85.057359198283336</v>
      </c>
      <c r="P514" s="310">
        <f t="shared" ca="1" si="221"/>
        <v>23</v>
      </c>
      <c r="Q514" s="304">
        <f t="shared" ca="1" si="222"/>
        <v>0</v>
      </c>
      <c r="R514" s="306">
        <f t="shared" ca="1" si="223"/>
        <v>0</v>
      </c>
      <c r="S514" s="307">
        <f t="shared" ca="1" si="224"/>
        <v>5.083000000000002</v>
      </c>
      <c r="T514" s="304">
        <f t="shared" ca="1" si="204"/>
        <v>49.86423000000002</v>
      </c>
      <c r="U514" s="311">
        <f t="shared" ca="1" si="205"/>
        <v>0</v>
      </c>
      <c r="V514" s="306">
        <f t="shared" ca="1" si="206"/>
        <v>1.2254427302120559</v>
      </c>
      <c r="W514" s="304">
        <f t="shared" ca="1" si="207"/>
        <v>43.191173985942775</v>
      </c>
      <c r="Y514" s="314" t="str">
        <f t="shared" ca="1" si="225"/>
        <v/>
      </c>
      <c r="Z514" s="315" t="str">
        <f t="shared" ca="1" si="226"/>
        <v/>
      </c>
      <c r="AA514" s="316" t="str">
        <f t="shared" ca="1" si="227"/>
        <v/>
      </c>
      <c r="AC514" s="310" t="e">
        <f t="shared" ca="1" si="228"/>
        <v>#N/A</v>
      </c>
      <c r="AD514" s="323" t="e">
        <f t="shared" ca="1" si="229"/>
        <v>#N/A</v>
      </c>
      <c r="AE514" s="324" t="e">
        <f t="shared" ca="1" si="208"/>
        <v>#N/A</v>
      </c>
      <c r="AG514" s="306">
        <f t="shared" ca="1" si="230"/>
        <v>1.2763681010620243</v>
      </c>
      <c r="AH514" s="304">
        <f t="shared" ca="1" si="231"/>
        <v>-8.4971522673307618</v>
      </c>
    </row>
    <row r="515" spans="1:34" x14ac:dyDescent="0.2">
      <c r="A515" s="347">
        <f t="shared" ca="1" si="209"/>
        <v>1E-4</v>
      </c>
      <c r="B515" s="304">
        <f t="shared" ca="1" si="210"/>
        <v>29.212900000000118</v>
      </c>
      <c r="D515" s="306">
        <f t="shared" ca="1" si="211"/>
        <v>-0.73210358573052625</v>
      </c>
      <c r="E515" s="307">
        <f t="shared" ca="1" si="212"/>
        <v>-1.3444156024086009</v>
      </c>
      <c r="F515" s="304">
        <f t="shared" ca="1" si="213"/>
        <v>1.5308262384213225</v>
      </c>
      <c r="G515" s="306">
        <f t="shared" ca="1" si="214"/>
        <v>9.2308876625701952</v>
      </c>
      <c r="H515" s="307">
        <f t="shared" ca="1" si="215"/>
        <v>-106.74114741264874</v>
      </c>
      <c r="I515" s="304">
        <f t="shared" ca="1" si="216"/>
        <v>107.13954376423207</v>
      </c>
      <c r="J515" s="306">
        <f t="shared" ca="1" si="217"/>
        <v>746.86410190403069</v>
      </c>
      <c r="K515" s="307">
        <f t="shared" ca="1" si="218"/>
        <v>-3.6241453113817887</v>
      </c>
      <c r="L515" s="304">
        <f t="shared" ca="1" si="203"/>
        <v>746.87289490391356</v>
      </c>
      <c r="M515" s="306">
        <f t="shared" ca="1" si="219"/>
        <v>-1.4845317599522527</v>
      </c>
      <c r="N515" s="304">
        <f t="shared" ca="1" si="220"/>
        <v>-85.057404398392322</v>
      </c>
      <c r="P515" s="310">
        <f t="shared" ca="1" si="221"/>
        <v>23</v>
      </c>
      <c r="Q515" s="304">
        <f t="shared" ca="1" si="222"/>
        <v>0</v>
      </c>
      <c r="R515" s="306">
        <f t="shared" ca="1" si="223"/>
        <v>0</v>
      </c>
      <c r="S515" s="307">
        <f t="shared" ca="1" si="224"/>
        <v>5.083000000000002</v>
      </c>
      <c r="T515" s="304">
        <f t="shared" ca="1" si="204"/>
        <v>49.86423000000002</v>
      </c>
      <c r="U515" s="311">
        <f t="shared" ca="1" si="205"/>
        <v>0</v>
      </c>
      <c r="V515" s="306">
        <f t="shared" ca="1" si="206"/>
        <v>1.2254440382636043</v>
      </c>
      <c r="W515" s="304">
        <f t="shared" ca="1" si="207"/>
        <v>43.191322995182958</v>
      </c>
      <c r="Y515" s="314" t="str">
        <f t="shared" ca="1" si="225"/>
        <v/>
      </c>
      <c r="Z515" s="315" t="str">
        <f t="shared" ca="1" si="226"/>
        <v/>
      </c>
      <c r="AA515" s="316" t="str">
        <f t="shared" ca="1" si="227"/>
        <v/>
      </c>
      <c r="AC515" s="310" t="e">
        <f t="shared" ca="1" si="228"/>
        <v>#N/A</v>
      </c>
      <c r="AD515" s="323" t="e">
        <f t="shared" ca="1" si="229"/>
        <v>#N/A</v>
      </c>
      <c r="AE515" s="324" t="e">
        <f t="shared" ca="1" si="208"/>
        <v>#N/A</v>
      </c>
      <c r="AG515" s="306">
        <f t="shared" ca="1" si="230"/>
        <v>1.2763394522719178</v>
      </c>
      <c r="AH515" s="304">
        <f t="shared" ca="1" si="231"/>
        <v>-8.4971815829122086</v>
      </c>
    </row>
    <row r="516" spans="1:34" x14ac:dyDescent="0.2">
      <c r="A516" s="347">
        <f t="shared" ca="1" si="209"/>
        <v>1E-4</v>
      </c>
      <c r="B516" s="304">
        <f t="shared" ca="1" si="210"/>
        <v>29.213000000000118</v>
      </c>
      <c r="D516" s="306">
        <f t="shared" ca="1" si="211"/>
        <v>-0.73209943303836789</v>
      </c>
      <c r="E516" s="307">
        <f t="shared" ca="1" si="212"/>
        <v>-1.3443858186541178</v>
      </c>
      <c r="F516" s="304">
        <f t="shared" ca="1" si="213"/>
        <v>1.5307980955218758</v>
      </c>
      <c r="G516" s="306">
        <f t="shared" ca="1" si="214"/>
        <v>9.2308144526268912</v>
      </c>
      <c r="H516" s="307">
        <f t="shared" ca="1" si="215"/>
        <v>-106.74128185123061</v>
      </c>
      <c r="I516" s="304">
        <f t="shared" ca="1" si="216"/>
        <v>107.1396713953458</v>
      </c>
      <c r="J516" s="306">
        <f t="shared" ca="1" si="217"/>
        <v>746.86410190403069</v>
      </c>
      <c r="K516" s="307">
        <f t="shared" ca="1" si="218"/>
        <v>-3.6348194328449828</v>
      </c>
      <c r="L516" s="304">
        <f t="shared" ref="L516:L579" ca="1" si="232">SQRT(pos_x^2+pos_z^2)</f>
        <v>746.8729467755702</v>
      </c>
      <c r="M516" s="306">
        <f t="shared" ca="1" si="219"/>
        <v>-1.4845325488348404</v>
      </c>
      <c r="N516" s="304">
        <f t="shared" ca="1" si="220"/>
        <v>-85.057449598035134</v>
      </c>
      <c r="P516" s="310">
        <f t="shared" ca="1" si="221"/>
        <v>23</v>
      </c>
      <c r="Q516" s="304">
        <f t="shared" ca="1" si="222"/>
        <v>0</v>
      </c>
      <c r="R516" s="306">
        <f t="shared" ca="1" si="223"/>
        <v>0</v>
      </c>
      <c r="S516" s="307">
        <f t="shared" ca="1" si="224"/>
        <v>5.083000000000002</v>
      </c>
      <c r="T516" s="304">
        <f t="shared" ref="T516:T579" ca="1" si="233">m*g</f>
        <v>49.86423000000002</v>
      </c>
      <c r="U516" s="311">
        <f t="shared" ref="U516:U579" ca="1" si="234">IF(pos_xz&lt;L_rampe,Poids*COS(Beta),0)</f>
        <v>0</v>
      </c>
      <c r="V516" s="306">
        <f t="shared" ref="V516:V579" ca="1" si="235">Rho_moyen*(20000-Alt_rampe-pos_z)/(20000+Alt_rampe+pos_z)</f>
        <v>1.2254453463181962</v>
      </c>
      <c r="W516" s="304">
        <f t="shared" ref="W516:W579" ca="1" si="236">1/2*Rho*Sref*Cx*vit_xz^2</f>
        <v>43.19147200256289</v>
      </c>
      <c r="Y516" s="314" t="str">
        <f t="shared" ca="1" si="225"/>
        <v/>
      </c>
      <c r="Z516" s="315" t="str">
        <f t="shared" ca="1" si="226"/>
        <v/>
      </c>
      <c r="AA516" s="316" t="str">
        <f t="shared" ca="1" si="227"/>
        <v/>
      </c>
      <c r="AC516" s="310" t="e">
        <f t="shared" ca="1" si="228"/>
        <v>#N/A</v>
      </c>
      <c r="AD516" s="323" t="e">
        <f t="shared" ca="1" si="229"/>
        <v>#N/A</v>
      </c>
      <c r="AE516" s="324" t="e">
        <f t="shared" ref="AE516:AE579" ca="1" si="237">IF(t&lt;T_para, pos_z, NA())</f>
        <v>#N/A</v>
      </c>
      <c r="AG516" s="306">
        <f t="shared" ca="1" si="230"/>
        <v>1.2763108038348392</v>
      </c>
      <c r="AH516" s="304">
        <f t="shared" ca="1" si="231"/>
        <v>-8.4972108981276691</v>
      </c>
    </row>
    <row r="517" spans="1:34" x14ac:dyDescent="0.2">
      <c r="A517" s="347">
        <f t="shared" ref="A517:A580" ca="1" si="238">IF(B516+0.01&lt;=T_ini+ROUNDUP(Temps_fin_propu,0), 0.01, IF(K516&gt;0, 0.1, 0.0001))</f>
        <v>1E-4</v>
      </c>
      <c r="B517" s="304">
        <f t="shared" ref="B517:B580" ca="1" si="239">B516+pas</f>
        <v>29.213100000000118</v>
      </c>
      <c r="D517" s="306">
        <f t="shared" ref="D517:D580" ca="1" si="240">IF(AND(L516&lt;L_rampe,Poussee&lt;Poids*SIN(M516)),0,(-W516+Poussee)/m*COS(M516)-U516/m*SIN(M516))</f>
        <v>-0.73209528033702109</v>
      </c>
      <c r="E517" s="307">
        <f t="shared" ref="E517:E580" ca="1" si="241">IF(AND(L516&lt;L_rampe,Poussee&lt;Poids*SIN(M516)),0,(-W516+Poussee)/m*SIN(M516)+U516/m*COS(M516)-Poids/m)</f>
        <v>-1.3443560352714883</v>
      </c>
      <c r="F517" s="304">
        <f t="shared" ref="F517:F580" ca="1" si="242">SQRT(acc_x^2+acc_z^2)</f>
        <v>1.5307699530179628</v>
      </c>
      <c r="G517" s="306">
        <f t="shared" ref="G517:G580" ca="1" si="243">G516+acc_x*pas</f>
        <v>9.2307412430988567</v>
      </c>
      <c r="H517" s="307">
        <f t="shared" ref="H517:H580" ca="1" si="244">H516+acc_z*pas</f>
        <v>-106.74141628683414</v>
      </c>
      <c r="I517" s="304">
        <f t="shared" ref="I517:I580" ca="1" si="245">SQRT(vit_x^2+vit_z^2)</f>
        <v>107.13979902359472</v>
      </c>
      <c r="J517" s="306">
        <f t="shared" ref="J517:J580" ca="1" si="246">J516+0.5*(vit_x+G516)*pas*(K516&gt;=0)</f>
        <v>746.86410190403069</v>
      </c>
      <c r="K517" s="307">
        <f t="shared" ref="K517:K580" ca="1" si="247">K516+0.5*(vit_z+H516)*pas</f>
        <v>-3.645493567751886</v>
      </c>
      <c r="L517" s="304">
        <f t="shared" ca="1" si="232"/>
        <v>746.87299879984062</v>
      </c>
      <c r="M517" s="306">
        <f t="shared" ref="M517:M580" ca="1" si="248">IF(AND(L516&gt;L_rampe,G517&gt;0),ATAN2(G517,H517),$M$4)</f>
        <v>-1.4845333377092922</v>
      </c>
      <c r="N517" s="304">
        <f t="shared" ref="N517:N580" ca="1" si="249">DEGREES(Beta)</f>
        <v>-85.057494797211788</v>
      </c>
      <c r="P517" s="310">
        <f t="shared" ref="P517:P580" ca="1" si="250">MATCH(t-pas/2-T_ini,CdP_t)</f>
        <v>23</v>
      </c>
      <c r="Q517" s="304">
        <f t="shared" ref="Q517:Q580" ca="1" si="251">(INDEX(CdP,2,i_P+1)-INDEX(CdP,2,i_P+0))/(INDEX(CdP,1,i_P+1)-INDEX(CdP,1,i_P+0))*(t-pas/2-T_ini-INDEX(CdP,1,i_P+0))+INDEX(CdP,2,i_P+0)</f>
        <v>0</v>
      </c>
      <c r="R517" s="306">
        <f t="shared" ref="R517:R580" ca="1" si="252">Poussee/(g*ISP)</f>
        <v>0</v>
      </c>
      <c r="S517" s="307">
        <f t="shared" ref="S517:S580" ca="1" si="253">S516-Débit*pas</f>
        <v>5.083000000000002</v>
      </c>
      <c r="T517" s="304">
        <f t="shared" ca="1" si="233"/>
        <v>49.86423000000002</v>
      </c>
      <c r="U517" s="311">
        <f t="shared" ca="1" si="234"/>
        <v>0</v>
      </c>
      <c r="V517" s="306">
        <f t="shared" ca="1" si="235"/>
        <v>1.2254466543758322</v>
      </c>
      <c r="W517" s="304">
        <f t="shared" ca="1" si="236"/>
        <v>43.191621008082578</v>
      </c>
      <c r="Y517" s="314" t="str">
        <f t="shared" ref="Y517:Y580" ca="1" si="254">IF(AND(pos_z&lt;=0,K516&gt;0),"Impact balistique","") &amp; IF(AND(H518&lt;0,vit_z&gt;=0),"Apogée","") &amp; IF(AND(Poussee=0,Q516&gt;0),"Fin de propulsion","") &amp; IF(AND(L518&gt;L_rampe,pos_xz&lt;=L_rampe),"Sortie de rampe","")</f>
        <v/>
      </c>
      <c r="Z517" s="315" t="str">
        <f t="shared" ref="Z517:Z580" ca="1" si="255">IF(ABS(t-T_para)&lt;pas/2,"Para","")</f>
        <v/>
      </c>
      <c r="AA517" s="316" t="str">
        <f t="shared" ref="AA517:AA580" ca="1" si="256">IF(ABS(t-T_satellite)&lt;pas/2,"Satellite","")</f>
        <v/>
      </c>
      <c r="AC517" s="310" t="e">
        <f t="shared" ref="AC517:AC580" ca="1" si="257">IF(ABS(t-ROUND(t,0))&lt;0.001,t,NA())</f>
        <v>#N/A</v>
      </c>
      <c r="AD517" s="323" t="e">
        <f t="shared" ref="AD517:AD580" ca="1" si="258">IF(ABS(t-ROUND(t,0))&lt;0.001,pos_x,NA())</f>
        <v>#N/A</v>
      </c>
      <c r="AE517" s="324" t="e">
        <f t="shared" ca="1" si="237"/>
        <v>#N/A</v>
      </c>
      <c r="AG517" s="306">
        <f t="shared" ref="AG517:AG580" ca="1" si="259">IF(AND(L516&lt;L_rampe,Poussee&lt;Poids*SIN(M516)),0,(-W516+Poussee)/m-Poids*SIN(M516)/m)</f>
        <v>1.276282155750776</v>
      </c>
      <c r="AH517" s="304">
        <f t="shared" ref="AH517:AH580" ca="1" si="260">IF(AND(L516&lt;L_rampe,Poussee&lt;Poids*SIN(M516)), g*SIN(M516), (-W516+Poussee)/m)</f>
        <v>-8.4972402129771538</v>
      </c>
    </row>
    <row r="518" spans="1:34" x14ac:dyDescent="0.2">
      <c r="A518" s="347">
        <f t="shared" ca="1" si="238"/>
        <v>1E-4</v>
      </c>
      <c r="B518" s="304">
        <f t="shared" ca="1" si="239"/>
        <v>29.213200000000118</v>
      </c>
      <c r="D518" s="306">
        <f t="shared" ca="1" si="240"/>
        <v>-0.73209112762648421</v>
      </c>
      <c r="E518" s="307">
        <f t="shared" ca="1" si="241"/>
        <v>-1.3443262522607125</v>
      </c>
      <c r="F518" s="304">
        <f t="shared" ca="1" si="242"/>
        <v>1.5307418109095832</v>
      </c>
      <c r="G518" s="306">
        <f t="shared" ca="1" si="243"/>
        <v>9.2306680339860936</v>
      </c>
      <c r="H518" s="307">
        <f t="shared" ca="1" si="244"/>
        <v>-106.74155071945937</v>
      </c>
      <c r="I518" s="304">
        <f t="shared" ca="1" si="245"/>
        <v>107.13992664897886</v>
      </c>
      <c r="J518" s="306">
        <f t="shared" ca="1" si="246"/>
        <v>746.86410190403069</v>
      </c>
      <c r="K518" s="307">
        <f t="shared" ca="1" si="247"/>
        <v>-3.6561677161022006</v>
      </c>
      <c r="L518" s="304">
        <f t="shared" ca="1" si="232"/>
        <v>746.87305097672561</v>
      </c>
      <c r="M518" s="306">
        <f t="shared" ca="1" si="248"/>
        <v>-1.484534126575608</v>
      </c>
      <c r="N518" s="304">
        <f t="shared" ca="1" si="249"/>
        <v>-85.057539995922284</v>
      </c>
      <c r="P518" s="310">
        <f t="shared" ca="1" si="250"/>
        <v>23</v>
      </c>
      <c r="Q518" s="304">
        <f t="shared" ca="1" si="251"/>
        <v>0</v>
      </c>
      <c r="R518" s="306">
        <f t="shared" ca="1" si="252"/>
        <v>0</v>
      </c>
      <c r="S518" s="307">
        <f t="shared" ca="1" si="253"/>
        <v>5.083000000000002</v>
      </c>
      <c r="T518" s="304">
        <f t="shared" ca="1" si="233"/>
        <v>49.86423000000002</v>
      </c>
      <c r="U518" s="311">
        <f t="shared" ca="1" si="234"/>
        <v>0</v>
      </c>
      <c r="V518" s="306">
        <f t="shared" ca="1" si="235"/>
        <v>1.2254479624365124</v>
      </c>
      <c r="W518" s="304">
        <f t="shared" ca="1" si="236"/>
        <v>43.19177001174203</v>
      </c>
      <c r="Y518" s="314" t="str">
        <f t="shared" ca="1" si="254"/>
        <v/>
      </c>
      <c r="Z518" s="315" t="str">
        <f t="shared" ca="1" si="255"/>
        <v/>
      </c>
      <c r="AA518" s="316" t="str">
        <f t="shared" ca="1" si="256"/>
        <v/>
      </c>
      <c r="AC518" s="310" t="e">
        <f t="shared" ca="1" si="257"/>
        <v>#N/A</v>
      </c>
      <c r="AD518" s="323" t="e">
        <f t="shared" ca="1" si="258"/>
        <v>#N/A</v>
      </c>
      <c r="AE518" s="324" t="e">
        <f t="shared" ca="1" si="237"/>
        <v>#N/A</v>
      </c>
      <c r="AG518" s="306">
        <f t="shared" ca="1" si="259"/>
        <v>1.2762535080197317</v>
      </c>
      <c r="AH518" s="304">
        <f t="shared" ca="1" si="260"/>
        <v>-8.4972695274606647</v>
      </c>
    </row>
    <row r="519" spans="1:34" x14ac:dyDescent="0.2">
      <c r="A519" s="347">
        <f t="shared" ca="1" si="238"/>
        <v>1E-4</v>
      </c>
      <c r="B519" s="304">
        <f t="shared" ca="1" si="239"/>
        <v>29.213300000000118</v>
      </c>
      <c r="D519" s="306">
        <f t="shared" ca="1" si="240"/>
        <v>-0.732086974906759</v>
      </c>
      <c r="E519" s="307">
        <f t="shared" ca="1" si="241"/>
        <v>-1.344296469621785</v>
      </c>
      <c r="F519" s="304">
        <f t="shared" ca="1" si="242"/>
        <v>1.5307136691967325</v>
      </c>
      <c r="G519" s="306">
        <f t="shared" ca="1" si="243"/>
        <v>9.2305948252886036</v>
      </c>
      <c r="H519" s="307">
        <f t="shared" ca="1" si="244"/>
        <v>-106.74168514910633</v>
      </c>
      <c r="I519" s="304">
        <f t="shared" ca="1" si="245"/>
        <v>107.14005427149826</v>
      </c>
      <c r="J519" s="306">
        <f t="shared" ca="1" si="246"/>
        <v>746.86410190403069</v>
      </c>
      <c r="K519" s="307">
        <f t="shared" ca="1" si="247"/>
        <v>-3.6668418778956289</v>
      </c>
      <c r="L519" s="304">
        <f t="shared" ca="1" si="232"/>
        <v>746.87310330622552</v>
      </c>
      <c r="M519" s="306">
        <f t="shared" ca="1" si="248"/>
        <v>-1.4845349154337879</v>
      </c>
      <c r="N519" s="304">
        <f t="shared" ca="1" si="249"/>
        <v>-85.05758519416662</v>
      </c>
      <c r="P519" s="310">
        <f t="shared" ca="1" si="250"/>
        <v>23</v>
      </c>
      <c r="Q519" s="304">
        <f t="shared" ca="1" si="251"/>
        <v>0</v>
      </c>
      <c r="R519" s="306">
        <f t="shared" ca="1" si="252"/>
        <v>0</v>
      </c>
      <c r="S519" s="307">
        <f t="shared" ca="1" si="253"/>
        <v>5.083000000000002</v>
      </c>
      <c r="T519" s="304">
        <f t="shared" ca="1" si="233"/>
        <v>49.86423000000002</v>
      </c>
      <c r="U519" s="311">
        <f t="shared" ca="1" si="234"/>
        <v>0</v>
      </c>
      <c r="V519" s="306">
        <f t="shared" ca="1" si="235"/>
        <v>1.2254492705002367</v>
      </c>
      <c r="W519" s="304">
        <f t="shared" ca="1" si="236"/>
        <v>43.19191901354128</v>
      </c>
      <c r="Y519" s="314" t="str">
        <f t="shared" ca="1" si="254"/>
        <v/>
      </c>
      <c r="Z519" s="315" t="str">
        <f t="shared" ca="1" si="255"/>
        <v/>
      </c>
      <c r="AA519" s="316" t="str">
        <f t="shared" ca="1" si="256"/>
        <v/>
      </c>
      <c r="AC519" s="310" t="e">
        <f t="shared" ca="1" si="257"/>
        <v>#N/A</v>
      </c>
      <c r="AD519" s="323" t="e">
        <f t="shared" ca="1" si="258"/>
        <v>#N/A</v>
      </c>
      <c r="AE519" s="324" t="e">
        <f t="shared" ca="1" si="237"/>
        <v>#N/A</v>
      </c>
      <c r="AG519" s="306">
        <f t="shared" ca="1" si="259"/>
        <v>1.2762248606416957</v>
      </c>
      <c r="AH519" s="304">
        <f t="shared" ca="1" si="260"/>
        <v>-8.4972988415782051</v>
      </c>
    </row>
    <row r="520" spans="1:34" x14ac:dyDescent="0.2">
      <c r="A520" s="347">
        <f t="shared" ca="1" si="238"/>
        <v>1E-4</v>
      </c>
      <c r="B520" s="304">
        <f t="shared" ca="1" si="239"/>
        <v>29.213400000000117</v>
      </c>
      <c r="D520" s="306">
        <f t="shared" ca="1" si="240"/>
        <v>-0.73208282217784726</v>
      </c>
      <c r="E520" s="307">
        <f t="shared" ca="1" si="241"/>
        <v>-1.344266687354704</v>
      </c>
      <c r="F520" s="304">
        <f t="shared" ca="1" si="242"/>
        <v>1.5306855278794109</v>
      </c>
      <c r="G520" s="306">
        <f t="shared" ca="1" si="243"/>
        <v>9.2305216170063851</v>
      </c>
      <c r="H520" s="307">
        <f t="shared" ca="1" si="244"/>
        <v>-106.74181957577507</v>
      </c>
      <c r="I520" s="304">
        <f t="shared" ca="1" si="245"/>
        <v>107.14018189115295</v>
      </c>
      <c r="J520" s="306">
        <f t="shared" ca="1" si="246"/>
        <v>746.86410190403069</v>
      </c>
      <c r="K520" s="307">
        <f t="shared" ca="1" si="247"/>
        <v>-3.6775160531318729</v>
      </c>
      <c r="L520" s="304">
        <f t="shared" ca="1" si="232"/>
        <v>746.87315578834091</v>
      </c>
      <c r="M520" s="306">
        <f t="shared" ca="1" si="248"/>
        <v>-1.4845357042838319</v>
      </c>
      <c r="N520" s="304">
        <f t="shared" ca="1" si="249"/>
        <v>-85.057630391944812</v>
      </c>
      <c r="P520" s="310">
        <f t="shared" ca="1" si="250"/>
        <v>23</v>
      </c>
      <c r="Q520" s="304">
        <f t="shared" ca="1" si="251"/>
        <v>0</v>
      </c>
      <c r="R520" s="306">
        <f t="shared" ca="1" si="252"/>
        <v>0</v>
      </c>
      <c r="S520" s="307">
        <f t="shared" ca="1" si="253"/>
        <v>5.083000000000002</v>
      </c>
      <c r="T520" s="304">
        <f t="shared" ca="1" si="233"/>
        <v>49.86423000000002</v>
      </c>
      <c r="U520" s="311">
        <f t="shared" ca="1" si="234"/>
        <v>0</v>
      </c>
      <c r="V520" s="306">
        <f t="shared" ca="1" si="235"/>
        <v>1.2254505785670045</v>
      </c>
      <c r="W520" s="304">
        <f t="shared" ca="1" si="236"/>
        <v>43.192068013480309</v>
      </c>
      <c r="Y520" s="314" t="str">
        <f t="shared" ca="1" si="254"/>
        <v/>
      </c>
      <c r="Z520" s="315" t="str">
        <f t="shared" ca="1" si="255"/>
        <v/>
      </c>
      <c r="AA520" s="316" t="str">
        <f t="shared" ca="1" si="256"/>
        <v/>
      </c>
      <c r="AC520" s="310" t="e">
        <f t="shared" ca="1" si="257"/>
        <v>#N/A</v>
      </c>
      <c r="AD520" s="323" t="e">
        <f t="shared" ca="1" si="258"/>
        <v>#N/A</v>
      </c>
      <c r="AE520" s="324" t="e">
        <f t="shared" ca="1" si="237"/>
        <v>#N/A</v>
      </c>
      <c r="AG520" s="306">
        <f t="shared" ca="1" si="259"/>
        <v>1.276196213616668</v>
      </c>
      <c r="AH520" s="304">
        <f t="shared" ca="1" si="260"/>
        <v>-8.4973281553297788</v>
      </c>
    </row>
    <row r="521" spans="1:34" x14ac:dyDescent="0.2">
      <c r="A521" s="347">
        <f t="shared" ca="1" si="238"/>
        <v>1E-4</v>
      </c>
      <c r="B521" s="304">
        <f t="shared" ca="1" si="239"/>
        <v>29.213500000000117</v>
      </c>
      <c r="D521" s="306">
        <f t="shared" ca="1" si="240"/>
        <v>-0.73207866943975042</v>
      </c>
      <c r="E521" s="307">
        <f t="shared" ca="1" si="241"/>
        <v>-1.3442369054594714</v>
      </c>
      <c r="F521" s="304">
        <f t="shared" ca="1" si="242"/>
        <v>1.5306573869576205</v>
      </c>
      <c r="G521" s="306">
        <f t="shared" ca="1" si="243"/>
        <v>9.2304484091394414</v>
      </c>
      <c r="H521" s="307">
        <f t="shared" ca="1" si="244"/>
        <v>-106.74195399946561</v>
      </c>
      <c r="I521" s="304">
        <f t="shared" ca="1" si="245"/>
        <v>107.14030950794297</v>
      </c>
      <c r="J521" s="306">
        <f t="shared" ca="1" si="246"/>
        <v>746.86410190403069</v>
      </c>
      <c r="K521" s="307">
        <f t="shared" ca="1" si="247"/>
        <v>-3.6881902418106352</v>
      </c>
      <c r="L521" s="304">
        <f t="shared" ca="1" si="232"/>
        <v>746.87320842307236</v>
      </c>
      <c r="M521" s="306">
        <f t="shared" ca="1" si="248"/>
        <v>-1.4845364931257403</v>
      </c>
      <c r="N521" s="304">
        <f t="shared" ca="1" si="249"/>
        <v>-85.057675589256874</v>
      </c>
      <c r="P521" s="310">
        <f t="shared" ca="1" si="250"/>
        <v>23</v>
      </c>
      <c r="Q521" s="304">
        <f t="shared" ca="1" si="251"/>
        <v>0</v>
      </c>
      <c r="R521" s="306">
        <f t="shared" ca="1" si="252"/>
        <v>0</v>
      </c>
      <c r="S521" s="307">
        <f t="shared" ca="1" si="253"/>
        <v>5.083000000000002</v>
      </c>
      <c r="T521" s="304">
        <f t="shared" ca="1" si="233"/>
        <v>49.86423000000002</v>
      </c>
      <c r="U521" s="311">
        <f t="shared" ca="1" si="234"/>
        <v>0</v>
      </c>
      <c r="V521" s="306">
        <f t="shared" ca="1" si="235"/>
        <v>1.225451886636816</v>
      </c>
      <c r="W521" s="304">
        <f t="shared" ca="1" si="236"/>
        <v>43.19221701155913</v>
      </c>
      <c r="Y521" s="314" t="str">
        <f t="shared" ca="1" si="254"/>
        <v/>
      </c>
      <c r="Z521" s="315" t="str">
        <f t="shared" ca="1" si="255"/>
        <v/>
      </c>
      <c r="AA521" s="316" t="str">
        <f t="shared" ca="1" si="256"/>
        <v/>
      </c>
      <c r="AC521" s="310" t="e">
        <f t="shared" ca="1" si="257"/>
        <v>#N/A</v>
      </c>
      <c r="AD521" s="323" t="e">
        <f t="shared" ca="1" si="258"/>
        <v>#N/A</v>
      </c>
      <c r="AE521" s="324" t="e">
        <f t="shared" ca="1" si="237"/>
        <v>#N/A</v>
      </c>
      <c r="AG521" s="306">
        <f t="shared" ca="1" si="259"/>
        <v>1.2761675669446504</v>
      </c>
      <c r="AH521" s="304">
        <f t="shared" ca="1" si="260"/>
        <v>-8.4973574687153839</v>
      </c>
    </row>
    <row r="522" spans="1:34" x14ac:dyDescent="0.2">
      <c r="A522" s="347">
        <f t="shared" ca="1" si="238"/>
        <v>1E-4</v>
      </c>
      <c r="B522" s="304">
        <f t="shared" ca="1" si="239"/>
        <v>29.213600000000117</v>
      </c>
      <c r="D522" s="306">
        <f t="shared" ca="1" si="240"/>
        <v>-0.73207451669246659</v>
      </c>
      <c r="E522" s="307">
        <f t="shared" ca="1" si="241"/>
        <v>-1.3442071239360835</v>
      </c>
      <c r="F522" s="304">
        <f t="shared" ca="1" si="242"/>
        <v>1.5306292464313578</v>
      </c>
      <c r="G522" s="306">
        <f t="shared" ca="1" si="243"/>
        <v>9.2303752016877727</v>
      </c>
      <c r="H522" s="307">
        <f t="shared" ca="1" si="244"/>
        <v>-106.74208842017801</v>
      </c>
      <c r="I522" s="304">
        <f t="shared" ca="1" si="245"/>
        <v>107.14043712186839</v>
      </c>
      <c r="J522" s="306">
        <f t="shared" ca="1" si="246"/>
        <v>746.86410190403069</v>
      </c>
      <c r="K522" s="307">
        <f t="shared" ca="1" si="247"/>
        <v>-3.6988644439316172</v>
      </c>
      <c r="L522" s="304">
        <f t="shared" ca="1" si="232"/>
        <v>746.87326121042042</v>
      </c>
      <c r="M522" s="306">
        <f t="shared" ca="1" si="248"/>
        <v>-1.4845372819595133</v>
      </c>
      <c r="N522" s="304">
        <f t="shared" ca="1" si="249"/>
        <v>-85.057720786102792</v>
      </c>
      <c r="P522" s="310">
        <f t="shared" ca="1" si="250"/>
        <v>23</v>
      </c>
      <c r="Q522" s="304">
        <f t="shared" ca="1" si="251"/>
        <v>0</v>
      </c>
      <c r="R522" s="306">
        <f t="shared" ca="1" si="252"/>
        <v>0</v>
      </c>
      <c r="S522" s="307">
        <f t="shared" ca="1" si="253"/>
        <v>5.083000000000002</v>
      </c>
      <c r="T522" s="304">
        <f t="shared" ca="1" si="233"/>
        <v>49.86423000000002</v>
      </c>
      <c r="U522" s="311">
        <f t="shared" ca="1" si="234"/>
        <v>0</v>
      </c>
      <c r="V522" s="306">
        <f t="shared" ca="1" si="235"/>
        <v>1.2254531947096718</v>
      </c>
      <c r="W522" s="304">
        <f t="shared" ca="1" si="236"/>
        <v>43.192366007777814</v>
      </c>
      <c r="Y522" s="314" t="str">
        <f t="shared" ca="1" si="254"/>
        <v/>
      </c>
      <c r="Z522" s="315" t="str">
        <f t="shared" ca="1" si="255"/>
        <v/>
      </c>
      <c r="AA522" s="316" t="str">
        <f t="shared" ca="1" si="256"/>
        <v/>
      </c>
      <c r="AC522" s="310" t="e">
        <f t="shared" ca="1" si="257"/>
        <v>#N/A</v>
      </c>
      <c r="AD522" s="323" t="e">
        <f t="shared" ca="1" si="258"/>
        <v>#N/A</v>
      </c>
      <c r="AE522" s="324" t="e">
        <f t="shared" ca="1" si="237"/>
        <v>#N/A</v>
      </c>
      <c r="AG522" s="306">
        <f t="shared" ca="1" si="259"/>
        <v>1.2761389206256446</v>
      </c>
      <c r="AH522" s="304">
        <f t="shared" ca="1" si="260"/>
        <v>-8.4973867817350222</v>
      </c>
    </row>
    <row r="523" spans="1:34" x14ac:dyDescent="0.2">
      <c r="A523" s="347">
        <f t="shared" ca="1" si="238"/>
        <v>1E-4</v>
      </c>
      <c r="B523" s="304">
        <f t="shared" ca="1" si="239"/>
        <v>29.213700000000117</v>
      </c>
      <c r="D523" s="306">
        <f t="shared" ca="1" si="240"/>
        <v>-0.73207036393599845</v>
      </c>
      <c r="E523" s="307">
        <f t="shared" ca="1" si="241"/>
        <v>-1.3441773427845281</v>
      </c>
      <c r="F523" s="304">
        <f t="shared" ca="1" si="242"/>
        <v>1.5306011063006129</v>
      </c>
      <c r="G523" s="306">
        <f t="shared" ca="1" si="243"/>
        <v>9.2303019946513789</v>
      </c>
      <c r="H523" s="307">
        <f t="shared" ca="1" si="244"/>
        <v>-106.74222283791228</v>
      </c>
      <c r="I523" s="304">
        <f t="shared" ca="1" si="245"/>
        <v>107.14056473292918</v>
      </c>
      <c r="J523" s="306">
        <f t="shared" ca="1" si="246"/>
        <v>746.86410190403069</v>
      </c>
      <c r="K523" s="307">
        <f t="shared" ca="1" si="247"/>
        <v>-3.7095386594945219</v>
      </c>
      <c r="L523" s="304">
        <f t="shared" ca="1" si="232"/>
        <v>746.87331415038557</v>
      </c>
      <c r="M523" s="306">
        <f t="shared" ca="1" si="248"/>
        <v>-1.484538070785151</v>
      </c>
      <c r="N523" s="304">
        <f t="shared" ca="1" si="249"/>
        <v>-85.057765982482607</v>
      </c>
      <c r="P523" s="310">
        <f t="shared" ca="1" si="250"/>
        <v>23</v>
      </c>
      <c r="Q523" s="304">
        <f t="shared" ca="1" si="251"/>
        <v>0</v>
      </c>
      <c r="R523" s="306">
        <f t="shared" ca="1" si="252"/>
        <v>0</v>
      </c>
      <c r="S523" s="307">
        <f t="shared" ca="1" si="253"/>
        <v>5.083000000000002</v>
      </c>
      <c r="T523" s="304">
        <f t="shared" ca="1" si="233"/>
        <v>49.86423000000002</v>
      </c>
      <c r="U523" s="311">
        <f t="shared" ca="1" si="234"/>
        <v>0</v>
      </c>
      <c r="V523" s="306">
        <f t="shared" ca="1" si="235"/>
        <v>1.225454502785571</v>
      </c>
      <c r="W523" s="304">
        <f t="shared" ca="1" si="236"/>
        <v>43.192515002136297</v>
      </c>
      <c r="Y523" s="314" t="str">
        <f t="shared" ca="1" si="254"/>
        <v/>
      </c>
      <c r="Z523" s="315" t="str">
        <f t="shared" ca="1" si="255"/>
        <v/>
      </c>
      <c r="AA523" s="316" t="str">
        <f t="shared" ca="1" si="256"/>
        <v/>
      </c>
      <c r="AC523" s="310" t="e">
        <f t="shared" ca="1" si="257"/>
        <v>#N/A</v>
      </c>
      <c r="AD523" s="323" t="e">
        <f t="shared" ca="1" si="258"/>
        <v>#N/A</v>
      </c>
      <c r="AE523" s="324" t="e">
        <f t="shared" ca="1" si="237"/>
        <v>#N/A</v>
      </c>
      <c r="AG523" s="306">
        <f t="shared" ca="1" si="259"/>
        <v>1.2761102746596347</v>
      </c>
      <c r="AH523" s="304">
        <f t="shared" ca="1" si="260"/>
        <v>-8.497416094388706</v>
      </c>
    </row>
    <row r="524" spans="1:34" x14ac:dyDescent="0.2">
      <c r="A524" s="347">
        <f t="shared" ca="1" si="238"/>
        <v>1E-4</v>
      </c>
      <c r="B524" s="304">
        <f t="shared" ca="1" si="239"/>
        <v>29.213800000000116</v>
      </c>
      <c r="D524" s="306">
        <f t="shared" ca="1" si="240"/>
        <v>-0.73206621117034476</v>
      </c>
      <c r="E524" s="307">
        <f t="shared" ca="1" si="241"/>
        <v>-1.3441475620048156</v>
      </c>
      <c r="F524" s="304">
        <f t="shared" ca="1" si="242"/>
        <v>1.5305729665653949</v>
      </c>
      <c r="G524" s="306">
        <f t="shared" ca="1" si="243"/>
        <v>9.2302287880302618</v>
      </c>
      <c r="H524" s="307">
        <f t="shared" ca="1" si="244"/>
        <v>-106.74235725266848</v>
      </c>
      <c r="I524" s="304">
        <f t="shared" ca="1" si="245"/>
        <v>107.14069234112542</v>
      </c>
      <c r="J524" s="306">
        <f t="shared" ca="1" si="246"/>
        <v>746.86410190403069</v>
      </c>
      <c r="K524" s="307">
        <f t="shared" ca="1" si="247"/>
        <v>-3.7202128884990509</v>
      </c>
      <c r="L524" s="304">
        <f t="shared" ca="1" si="232"/>
        <v>746.87336724296847</v>
      </c>
      <c r="M524" s="306">
        <f t="shared" ca="1" si="248"/>
        <v>-1.4845388596026532</v>
      </c>
      <c r="N524" s="304">
        <f t="shared" ca="1" si="249"/>
        <v>-85.057811178396292</v>
      </c>
      <c r="P524" s="310">
        <f t="shared" ca="1" si="250"/>
        <v>23</v>
      </c>
      <c r="Q524" s="304">
        <f t="shared" ca="1" si="251"/>
        <v>0</v>
      </c>
      <c r="R524" s="306">
        <f t="shared" ca="1" si="252"/>
        <v>0</v>
      </c>
      <c r="S524" s="307">
        <f t="shared" ca="1" si="253"/>
        <v>5.083000000000002</v>
      </c>
      <c r="T524" s="304">
        <f t="shared" ca="1" si="233"/>
        <v>49.86423000000002</v>
      </c>
      <c r="U524" s="311">
        <f t="shared" ca="1" si="234"/>
        <v>0</v>
      </c>
      <c r="V524" s="306">
        <f t="shared" ca="1" si="235"/>
        <v>1.2254558108645139</v>
      </c>
      <c r="W524" s="304">
        <f t="shared" ca="1" si="236"/>
        <v>43.192663994634628</v>
      </c>
      <c r="Y524" s="314" t="str">
        <f t="shared" ca="1" si="254"/>
        <v/>
      </c>
      <c r="Z524" s="315" t="str">
        <f t="shared" ca="1" si="255"/>
        <v/>
      </c>
      <c r="AA524" s="316" t="str">
        <f t="shared" ca="1" si="256"/>
        <v/>
      </c>
      <c r="AC524" s="310" t="e">
        <f t="shared" ca="1" si="257"/>
        <v>#N/A</v>
      </c>
      <c r="AD524" s="323" t="e">
        <f t="shared" ca="1" si="258"/>
        <v>#N/A</v>
      </c>
      <c r="AE524" s="324" t="e">
        <f t="shared" ca="1" si="237"/>
        <v>#N/A</v>
      </c>
      <c r="AG524" s="306">
        <f t="shared" ca="1" si="259"/>
        <v>1.2760816290466295</v>
      </c>
      <c r="AH524" s="304">
        <f t="shared" ca="1" si="260"/>
        <v>-8.4974454066764267</v>
      </c>
    </row>
    <row r="525" spans="1:34" x14ac:dyDescent="0.2">
      <c r="A525" s="347">
        <f t="shared" ca="1" si="238"/>
        <v>1E-4</v>
      </c>
      <c r="B525" s="304">
        <f t="shared" ca="1" si="239"/>
        <v>29.213900000000116</v>
      </c>
      <c r="D525" s="306">
        <f t="shared" ca="1" si="240"/>
        <v>-0.73206205839550997</v>
      </c>
      <c r="E525" s="307">
        <f t="shared" ca="1" si="241"/>
        <v>-1.3441177815969372</v>
      </c>
      <c r="F525" s="304">
        <f t="shared" ca="1" si="242"/>
        <v>1.5305448272256983</v>
      </c>
      <c r="G525" s="306">
        <f t="shared" ca="1" si="243"/>
        <v>9.2301555818244214</v>
      </c>
      <c r="H525" s="307">
        <f t="shared" ca="1" si="244"/>
        <v>-106.74249166444665</v>
      </c>
      <c r="I525" s="304">
        <f t="shared" ca="1" si="245"/>
        <v>107.14081994645713</v>
      </c>
      <c r="J525" s="306">
        <f t="shared" ca="1" si="246"/>
        <v>746.86410190403069</v>
      </c>
      <c r="K525" s="307">
        <f t="shared" ca="1" si="247"/>
        <v>-3.7308871309449065</v>
      </c>
      <c r="L525" s="304">
        <f t="shared" ca="1" si="232"/>
        <v>746.87342048816959</v>
      </c>
      <c r="M525" s="306">
        <f t="shared" ca="1" si="248"/>
        <v>-1.4845396484120201</v>
      </c>
      <c r="N525" s="304">
        <f t="shared" ca="1" si="249"/>
        <v>-85.057856373843862</v>
      </c>
      <c r="P525" s="310">
        <f t="shared" ca="1" si="250"/>
        <v>23</v>
      </c>
      <c r="Q525" s="304">
        <f t="shared" ca="1" si="251"/>
        <v>0</v>
      </c>
      <c r="R525" s="306">
        <f t="shared" ca="1" si="252"/>
        <v>0</v>
      </c>
      <c r="S525" s="307">
        <f t="shared" ca="1" si="253"/>
        <v>5.083000000000002</v>
      </c>
      <c r="T525" s="304">
        <f t="shared" ca="1" si="233"/>
        <v>49.86423000000002</v>
      </c>
      <c r="U525" s="311">
        <f t="shared" ca="1" si="234"/>
        <v>0</v>
      </c>
      <c r="V525" s="306">
        <f t="shared" ca="1" si="235"/>
        <v>1.2254571189465004</v>
      </c>
      <c r="W525" s="304">
        <f t="shared" ca="1" si="236"/>
        <v>43.192812985272809</v>
      </c>
      <c r="Y525" s="314" t="str">
        <f t="shared" ca="1" si="254"/>
        <v/>
      </c>
      <c r="Z525" s="315" t="str">
        <f t="shared" ca="1" si="255"/>
        <v/>
      </c>
      <c r="AA525" s="316" t="str">
        <f t="shared" ca="1" si="256"/>
        <v/>
      </c>
      <c r="AC525" s="310" t="e">
        <f t="shared" ca="1" si="257"/>
        <v>#N/A</v>
      </c>
      <c r="AD525" s="323" t="e">
        <f t="shared" ca="1" si="258"/>
        <v>#N/A</v>
      </c>
      <c r="AE525" s="324" t="e">
        <f t="shared" ca="1" si="237"/>
        <v>#N/A</v>
      </c>
      <c r="AG525" s="306">
        <f t="shared" ca="1" si="259"/>
        <v>1.2760529837866219</v>
      </c>
      <c r="AH525" s="304">
        <f t="shared" ca="1" si="260"/>
        <v>-8.4974747185981929</v>
      </c>
    </row>
    <row r="526" spans="1:34" x14ac:dyDescent="0.2">
      <c r="A526" s="347">
        <f t="shared" ca="1" si="238"/>
        <v>1E-4</v>
      </c>
      <c r="B526" s="304">
        <f t="shared" ca="1" si="239"/>
        <v>29.214000000000116</v>
      </c>
      <c r="D526" s="306">
        <f t="shared" ca="1" si="240"/>
        <v>-0.7320579056114932</v>
      </c>
      <c r="E526" s="307">
        <f t="shared" ca="1" si="241"/>
        <v>-1.3440880015608947</v>
      </c>
      <c r="F526" s="304">
        <f t="shared" ca="1" si="242"/>
        <v>1.5305166882815247</v>
      </c>
      <c r="G526" s="306">
        <f t="shared" ca="1" si="243"/>
        <v>9.2300823760338595</v>
      </c>
      <c r="H526" s="307">
        <f t="shared" ca="1" si="244"/>
        <v>-106.7426260732468</v>
      </c>
      <c r="I526" s="304">
        <f t="shared" ca="1" si="245"/>
        <v>107.14094754892434</v>
      </c>
      <c r="J526" s="306">
        <f t="shared" ca="1" si="246"/>
        <v>746.86410190403069</v>
      </c>
      <c r="K526" s="307">
        <f t="shared" ca="1" si="247"/>
        <v>-3.7415613868317914</v>
      </c>
      <c r="L526" s="304">
        <f t="shared" ca="1" si="232"/>
        <v>746.87347388598937</v>
      </c>
      <c r="M526" s="306">
        <f t="shared" ca="1" si="248"/>
        <v>-1.4845404372132522</v>
      </c>
      <c r="N526" s="304">
        <f t="shared" ca="1" si="249"/>
        <v>-85.057901568825329</v>
      </c>
      <c r="P526" s="310">
        <f t="shared" ca="1" si="250"/>
        <v>23</v>
      </c>
      <c r="Q526" s="304">
        <f t="shared" ca="1" si="251"/>
        <v>0</v>
      </c>
      <c r="R526" s="306">
        <f t="shared" ca="1" si="252"/>
        <v>0</v>
      </c>
      <c r="S526" s="307">
        <f t="shared" ca="1" si="253"/>
        <v>5.083000000000002</v>
      </c>
      <c r="T526" s="304">
        <f t="shared" ca="1" si="233"/>
        <v>49.86423000000002</v>
      </c>
      <c r="U526" s="311">
        <f t="shared" ca="1" si="234"/>
        <v>0</v>
      </c>
      <c r="V526" s="306">
        <f t="shared" ca="1" si="235"/>
        <v>1.225458427031531</v>
      </c>
      <c r="W526" s="304">
        <f t="shared" ca="1" si="236"/>
        <v>43.192961974050888</v>
      </c>
      <c r="Y526" s="314" t="str">
        <f t="shared" ca="1" si="254"/>
        <v/>
      </c>
      <c r="Z526" s="315" t="str">
        <f t="shared" ca="1" si="255"/>
        <v/>
      </c>
      <c r="AA526" s="316" t="str">
        <f t="shared" ca="1" si="256"/>
        <v/>
      </c>
      <c r="AC526" s="310" t="e">
        <f t="shared" ca="1" si="257"/>
        <v>#N/A</v>
      </c>
      <c r="AD526" s="323" t="e">
        <f t="shared" ca="1" si="258"/>
        <v>#N/A</v>
      </c>
      <c r="AE526" s="324" t="e">
        <f t="shared" ca="1" si="237"/>
        <v>#N/A</v>
      </c>
      <c r="AG526" s="306">
        <f t="shared" ca="1" si="259"/>
        <v>1.2760243388796155</v>
      </c>
      <c r="AH526" s="304">
        <f t="shared" ca="1" si="260"/>
        <v>-8.4975040301540012</v>
      </c>
    </row>
    <row r="527" spans="1:34" x14ac:dyDescent="0.2">
      <c r="A527" s="347">
        <f t="shared" ca="1" si="238"/>
        <v>1E-4</v>
      </c>
      <c r="B527" s="304">
        <f t="shared" ca="1" si="239"/>
        <v>29.214100000000116</v>
      </c>
      <c r="D527" s="306">
        <f t="shared" ca="1" si="240"/>
        <v>-0.73205375281829377</v>
      </c>
      <c r="E527" s="307">
        <f t="shared" ca="1" si="241"/>
        <v>-1.3440582218966739</v>
      </c>
      <c r="F527" s="304">
        <f t="shared" ca="1" si="242"/>
        <v>1.5304885497328609</v>
      </c>
      <c r="G527" s="306">
        <f t="shared" ca="1" si="243"/>
        <v>9.2300091706585778</v>
      </c>
      <c r="H527" s="307">
        <f t="shared" ca="1" si="244"/>
        <v>-106.74276047906899</v>
      </c>
      <c r="I527" s="304">
        <f t="shared" ca="1" si="245"/>
        <v>107.14107514852711</v>
      </c>
      <c r="J527" s="306">
        <f t="shared" ca="1" si="246"/>
        <v>746.86410190403069</v>
      </c>
      <c r="K527" s="307">
        <f t="shared" ca="1" si="247"/>
        <v>-3.752235656159407</v>
      </c>
      <c r="L527" s="304">
        <f t="shared" ca="1" si="232"/>
        <v>746.87352743642862</v>
      </c>
      <c r="M527" s="306">
        <f t="shared" ca="1" si="248"/>
        <v>-1.4845412260063491</v>
      </c>
      <c r="N527" s="304">
        <f t="shared" ca="1" si="249"/>
        <v>-85.057946763340695</v>
      </c>
      <c r="P527" s="310">
        <f t="shared" ca="1" si="250"/>
        <v>23</v>
      </c>
      <c r="Q527" s="304">
        <f t="shared" ca="1" si="251"/>
        <v>0</v>
      </c>
      <c r="R527" s="306">
        <f t="shared" ca="1" si="252"/>
        <v>0</v>
      </c>
      <c r="S527" s="307">
        <f t="shared" ca="1" si="253"/>
        <v>5.083000000000002</v>
      </c>
      <c r="T527" s="304">
        <f t="shared" ca="1" si="233"/>
        <v>49.86423000000002</v>
      </c>
      <c r="U527" s="311">
        <f t="shared" ca="1" si="234"/>
        <v>0</v>
      </c>
      <c r="V527" s="306">
        <f t="shared" ca="1" si="235"/>
        <v>1.2254597351196053</v>
      </c>
      <c r="W527" s="304">
        <f t="shared" ca="1" si="236"/>
        <v>43.193110960968838</v>
      </c>
      <c r="Y527" s="314" t="str">
        <f t="shared" ca="1" si="254"/>
        <v/>
      </c>
      <c r="Z527" s="315" t="str">
        <f t="shared" ca="1" si="255"/>
        <v/>
      </c>
      <c r="AA527" s="316" t="str">
        <f t="shared" ca="1" si="256"/>
        <v/>
      </c>
      <c r="AC527" s="310" t="e">
        <f t="shared" ca="1" si="257"/>
        <v>#N/A</v>
      </c>
      <c r="AD527" s="323" t="e">
        <f t="shared" ca="1" si="258"/>
        <v>#N/A</v>
      </c>
      <c r="AE527" s="324" t="e">
        <f t="shared" ca="1" si="237"/>
        <v>#N/A</v>
      </c>
      <c r="AG527" s="306">
        <f t="shared" ca="1" si="259"/>
        <v>1.2759956943255979</v>
      </c>
      <c r="AH527" s="304">
        <f t="shared" ca="1" si="260"/>
        <v>-8.4975333413438658</v>
      </c>
    </row>
    <row r="528" spans="1:34" x14ac:dyDescent="0.2">
      <c r="A528" s="347">
        <f t="shared" ca="1" si="238"/>
        <v>1E-4</v>
      </c>
      <c r="B528" s="304">
        <f t="shared" ca="1" si="239"/>
        <v>29.214200000000115</v>
      </c>
      <c r="D528" s="306">
        <f t="shared" ca="1" si="240"/>
        <v>-0.73204960001591646</v>
      </c>
      <c r="E528" s="307">
        <f t="shared" ca="1" si="241"/>
        <v>-1.3440284426042854</v>
      </c>
      <c r="F528" s="304">
        <f t="shared" ca="1" si="242"/>
        <v>1.5304604115797196</v>
      </c>
      <c r="G528" s="306">
        <f t="shared" ca="1" si="243"/>
        <v>9.2299359656985764</v>
      </c>
      <c r="H528" s="307">
        <f t="shared" ca="1" si="244"/>
        <v>-106.74289488191326</v>
      </c>
      <c r="I528" s="304">
        <f t="shared" ca="1" si="245"/>
        <v>107.14120274526547</v>
      </c>
      <c r="J528" s="306">
        <f t="shared" ca="1" si="246"/>
        <v>746.86410190403069</v>
      </c>
      <c r="K528" s="307">
        <f t="shared" ca="1" si="247"/>
        <v>-3.7629099389274563</v>
      </c>
      <c r="L528" s="304">
        <f t="shared" ca="1" si="232"/>
        <v>746.87358113948767</v>
      </c>
      <c r="M528" s="306">
        <f t="shared" ca="1" si="248"/>
        <v>-1.4845420147913113</v>
      </c>
      <c r="N528" s="304">
        <f t="shared" ca="1" si="249"/>
        <v>-85.057991957389973</v>
      </c>
      <c r="P528" s="310">
        <f t="shared" ca="1" si="250"/>
        <v>23</v>
      </c>
      <c r="Q528" s="304">
        <f t="shared" ca="1" si="251"/>
        <v>0</v>
      </c>
      <c r="R528" s="306">
        <f t="shared" ca="1" si="252"/>
        <v>0</v>
      </c>
      <c r="S528" s="307">
        <f t="shared" ca="1" si="253"/>
        <v>5.083000000000002</v>
      </c>
      <c r="T528" s="304">
        <f t="shared" ca="1" si="233"/>
        <v>49.86423000000002</v>
      </c>
      <c r="U528" s="311">
        <f t="shared" ca="1" si="234"/>
        <v>0</v>
      </c>
      <c r="V528" s="306">
        <f t="shared" ca="1" si="235"/>
        <v>1.2254610432107225</v>
      </c>
      <c r="W528" s="304">
        <f t="shared" ca="1" si="236"/>
        <v>43.193259946026686</v>
      </c>
      <c r="Y528" s="314" t="str">
        <f t="shared" ca="1" si="254"/>
        <v/>
      </c>
      <c r="Z528" s="315" t="str">
        <f t="shared" ca="1" si="255"/>
        <v/>
      </c>
      <c r="AA528" s="316" t="str">
        <f t="shared" ca="1" si="256"/>
        <v/>
      </c>
      <c r="AC528" s="310" t="e">
        <f t="shared" ca="1" si="257"/>
        <v>#N/A</v>
      </c>
      <c r="AD528" s="323" t="e">
        <f t="shared" ca="1" si="258"/>
        <v>#N/A</v>
      </c>
      <c r="AE528" s="324" t="e">
        <f t="shared" ca="1" si="237"/>
        <v>#N/A</v>
      </c>
      <c r="AG528" s="306">
        <f t="shared" ca="1" si="259"/>
        <v>1.2759670501245726</v>
      </c>
      <c r="AH528" s="304">
        <f t="shared" ca="1" si="260"/>
        <v>-8.4975626521677796</v>
      </c>
    </row>
    <row r="529" spans="1:34" x14ac:dyDescent="0.2">
      <c r="A529" s="347">
        <f t="shared" ca="1" si="238"/>
        <v>1E-4</v>
      </c>
      <c r="B529" s="304">
        <f t="shared" ca="1" si="239"/>
        <v>29.214300000000115</v>
      </c>
      <c r="D529" s="306">
        <f t="shared" ca="1" si="240"/>
        <v>-0.73204544720435716</v>
      </c>
      <c r="E529" s="307">
        <f t="shared" ca="1" si="241"/>
        <v>-1.3439986636837205</v>
      </c>
      <c r="F529" s="304">
        <f t="shared" ca="1" si="242"/>
        <v>1.5304322738220901</v>
      </c>
      <c r="G529" s="306">
        <f t="shared" ca="1" si="243"/>
        <v>9.2298627611538553</v>
      </c>
      <c r="H529" s="307">
        <f t="shared" ca="1" si="244"/>
        <v>-106.74302928177963</v>
      </c>
      <c r="I529" s="304">
        <f t="shared" ca="1" si="245"/>
        <v>107.14133033913943</v>
      </c>
      <c r="J529" s="306">
        <f t="shared" ca="1" si="246"/>
        <v>746.86410190403069</v>
      </c>
      <c r="K529" s="307">
        <f t="shared" ca="1" si="247"/>
        <v>-3.7735842351356408</v>
      </c>
      <c r="L529" s="304">
        <f t="shared" ca="1" si="232"/>
        <v>746.87363499516698</v>
      </c>
      <c r="M529" s="306">
        <f t="shared" ca="1" si="248"/>
        <v>-1.4845428035681387</v>
      </c>
      <c r="N529" s="304">
        <f t="shared" ca="1" si="249"/>
        <v>-85.058037150973163</v>
      </c>
      <c r="P529" s="310">
        <f t="shared" ca="1" si="250"/>
        <v>23</v>
      </c>
      <c r="Q529" s="304">
        <f t="shared" ca="1" si="251"/>
        <v>0</v>
      </c>
      <c r="R529" s="306">
        <f t="shared" ca="1" si="252"/>
        <v>0</v>
      </c>
      <c r="S529" s="307">
        <f t="shared" ca="1" si="253"/>
        <v>5.083000000000002</v>
      </c>
      <c r="T529" s="304">
        <f t="shared" ca="1" si="233"/>
        <v>49.86423000000002</v>
      </c>
      <c r="U529" s="311">
        <f t="shared" ca="1" si="234"/>
        <v>0</v>
      </c>
      <c r="V529" s="306">
        <f t="shared" ca="1" si="235"/>
        <v>1.2254623513048839</v>
      </c>
      <c r="W529" s="304">
        <f t="shared" ca="1" si="236"/>
        <v>43.193408929224447</v>
      </c>
      <c r="Y529" s="314" t="str">
        <f t="shared" ca="1" si="254"/>
        <v/>
      </c>
      <c r="Z529" s="315" t="str">
        <f t="shared" ca="1" si="255"/>
        <v/>
      </c>
      <c r="AA529" s="316" t="str">
        <f t="shared" ca="1" si="256"/>
        <v/>
      </c>
      <c r="AC529" s="310" t="e">
        <f t="shared" ca="1" si="257"/>
        <v>#N/A</v>
      </c>
      <c r="AD529" s="323" t="e">
        <f t="shared" ca="1" si="258"/>
        <v>#N/A</v>
      </c>
      <c r="AE529" s="324" t="e">
        <f t="shared" ca="1" si="237"/>
        <v>#N/A</v>
      </c>
      <c r="AG529" s="306">
        <f t="shared" ca="1" si="259"/>
        <v>1.2759384062765395</v>
      </c>
      <c r="AH529" s="304">
        <f t="shared" ca="1" si="260"/>
        <v>-8.4975919626257461</v>
      </c>
    </row>
    <row r="530" spans="1:34" x14ac:dyDescent="0.2">
      <c r="A530" s="347">
        <f t="shared" ca="1" si="238"/>
        <v>1E-4</v>
      </c>
      <c r="B530" s="304">
        <f t="shared" ca="1" si="239"/>
        <v>29.214400000000115</v>
      </c>
      <c r="D530" s="306">
        <f t="shared" ca="1" si="240"/>
        <v>-0.7320412943836202</v>
      </c>
      <c r="E530" s="307">
        <f t="shared" ca="1" si="241"/>
        <v>-1.3439688851349754</v>
      </c>
      <c r="F530" s="304">
        <f t="shared" ca="1" si="242"/>
        <v>1.5304041364599728</v>
      </c>
      <c r="G530" s="306">
        <f t="shared" ca="1" si="243"/>
        <v>9.2297895570244162</v>
      </c>
      <c r="H530" s="307">
        <f t="shared" ca="1" si="244"/>
        <v>-106.74316367866814</v>
      </c>
      <c r="I530" s="304">
        <f t="shared" ca="1" si="245"/>
        <v>107.14145793014902</v>
      </c>
      <c r="J530" s="306">
        <f t="shared" ca="1" si="246"/>
        <v>746.86410190403069</v>
      </c>
      <c r="K530" s="307">
        <f t="shared" ca="1" si="247"/>
        <v>-3.784258544783663</v>
      </c>
      <c r="L530" s="304">
        <f t="shared" ca="1" si="232"/>
        <v>746.87368900346735</v>
      </c>
      <c r="M530" s="306">
        <f t="shared" ca="1" si="248"/>
        <v>-1.4845435923368318</v>
      </c>
      <c r="N530" s="304">
        <f t="shared" ca="1" si="249"/>
        <v>-85.05808234409028</v>
      </c>
      <c r="P530" s="310">
        <f t="shared" ca="1" si="250"/>
        <v>23</v>
      </c>
      <c r="Q530" s="304">
        <f t="shared" ca="1" si="251"/>
        <v>0</v>
      </c>
      <c r="R530" s="306">
        <f t="shared" ca="1" si="252"/>
        <v>0</v>
      </c>
      <c r="S530" s="307">
        <f t="shared" ca="1" si="253"/>
        <v>5.083000000000002</v>
      </c>
      <c r="T530" s="304">
        <f t="shared" ca="1" si="233"/>
        <v>49.86423000000002</v>
      </c>
      <c r="U530" s="311">
        <f t="shared" ca="1" si="234"/>
        <v>0</v>
      </c>
      <c r="V530" s="306">
        <f t="shared" ca="1" si="235"/>
        <v>1.2254636594020889</v>
      </c>
      <c r="W530" s="304">
        <f t="shared" ca="1" si="236"/>
        <v>43.193557910562106</v>
      </c>
      <c r="Y530" s="314" t="str">
        <f t="shared" ca="1" si="254"/>
        <v/>
      </c>
      <c r="Z530" s="315" t="str">
        <f t="shared" ca="1" si="255"/>
        <v/>
      </c>
      <c r="AA530" s="316" t="str">
        <f t="shared" ca="1" si="256"/>
        <v/>
      </c>
      <c r="AC530" s="310" t="e">
        <f t="shared" ca="1" si="257"/>
        <v>#N/A</v>
      </c>
      <c r="AD530" s="323" t="e">
        <f t="shared" ca="1" si="258"/>
        <v>#N/A</v>
      </c>
      <c r="AE530" s="324" t="e">
        <f t="shared" ca="1" si="237"/>
        <v>#N/A</v>
      </c>
      <c r="AG530" s="306">
        <f t="shared" ca="1" si="259"/>
        <v>1.2759097627814935</v>
      </c>
      <c r="AH530" s="304">
        <f t="shared" ca="1" si="260"/>
        <v>-8.4976212727177707</v>
      </c>
    </row>
    <row r="531" spans="1:34" x14ac:dyDescent="0.2">
      <c r="A531" s="347">
        <f t="shared" ca="1" si="238"/>
        <v>1E-4</v>
      </c>
      <c r="B531" s="304">
        <f t="shared" ca="1" si="239"/>
        <v>29.214500000000115</v>
      </c>
      <c r="D531" s="306">
        <f t="shared" ca="1" si="240"/>
        <v>-0.73203714155370281</v>
      </c>
      <c r="E531" s="307">
        <f t="shared" ca="1" si="241"/>
        <v>-1.3439391069580555</v>
      </c>
      <c r="F531" s="304">
        <f t="shared" ca="1" si="242"/>
        <v>1.5303759994933701</v>
      </c>
      <c r="G531" s="306">
        <f t="shared" ca="1" si="243"/>
        <v>9.2297163533102609</v>
      </c>
      <c r="H531" s="307">
        <f t="shared" ca="1" si="244"/>
        <v>-106.74329807257884</v>
      </c>
      <c r="I531" s="304">
        <f t="shared" ca="1" si="245"/>
        <v>107.14158551829432</v>
      </c>
      <c r="J531" s="306">
        <f t="shared" ca="1" si="246"/>
        <v>746.86410190403069</v>
      </c>
      <c r="K531" s="307">
        <f t="shared" ca="1" si="247"/>
        <v>-3.7949328678712253</v>
      </c>
      <c r="L531" s="304">
        <f t="shared" ca="1" si="232"/>
        <v>746.87374316438911</v>
      </c>
      <c r="M531" s="306">
        <f t="shared" ca="1" si="248"/>
        <v>-1.48454438109739</v>
      </c>
      <c r="N531" s="304">
        <f t="shared" ca="1" si="249"/>
        <v>-85.05812753674131</v>
      </c>
      <c r="P531" s="310">
        <f t="shared" ca="1" si="250"/>
        <v>23</v>
      </c>
      <c r="Q531" s="304">
        <f t="shared" ca="1" si="251"/>
        <v>0</v>
      </c>
      <c r="R531" s="306">
        <f t="shared" ca="1" si="252"/>
        <v>0</v>
      </c>
      <c r="S531" s="307">
        <f t="shared" ca="1" si="253"/>
        <v>5.083000000000002</v>
      </c>
      <c r="T531" s="304">
        <f t="shared" ca="1" si="233"/>
        <v>49.86423000000002</v>
      </c>
      <c r="U531" s="311">
        <f t="shared" ca="1" si="234"/>
        <v>0</v>
      </c>
      <c r="V531" s="306">
        <f t="shared" ca="1" si="235"/>
        <v>1.225464967502337</v>
      </c>
      <c r="W531" s="304">
        <f t="shared" ca="1" si="236"/>
        <v>43.193706890039721</v>
      </c>
      <c r="Y531" s="314" t="str">
        <f t="shared" ca="1" si="254"/>
        <v/>
      </c>
      <c r="Z531" s="315" t="str">
        <f t="shared" ca="1" si="255"/>
        <v/>
      </c>
      <c r="AA531" s="316" t="str">
        <f t="shared" ca="1" si="256"/>
        <v/>
      </c>
      <c r="AC531" s="310" t="e">
        <f t="shared" ca="1" si="257"/>
        <v>#N/A</v>
      </c>
      <c r="AD531" s="323" t="e">
        <f t="shared" ca="1" si="258"/>
        <v>#N/A</v>
      </c>
      <c r="AE531" s="324" t="e">
        <f t="shared" ca="1" si="237"/>
        <v>#N/A</v>
      </c>
      <c r="AG531" s="306">
        <f t="shared" ca="1" si="259"/>
        <v>1.275881119639438</v>
      </c>
      <c r="AH531" s="304">
        <f t="shared" ca="1" si="260"/>
        <v>-8.4976505824438497</v>
      </c>
    </row>
    <row r="532" spans="1:34" x14ac:dyDescent="0.2">
      <c r="A532" s="347">
        <f t="shared" ca="1" si="238"/>
        <v>1E-4</v>
      </c>
      <c r="B532" s="304">
        <f t="shared" ca="1" si="239"/>
        <v>29.214600000000114</v>
      </c>
      <c r="D532" s="306">
        <f t="shared" ca="1" si="240"/>
        <v>-0.73203298871461153</v>
      </c>
      <c r="E532" s="307">
        <f t="shared" ca="1" si="241"/>
        <v>-1.3439093291529485</v>
      </c>
      <c r="F532" s="304">
        <f t="shared" ca="1" si="242"/>
        <v>1.5303478629222751</v>
      </c>
      <c r="G532" s="306">
        <f t="shared" ca="1" si="243"/>
        <v>9.2296431500113894</v>
      </c>
      <c r="H532" s="307">
        <f t="shared" ca="1" si="244"/>
        <v>-106.74343246351175</v>
      </c>
      <c r="I532" s="304">
        <f t="shared" ca="1" si="245"/>
        <v>107.14171310357534</v>
      </c>
      <c r="J532" s="306">
        <f t="shared" ca="1" si="246"/>
        <v>746.86410190403069</v>
      </c>
      <c r="K532" s="307">
        <f t="shared" ca="1" si="247"/>
        <v>-3.8056072043980298</v>
      </c>
      <c r="L532" s="304">
        <f t="shared" ca="1" si="232"/>
        <v>746.87379747793295</v>
      </c>
      <c r="M532" s="306">
        <f t="shared" ca="1" si="248"/>
        <v>-1.484545169849814</v>
      </c>
      <c r="N532" s="304">
        <f t="shared" ca="1" si="249"/>
        <v>-85.058172728926294</v>
      </c>
      <c r="P532" s="310">
        <f t="shared" ca="1" si="250"/>
        <v>23</v>
      </c>
      <c r="Q532" s="304">
        <f t="shared" ca="1" si="251"/>
        <v>0</v>
      </c>
      <c r="R532" s="306">
        <f t="shared" ca="1" si="252"/>
        <v>0</v>
      </c>
      <c r="S532" s="307">
        <f t="shared" ca="1" si="253"/>
        <v>5.083000000000002</v>
      </c>
      <c r="T532" s="304">
        <f t="shared" ca="1" si="233"/>
        <v>49.86423000000002</v>
      </c>
      <c r="U532" s="311">
        <f t="shared" ca="1" si="234"/>
        <v>0</v>
      </c>
      <c r="V532" s="306">
        <f t="shared" ca="1" si="235"/>
        <v>1.2254662756056292</v>
      </c>
      <c r="W532" s="304">
        <f t="shared" ca="1" si="236"/>
        <v>43.193855867657305</v>
      </c>
      <c r="Y532" s="314" t="str">
        <f t="shared" ca="1" si="254"/>
        <v/>
      </c>
      <c r="Z532" s="315" t="str">
        <f t="shared" ca="1" si="255"/>
        <v/>
      </c>
      <c r="AA532" s="316" t="str">
        <f t="shared" ca="1" si="256"/>
        <v/>
      </c>
      <c r="AC532" s="310" t="e">
        <f t="shared" ca="1" si="257"/>
        <v>#N/A</v>
      </c>
      <c r="AD532" s="323" t="e">
        <f t="shared" ca="1" si="258"/>
        <v>#N/A</v>
      </c>
      <c r="AE532" s="324" t="e">
        <f t="shared" ca="1" si="237"/>
        <v>#N/A</v>
      </c>
      <c r="AG532" s="306">
        <f t="shared" ca="1" si="259"/>
        <v>1.2758524768503641</v>
      </c>
      <c r="AH532" s="304">
        <f t="shared" ca="1" si="260"/>
        <v>-8.497679891803994</v>
      </c>
    </row>
    <row r="533" spans="1:34" x14ac:dyDescent="0.2">
      <c r="A533" s="347">
        <f t="shared" ca="1" si="238"/>
        <v>1E-4</v>
      </c>
      <c r="B533" s="304">
        <f t="shared" ca="1" si="239"/>
        <v>29.214700000000114</v>
      </c>
      <c r="D533" s="306">
        <f t="shared" ca="1" si="240"/>
        <v>-0.73202883586634238</v>
      </c>
      <c r="E533" s="307">
        <f t="shared" ca="1" si="241"/>
        <v>-1.3438795517196507</v>
      </c>
      <c r="F533" s="304">
        <f t="shared" ca="1" si="242"/>
        <v>1.5303197267466826</v>
      </c>
      <c r="G533" s="306">
        <f t="shared" ca="1" si="243"/>
        <v>9.2295699471278034</v>
      </c>
      <c r="H533" s="307">
        <f t="shared" ca="1" si="244"/>
        <v>-106.74356685146692</v>
      </c>
      <c r="I533" s="304">
        <f t="shared" ca="1" si="245"/>
        <v>107.14184068599211</v>
      </c>
      <c r="J533" s="306">
        <f t="shared" ca="1" si="246"/>
        <v>746.86410190403069</v>
      </c>
      <c r="K533" s="307">
        <f t="shared" ca="1" si="247"/>
        <v>-3.8162815543637789</v>
      </c>
      <c r="L533" s="304">
        <f t="shared" ca="1" si="232"/>
        <v>746.87385194409933</v>
      </c>
      <c r="M533" s="306">
        <f t="shared" ca="1" si="248"/>
        <v>-1.4845459585941037</v>
      </c>
      <c r="N533" s="304">
        <f t="shared" ca="1" si="249"/>
        <v>-85.058217920645205</v>
      </c>
      <c r="P533" s="310">
        <f t="shared" ca="1" si="250"/>
        <v>23</v>
      </c>
      <c r="Q533" s="304">
        <f t="shared" ca="1" si="251"/>
        <v>0</v>
      </c>
      <c r="R533" s="306">
        <f t="shared" ca="1" si="252"/>
        <v>0</v>
      </c>
      <c r="S533" s="307">
        <f t="shared" ca="1" si="253"/>
        <v>5.083000000000002</v>
      </c>
      <c r="T533" s="304">
        <f t="shared" ca="1" si="233"/>
        <v>49.86423000000002</v>
      </c>
      <c r="U533" s="311">
        <f t="shared" ca="1" si="234"/>
        <v>0</v>
      </c>
      <c r="V533" s="306">
        <f t="shared" ca="1" si="235"/>
        <v>1.2254675837119646</v>
      </c>
      <c r="W533" s="304">
        <f t="shared" ca="1" si="236"/>
        <v>43.194004843414831</v>
      </c>
      <c r="Y533" s="314" t="str">
        <f t="shared" ca="1" si="254"/>
        <v/>
      </c>
      <c r="Z533" s="315" t="str">
        <f t="shared" ca="1" si="255"/>
        <v/>
      </c>
      <c r="AA533" s="316" t="str">
        <f t="shared" ca="1" si="256"/>
        <v/>
      </c>
      <c r="AC533" s="310" t="e">
        <f t="shared" ca="1" si="257"/>
        <v>#N/A</v>
      </c>
      <c r="AD533" s="323" t="e">
        <f t="shared" ca="1" si="258"/>
        <v>#N/A</v>
      </c>
      <c r="AE533" s="324" t="e">
        <f t="shared" ca="1" si="237"/>
        <v>#N/A</v>
      </c>
      <c r="AG533" s="306">
        <f t="shared" ca="1" si="259"/>
        <v>1.2758238344142629</v>
      </c>
      <c r="AH533" s="304">
        <f t="shared" ca="1" si="260"/>
        <v>-8.4977092007982069</v>
      </c>
    </row>
    <row r="534" spans="1:34" x14ac:dyDescent="0.2">
      <c r="A534" s="347">
        <f t="shared" ca="1" si="238"/>
        <v>1E-4</v>
      </c>
      <c r="B534" s="304">
        <f t="shared" ca="1" si="239"/>
        <v>29.214800000000114</v>
      </c>
      <c r="D534" s="306">
        <f t="shared" ca="1" si="240"/>
        <v>-0.73202468300889834</v>
      </c>
      <c r="E534" s="307">
        <f t="shared" ca="1" si="241"/>
        <v>-1.3438497746581692</v>
      </c>
      <c r="F534" s="304">
        <f t="shared" ca="1" si="242"/>
        <v>1.5302915909666008</v>
      </c>
      <c r="G534" s="306">
        <f t="shared" ca="1" si="243"/>
        <v>9.2294967446595031</v>
      </c>
      <c r="H534" s="307">
        <f t="shared" ca="1" si="244"/>
        <v>-106.74370123644439</v>
      </c>
      <c r="I534" s="304">
        <f t="shared" ca="1" si="245"/>
        <v>107.14196826554466</v>
      </c>
      <c r="J534" s="306">
        <f t="shared" ca="1" si="246"/>
        <v>746.86410190403069</v>
      </c>
      <c r="K534" s="307">
        <f t="shared" ca="1" si="247"/>
        <v>-3.8269559177681747</v>
      </c>
      <c r="L534" s="304">
        <f t="shared" ca="1" si="232"/>
        <v>746.87390656288881</v>
      </c>
      <c r="M534" s="306">
        <f t="shared" ca="1" si="248"/>
        <v>-1.4845467473302592</v>
      </c>
      <c r="N534" s="304">
        <f t="shared" ca="1" si="249"/>
        <v>-85.058263111898057</v>
      </c>
      <c r="P534" s="310">
        <f t="shared" ca="1" si="250"/>
        <v>23</v>
      </c>
      <c r="Q534" s="304">
        <f t="shared" ca="1" si="251"/>
        <v>0</v>
      </c>
      <c r="R534" s="306">
        <f t="shared" ca="1" si="252"/>
        <v>0</v>
      </c>
      <c r="S534" s="307">
        <f t="shared" ca="1" si="253"/>
        <v>5.083000000000002</v>
      </c>
      <c r="T534" s="304">
        <f t="shared" ca="1" si="233"/>
        <v>49.86423000000002</v>
      </c>
      <c r="U534" s="311">
        <f t="shared" ca="1" si="234"/>
        <v>0</v>
      </c>
      <c r="V534" s="306">
        <f t="shared" ca="1" si="235"/>
        <v>1.2254688918213432</v>
      </c>
      <c r="W534" s="304">
        <f t="shared" ca="1" si="236"/>
        <v>43.194153817312312</v>
      </c>
      <c r="Y534" s="314" t="str">
        <f t="shared" ca="1" si="254"/>
        <v/>
      </c>
      <c r="Z534" s="315" t="str">
        <f t="shared" ca="1" si="255"/>
        <v/>
      </c>
      <c r="AA534" s="316" t="str">
        <f t="shared" ca="1" si="256"/>
        <v/>
      </c>
      <c r="AC534" s="310" t="e">
        <f t="shared" ca="1" si="257"/>
        <v>#N/A</v>
      </c>
      <c r="AD534" s="323" t="e">
        <f t="shared" ca="1" si="258"/>
        <v>#N/A</v>
      </c>
      <c r="AE534" s="324" t="e">
        <f t="shared" ca="1" si="237"/>
        <v>#N/A</v>
      </c>
      <c r="AG534" s="306">
        <f t="shared" ca="1" si="259"/>
        <v>1.2757951923311452</v>
      </c>
      <c r="AH534" s="304">
        <f t="shared" ca="1" si="260"/>
        <v>-8.4977385094264832</v>
      </c>
    </row>
    <row r="535" spans="1:34" x14ac:dyDescent="0.2">
      <c r="A535" s="347">
        <f t="shared" ca="1" si="238"/>
        <v>1E-4</v>
      </c>
      <c r="B535" s="304">
        <f t="shared" ca="1" si="239"/>
        <v>29.214900000000114</v>
      </c>
      <c r="D535" s="306">
        <f t="shared" ca="1" si="240"/>
        <v>-0.73202053014227952</v>
      </c>
      <c r="E535" s="307">
        <f t="shared" ca="1" si="241"/>
        <v>-1.3438199979684988</v>
      </c>
      <c r="F535" s="304">
        <f t="shared" ca="1" si="242"/>
        <v>1.5302634555820249</v>
      </c>
      <c r="G535" s="306">
        <f t="shared" ca="1" si="243"/>
        <v>9.2294235426064883</v>
      </c>
      <c r="H535" s="307">
        <f t="shared" ca="1" si="244"/>
        <v>-106.74383561844419</v>
      </c>
      <c r="I535" s="304">
        <f t="shared" ca="1" si="245"/>
        <v>107.14209584223305</v>
      </c>
      <c r="J535" s="306">
        <f t="shared" ca="1" si="246"/>
        <v>746.86410190403069</v>
      </c>
      <c r="K535" s="307">
        <f t="shared" ca="1" si="247"/>
        <v>-3.8376302946109191</v>
      </c>
      <c r="L535" s="304">
        <f t="shared" ca="1" si="232"/>
        <v>746.87396133430195</v>
      </c>
      <c r="M535" s="306">
        <f t="shared" ca="1" si="248"/>
        <v>-1.4845475360582807</v>
      </c>
      <c r="N535" s="304">
        <f t="shared" ca="1" si="249"/>
        <v>-85.058308302684878</v>
      </c>
      <c r="P535" s="310">
        <f t="shared" ca="1" si="250"/>
        <v>23</v>
      </c>
      <c r="Q535" s="304">
        <f t="shared" ca="1" si="251"/>
        <v>0</v>
      </c>
      <c r="R535" s="306">
        <f t="shared" ca="1" si="252"/>
        <v>0</v>
      </c>
      <c r="S535" s="307">
        <f t="shared" ca="1" si="253"/>
        <v>5.083000000000002</v>
      </c>
      <c r="T535" s="304">
        <f t="shared" ca="1" si="233"/>
        <v>49.86423000000002</v>
      </c>
      <c r="U535" s="311">
        <f t="shared" ca="1" si="234"/>
        <v>0</v>
      </c>
      <c r="V535" s="306">
        <f t="shared" ca="1" si="235"/>
        <v>1.2254701999337656</v>
      </c>
      <c r="W535" s="304">
        <f t="shared" ca="1" si="236"/>
        <v>43.194302789349798</v>
      </c>
      <c r="Y535" s="314" t="str">
        <f t="shared" ca="1" si="254"/>
        <v/>
      </c>
      <c r="Z535" s="315" t="str">
        <f t="shared" ca="1" si="255"/>
        <v/>
      </c>
      <c r="AA535" s="316" t="str">
        <f t="shared" ca="1" si="256"/>
        <v/>
      </c>
      <c r="AC535" s="310" t="e">
        <f t="shared" ca="1" si="257"/>
        <v>#N/A</v>
      </c>
      <c r="AD535" s="323" t="e">
        <f t="shared" ca="1" si="258"/>
        <v>#N/A</v>
      </c>
      <c r="AE535" s="324" t="e">
        <f t="shared" ca="1" si="237"/>
        <v>#N/A</v>
      </c>
      <c r="AG535" s="306">
        <f t="shared" ca="1" si="259"/>
        <v>1.2757665506010092</v>
      </c>
      <c r="AH535" s="304">
        <f t="shared" ca="1" si="260"/>
        <v>-8.4977678176888247</v>
      </c>
    </row>
    <row r="536" spans="1:34" x14ac:dyDescent="0.2">
      <c r="A536" s="347">
        <f t="shared" ca="1" si="238"/>
        <v>1E-4</v>
      </c>
      <c r="B536" s="304">
        <f t="shared" ca="1" si="239"/>
        <v>29.215000000000114</v>
      </c>
      <c r="D536" s="306">
        <f t="shared" ca="1" si="240"/>
        <v>-0.73201637726648638</v>
      </c>
      <c r="E536" s="307">
        <f t="shared" ca="1" si="241"/>
        <v>-1.3437902216506323</v>
      </c>
      <c r="F536" s="304">
        <f t="shared" ca="1" si="242"/>
        <v>1.5302353205929493</v>
      </c>
      <c r="G536" s="306">
        <f t="shared" ca="1" si="243"/>
        <v>9.2293503409687609</v>
      </c>
      <c r="H536" s="307">
        <f t="shared" ca="1" si="244"/>
        <v>-106.74396999746637</v>
      </c>
      <c r="I536" s="304">
        <f t="shared" ca="1" si="245"/>
        <v>107.14222341605732</v>
      </c>
      <c r="J536" s="306">
        <f t="shared" ca="1" si="246"/>
        <v>746.86410190403069</v>
      </c>
      <c r="K536" s="307">
        <f t="shared" ca="1" si="247"/>
        <v>-3.8483046848917146</v>
      </c>
      <c r="L536" s="304">
        <f t="shared" ca="1" si="232"/>
        <v>746.87401625833934</v>
      </c>
      <c r="M536" s="306">
        <f t="shared" ca="1" si="248"/>
        <v>-1.4845483247781681</v>
      </c>
      <c r="N536" s="304">
        <f t="shared" ca="1" si="249"/>
        <v>-85.05835349300564</v>
      </c>
      <c r="P536" s="310">
        <f t="shared" ca="1" si="250"/>
        <v>23</v>
      </c>
      <c r="Q536" s="304">
        <f t="shared" ca="1" si="251"/>
        <v>0</v>
      </c>
      <c r="R536" s="306">
        <f t="shared" ca="1" si="252"/>
        <v>0</v>
      </c>
      <c r="S536" s="307">
        <f t="shared" ca="1" si="253"/>
        <v>5.083000000000002</v>
      </c>
      <c r="T536" s="304">
        <f t="shared" ca="1" si="233"/>
        <v>49.86423000000002</v>
      </c>
      <c r="U536" s="311">
        <f t="shared" ca="1" si="234"/>
        <v>0</v>
      </c>
      <c r="V536" s="306">
        <f t="shared" ca="1" si="235"/>
        <v>1.2254715080492311</v>
      </c>
      <c r="W536" s="304">
        <f t="shared" ca="1" si="236"/>
        <v>43.194451759527311</v>
      </c>
      <c r="Y536" s="314" t="str">
        <f t="shared" ca="1" si="254"/>
        <v/>
      </c>
      <c r="Z536" s="315" t="str">
        <f t="shared" ca="1" si="255"/>
        <v/>
      </c>
      <c r="AA536" s="316" t="str">
        <f t="shared" ca="1" si="256"/>
        <v/>
      </c>
      <c r="AC536" s="310" t="e">
        <f t="shared" ca="1" si="257"/>
        <v>#N/A</v>
      </c>
      <c r="AD536" s="323" t="e">
        <f t="shared" ca="1" si="258"/>
        <v>#N/A</v>
      </c>
      <c r="AE536" s="324" t="e">
        <f t="shared" ca="1" si="237"/>
        <v>#N/A</v>
      </c>
      <c r="AG536" s="306">
        <f t="shared" ca="1" si="259"/>
        <v>1.2757379092238423</v>
      </c>
      <c r="AH536" s="304">
        <f t="shared" ca="1" si="260"/>
        <v>-8.497797125585242</v>
      </c>
    </row>
    <row r="537" spans="1:34" x14ac:dyDescent="0.2">
      <c r="A537" s="347">
        <f t="shared" ca="1" si="238"/>
        <v>1E-4</v>
      </c>
      <c r="B537" s="304">
        <f t="shared" ca="1" si="239"/>
        <v>29.215100000000113</v>
      </c>
      <c r="D537" s="306">
        <f t="shared" ca="1" si="240"/>
        <v>-0.73201222438152258</v>
      </c>
      <c r="E537" s="307">
        <f t="shared" ca="1" si="241"/>
        <v>-1.3437604457045662</v>
      </c>
      <c r="F537" s="304">
        <f t="shared" ca="1" si="242"/>
        <v>1.5302071859993729</v>
      </c>
      <c r="G537" s="306">
        <f t="shared" ca="1" si="243"/>
        <v>9.2292771397463227</v>
      </c>
      <c r="H537" s="307">
        <f t="shared" ca="1" si="244"/>
        <v>-106.74410437351094</v>
      </c>
      <c r="I537" s="304">
        <f t="shared" ca="1" si="245"/>
        <v>107.14235098701745</v>
      </c>
      <c r="J537" s="306">
        <f t="shared" ca="1" si="246"/>
        <v>746.86410190403069</v>
      </c>
      <c r="K537" s="307">
        <f t="shared" ca="1" si="247"/>
        <v>-3.8589790886102633</v>
      </c>
      <c r="L537" s="304">
        <f t="shared" ca="1" si="232"/>
        <v>746.8740713350013</v>
      </c>
      <c r="M537" s="306">
        <f t="shared" ca="1" si="248"/>
        <v>-1.484549113489922</v>
      </c>
      <c r="N537" s="304">
        <f t="shared" ca="1" si="249"/>
        <v>-85.0583986828604</v>
      </c>
      <c r="P537" s="310">
        <f t="shared" ca="1" si="250"/>
        <v>23</v>
      </c>
      <c r="Q537" s="304">
        <f t="shared" ca="1" si="251"/>
        <v>0</v>
      </c>
      <c r="R537" s="306">
        <f t="shared" ca="1" si="252"/>
        <v>0</v>
      </c>
      <c r="S537" s="307">
        <f t="shared" ca="1" si="253"/>
        <v>5.083000000000002</v>
      </c>
      <c r="T537" s="304">
        <f t="shared" ca="1" si="233"/>
        <v>49.86423000000002</v>
      </c>
      <c r="U537" s="311">
        <f t="shared" ca="1" si="234"/>
        <v>0</v>
      </c>
      <c r="V537" s="306">
        <f t="shared" ca="1" si="235"/>
        <v>1.2254728161677402</v>
      </c>
      <c r="W537" s="304">
        <f t="shared" ca="1" si="236"/>
        <v>43.194600727844801</v>
      </c>
      <c r="Y537" s="314" t="str">
        <f t="shared" ca="1" si="254"/>
        <v/>
      </c>
      <c r="Z537" s="315" t="str">
        <f t="shared" ca="1" si="255"/>
        <v/>
      </c>
      <c r="AA537" s="316" t="str">
        <f t="shared" ca="1" si="256"/>
        <v/>
      </c>
      <c r="AC537" s="310" t="e">
        <f t="shared" ca="1" si="257"/>
        <v>#N/A</v>
      </c>
      <c r="AD537" s="323" t="e">
        <f t="shared" ca="1" si="258"/>
        <v>#N/A</v>
      </c>
      <c r="AE537" s="324" t="e">
        <f t="shared" ca="1" si="237"/>
        <v>#N/A</v>
      </c>
      <c r="AG537" s="306">
        <f t="shared" ca="1" si="259"/>
        <v>1.2757092681996447</v>
      </c>
      <c r="AH537" s="304">
        <f t="shared" ca="1" si="260"/>
        <v>-8.4978264331157369</v>
      </c>
    </row>
    <row r="538" spans="1:34" x14ac:dyDescent="0.2">
      <c r="A538" s="347">
        <f t="shared" ca="1" si="238"/>
        <v>1E-4</v>
      </c>
      <c r="B538" s="304">
        <f t="shared" ca="1" si="239"/>
        <v>29.215200000000113</v>
      </c>
      <c r="D538" s="306">
        <f t="shared" ca="1" si="240"/>
        <v>-0.73200807148738367</v>
      </c>
      <c r="E538" s="307">
        <f t="shared" ca="1" si="241"/>
        <v>-1.3437306701303076</v>
      </c>
      <c r="F538" s="304">
        <f t="shared" ca="1" si="242"/>
        <v>1.5301790518012994</v>
      </c>
      <c r="G538" s="306">
        <f t="shared" ca="1" si="243"/>
        <v>9.2292039389391736</v>
      </c>
      <c r="H538" s="307">
        <f t="shared" ca="1" si="244"/>
        <v>-106.74423874657795</v>
      </c>
      <c r="I538" s="304">
        <f t="shared" ca="1" si="245"/>
        <v>107.14247855511354</v>
      </c>
      <c r="J538" s="306">
        <f t="shared" ca="1" si="246"/>
        <v>746.86410190403069</v>
      </c>
      <c r="K538" s="307">
        <f t="shared" ca="1" si="247"/>
        <v>-3.8696535057662675</v>
      </c>
      <c r="L538" s="304">
        <f t="shared" ca="1" si="232"/>
        <v>746.87412656428864</v>
      </c>
      <c r="M538" s="306">
        <f t="shared" ca="1" si="248"/>
        <v>-1.484549902193542</v>
      </c>
      <c r="N538" s="304">
        <f t="shared" ca="1" si="249"/>
        <v>-85.058443872249114</v>
      </c>
      <c r="P538" s="310">
        <f t="shared" ca="1" si="250"/>
        <v>23</v>
      </c>
      <c r="Q538" s="304">
        <f t="shared" ca="1" si="251"/>
        <v>0</v>
      </c>
      <c r="R538" s="306">
        <f t="shared" ca="1" si="252"/>
        <v>0</v>
      </c>
      <c r="S538" s="307">
        <f t="shared" ca="1" si="253"/>
        <v>5.083000000000002</v>
      </c>
      <c r="T538" s="304">
        <f t="shared" ca="1" si="233"/>
        <v>49.86423000000002</v>
      </c>
      <c r="U538" s="311">
        <f t="shared" ca="1" si="234"/>
        <v>0</v>
      </c>
      <c r="V538" s="306">
        <f t="shared" ca="1" si="235"/>
        <v>1.2254741242892926</v>
      </c>
      <c r="W538" s="304">
        <f t="shared" ca="1" si="236"/>
        <v>43.194749694302338</v>
      </c>
      <c r="Y538" s="314" t="str">
        <f t="shared" ca="1" si="254"/>
        <v/>
      </c>
      <c r="Z538" s="315" t="str">
        <f t="shared" ca="1" si="255"/>
        <v/>
      </c>
      <c r="AA538" s="316" t="str">
        <f t="shared" ca="1" si="256"/>
        <v/>
      </c>
      <c r="AC538" s="310" t="e">
        <f t="shared" ca="1" si="257"/>
        <v>#N/A</v>
      </c>
      <c r="AD538" s="323" t="e">
        <f t="shared" ca="1" si="258"/>
        <v>#N/A</v>
      </c>
      <c r="AE538" s="324" t="e">
        <f t="shared" ca="1" si="237"/>
        <v>#N/A</v>
      </c>
      <c r="AG538" s="306">
        <f t="shared" ca="1" si="259"/>
        <v>1.2756806275284216</v>
      </c>
      <c r="AH538" s="304">
        <f t="shared" ca="1" si="260"/>
        <v>-8.4978557402803041</v>
      </c>
    </row>
    <row r="539" spans="1:34" x14ac:dyDescent="0.2">
      <c r="A539" s="347">
        <f t="shared" ca="1" si="238"/>
        <v>1E-4</v>
      </c>
      <c r="B539" s="304">
        <f t="shared" ca="1" si="239"/>
        <v>29.215300000000113</v>
      </c>
      <c r="D539" s="306">
        <f t="shared" ca="1" si="240"/>
        <v>-0.73200391858407576</v>
      </c>
      <c r="E539" s="307">
        <f t="shared" ca="1" si="241"/>
        <v>-1.3437008949278422</v>
      </c>
      <c r="F539" s="304">
        <f t="shared" ca="1" si="242"/>
        <v>1.5301509179987203</v>
      </c>
      <c r="G539" s="306">
        <f t="shared" ca="1" si="243"/>
        <v>9.2291307385473154</v>
      </c>
      <c r="H539" s="307">
        <f t="shared" ca="1" si="244"/>
        <v>-106.74437311666745</v>
      </c>
      <c r="I539" s="304">
        <f t="shared" ca="1" si="245"/>
        <v>107.14260612034559</v>
      </c>
      <c r="J539" s="306">
        <f t="shared" ca="1" si="246"/>
        <v>746.86410190403069</v>
      </c>
      <c r="K539" s="307">
        <f t="shared" ca="1" si="247"/>
        <v>-3.8803279363594299</v>
      </c>
      <c r="L539" s="304">
        <f t="shared" ca="1" si="232"/>
        <v>746.8741819462017</v>
      </c>
      <c r="M539" s="306">
        <f t="shared" ca="1" si="248"/>
        <v>-1.4845506908890285</v>
      </c>
      <c r="N539" s="304">
        <f t="shared" ca="1" si="249"/>
        <v>-85.058489061171812</v>
      </c>
      <c r="P539" s="310">
        <f t="shared" ca="1" si="250"/>
        <v>23</v>
      </c>
      <c r="Q539" s="304">
        <f t="shared" ca="1" si="251"/>
        <v>0</v>
      </c>
      <c r="R539" s="306">
        <f t="shared" ca="1" si="252"/>
        <v>0</v>
      </c>
      <c r="S539" s="307">
        <f t="shared" ca="1" si="253"/>
        <v>5.083000000000002</v>
      </c>
      <c r="T539" s="304">
        <f t="shared" ca="1" si="233"/>
        <v>49.86423000000002</v>
      </c>
      <c r="U539" s="311">
        <f t="shared" ca="1" si="234"/>
        <v>0</v>
      </c>
      <c r="V539" s="306">
        <f t="shared" ca="1" si="235"/>
        <v>1.2254754324138881</v>
      </c>
      <c r="W539" s="304">
        <f t="shared" ca="1" si="236"/>
        <v>43.194898658899902</v>
      </c>
      <c r="Y539" s="314" t="str">
        <f t="shared" ca="1" si="254"/>
        <v/>
      </c>
      <c r="Z539" s="315" t="str">
        <f t="shared" ca="1" si="255"/>
        <v/>
      </c>
      <c r="AA539" s="316" t="str">
        <f t="shared" ca="1" si="256"/>
        <v/>
      </c>
      <c r="AC539" s="310" t="e">
        <f t="shared" ca="1" si="257"/>
        <v>#N/A</v>
      </c>
      <c r="AD539" s="323" t="e">
        <f t="shared" ca="1" si="258"/>
        <v>#N/A</v>
      </c>
      <c r="AE539" s="324" t="e">
        <f t="shared" ca="1" si="237"/>
        <v>#N/A</v>
      </c>
      <c r="AG539" s="306">
        <f t="shared" ca="1" si="259"/>
        <v>1.2756519872101642</v>
      </c>
      <c r="AH539" s="304">
        <f t="shared" ca="1" si="260"/>
        <v>-8.4978850470789542</v>
      </c>
    </row>
    <row r="540" spans="1:34" x14ac:dyDescent="0.2">
      <c r="A540" s="347">
        <f t="shared" ca="1" si="238"/>
        <v>1E-4</v>
      </c>
      <c r="B540" s="304">
        <f t="shared" ca="1" si="239"/>
        <v>29.215400000000113</v>
      </c>
      <c r="D540" s="306">
        <f t="shared" ca="1" si="240"/>
        <v>-0.73199976567159641</v>
      </c>
      <c r="E540" s="307">
        <f t="shared" ca="1" si="241"/>
        <v>-1.3436711200971754</v>
      </c>
      <c r="F540" s="304">
        <f t="shared" ca="1" si="242"/>
        <v>1.5301227845916385</v>
      </c>
      <c r="G540" s="306">
        <f t="shared" ca="1" si="243"/>
        <v>9.2290575385707481</v>
      </c>
      <c r="H540" s="307">
        <f t="shared" ca="1" si="244"/>
        <v>-106.74450748377946</v>
      </c>
      <c r="I540" s="304">
        <f t="shared" ca="1" si="245"/>
        <v>107.14273368271364</v>
      </c>
      <c r="J540" s="306">
        <f t="shared" ca="1" si="246"/>
        <v>746.86410190403069</v>
      </c>
      <c r="K540" s="307">
        <f t="shared" ca="1" si="247"/>
        <v>-3.8910023803894522</v>
      </c>
      <c r="L540" s="304">
        <f t="shared" ca="1" si="232"/>
        <v>746.87423748074116</v>
      </c>
      <c r="M540" s="306">
        <f t="shared" ca="1" si="248"/>
        <v>-1.4845514795763814</v>
      </c>
      <c r="N540" s="304">
        <f t="shared" ca="1" si="249"/>
        <v>-85.058534249628494</v>
      </c>
      <c r="P540" s="310">
        <f t="shared" ca="1" si="250"/>
        <v>23</v>
      </c>
      <c r="Q540" s="304">
        <f t="shared" ca="1" si="251"/>
        <v>0</v>
      </c>
      <c r="R540" s="306">
        <f t="shared" ca="1" si="252"/>
        <v>0</v>
      </c>
      <c r="S540" s="307">
        <f t="shared" ca="1" si="253"/>
        <v>5.083000000000002</v>
      </c>
      <c r="T540" s="304">
        <f t="shared" ca="1" si="233"/>
        <v>49.86423000000002</v>
      </c>
      <c r="U540" s="311">
        <f t="shared" ca="1" si="234"/>
        <v>0</v>
      </c>
      <c r="V540" s="306">
        <f t="shared" ca="1" si="235"/>
        <v>1.2254767405415272</v>
      </c>
      <c r="W540" s="304">
        <f t="shared" ca="1" si="236"/>
        <v>43.195047621637535</v>
      </c>
      <c r="Y540" s="314" t="str">
        <f t="shared" ca="1" si="254"/>
        <v/>
      </c>
      <c r="Z540" s="315" t="str">
        <f t="shared" ca="1" si="255"/>
        <v/>
      </c>
      <c r="AA540" s="316" t="str">
        <f t="shared" ca="1" si="256"/>
        <v/>
      </c>
      <c r="AC540" s="310" t="e">
        <f t="shared" ca="1" si="257"/>
        <v>#N/A</v>
      </c>
      <c r="AD540" s="323" t="e">
        <f t="shared" ca="1" si="258"/>
        <v>#N/A</v>
      </c>
      <c r="AE540" s="324" t="e">
        <f t="shared" ca="1" si="237"/>
        <v>#N/A</v>
      </c>
      <c r="AG540" s="306">
        <f t="shared" ca="1" si="259"/>
        <v>1.2756233472448724</v>
      </c>
      <c r="AH540" s="304">
        <f t="shared" ca="1" si="260"/>
        <v>-8.4979143535116837</v>
      </c>
    </row>
    <row r="541" spans="1:34" x14ac:dyDescent="0.2">
      <c r="A541" s="347">
        <f t="shared" ca="1" si="238"/>
        <v>1E-4</v>
      </c>
      <c r="B541" s="304">
        <f t="shared" ca="1" si="239"/>
        <v>29.215500000000112</v>
      </c>
      <c r="D541" s="306">
        <f t="shared" ca="1" si="240"/>
        <v>-0.73199561274994807</v>
      </c>
      <c r="E541" s="307">
        <f t="shared" ca="1" si="241"/>
        <v>-1.3436413456382983</v>
      </c>
      <c r="F541" s="304">
        <f t="shared" ca="1" si="242"/>
        <v>1.530094651580048</v>
      </c>
      <c r="G541" s="306">
        <f t="shared" ca="1" si="243"/>
        <v>9.2289843390094735</v>
      </c>
      <c r="H541" s="307">
        <f t="shared" ca="1" si="244"/>
        <v>-106.74464184791402</v>
      </c>
      <c r="I541" s="304">
        <f t="shared" ca="1" si="245"/>
        <v>107.14286124221772</v>
      </c>
      <c r="J541" s="306">
        <f t="shared" ca="1" si="246"/>
        <v>746.86410190403069</v>
      </c>
      <c r="K541" s="307">
        <f t="shared" ca="1" si="247"/>
        <v>-3.9016768378560367</v>
      </c>
      <c r="L541" s="304">
        <f t="shared" ca="1" si="232"/>
        <v>746.87429316790747</v>
      </c>
      <c r="M541" s="306">
        <f t="shared" ca="1" si="248"/>
        <v>-1.4845522682556012</v>
      </c>
      <c r="N541" s="304">
        <f t="shared" ca="1" si="249"/>
        <v>-85.058579437619173</v>
      </c>
      <c r="P541" s="310">
        <f t="shared" ca="1" si="250"/>
        <v>23</v>
      </c>
      <c r="Q541" s="304">
        <f t="shared" ca="1" si="251"/>
        <v>0</v>
      </c>
      <c r="R541" s="306">
        <f t="shared" ca="1" si="252"/>
        <v>0</v>
      </c>
      <c r="S541" s="307">
        <f t="shared" ca="1" si="253"/>
        <v>5.083000000000002</v>
      </c>
      <c r="T541" s="304">
        <f t="shared" ca="1" si="233"/>
        <v>49.86423000000002</v>
      </c>
      <c r="U541" s="311">
        <f t="shared" ca="1" si="234"/>
        <v>0</v>
      </c>
      <c r="V541" s="306">
        <f t="shared" ca="1" si="235"/>
        <v>1.2254780486722092</v>
      </c>
      <c r="W541" s="304">
        <f t="shared" ca="1" si="236"/>
        <v>43.195196582515202</v>
      </c>
      <c r="Y541" s="314" t="str">
        <f t="shared" ca="1" si="254"/>
        <v/>
      </c>
      <c r="Z541" s="315" t="str">
        <f t="shared" ca="1" si="255"/>
        <v/>
      </c>
      <c r="AA541" s="316" t="str">
        <f t="shared" ca="1" si="256"/>
        <v/>
      </c>
      <c r="AC541" s="310" t="e">
        <f t="shared" ca="1" si="257"/>
        <v>#N/A</v>
      </c>
      <c r="AD541" s="323" t="e">
        <f t="shared" ca="1" si="258"/>
        <v>#N/A</v>
      </c>
      <c r="AE541" s="324" t="e">
        <f t="shared" ca="1" si="237"/>
        <v>#N/A</v>
      </c>
      <c r="AG541" s="306">
        <f t="shared" ca="1" si="259"/>
        <v>1.2755947076325409</v>
      </c>
      <c r="AH541" s="304">
        <f t="shared" ca="1" si="260"/>
        <v>-8.4979436595785014</v>
      </c>
    </row>
    <row r="542" spans="1:34" x14ac:dyDescent="0.2">
      <c r="A542" s="347">
        <f t="shared" ca="1" si="238"/>
        <v>1E-4</v>
      </c>
      <c r="B542" s="304">
        <f t="shared" ca="1" si="239"/>
        <v>29.215600000000112</v>
      </c>
      <c r="D542" s="306">
        <f t="shared" ca="1" si="240"/>
        <v>-0.73199145981912972</v>
      </c>
      <c r="E542" s="307">
        <f t="shared" ca="1" si="241"/>
        <v>-1.3436115715512216</v>
      </c>
      <c r="F542" s="304">
        <f t="shared" ca="1" si="242"/>
        <v>1.530066518963958</v>
      </c>
      <c r="G542" s="306">
        <f t="shared" ca="1" si="243"/>
        <v>9.2289111398634915</v>
      </c>
      <c r="H542" s="307">
        <f t="shared" ca="1" si="244"/>
        <v>-106.74477620907118</v>
      </c>
      <c r="I542" s="304">
        <f t="shared" ca="1" si="245"/>
        <v>107.14298879885787</v>
      </c>
      <c r="J542" s="306">
        <f t="shared" ca="1" si="246"/>
        <v>746.86410190403069</v>
      </c>
      <c r="K542" s="307">
        <f t="shared" ca="1" si="247"/>
        <v>-3.9123513087588861</v>
      </c>
      <c r="L542" s="304">
        <f t="shared" ca="1" si="232"/>
        <v>746.8743490077012</v>
      </c>
      <c r="M542" s="306">
        <f t="shared" ca="1" si="248"/>
        <v>-1.4845530569266874</v>
      </c>
      <c r="N542" s="304">
        <f t="shared" ca="1" si="249"/>
        <v>-85.058624625143835</v>
      </c>
      <c r="P542" s="310">
        <f t="shared" ca="1" si="250"/>
        <v>23</v>
      </c>
      <c r="Q542" s="304">
        <f t="shared" ca="1" si="251"/>
        <v>0</v>
      </c>
      <c r="R542" s="306">
        <f t="shared" ca="1" si="252"/>
        <v>0</v>
      </c>
      <c r="S542" s="307">
        <f t="shared" ca="1" si="253"/>
        <v>5.083000000000002</v>
      </c>
      <c r="T542" s="304">
        <f t="shared" ca="1" si="233"/>
        <v>49.86423000000002</v>
      </c>
      <c r="U542" s="311">
        <f t="shared" ca="1" si="234"/>
        <v>0</v>
      </c>
      <c r="V542" s="306">
        <f t="shared" ca="1" si="235"/>
        <v>1.2254793568059343</v>
      </c>
      <c r="W542" s="304">
        <f t="shared" ca="1" si="236"/>
        <v>43.195345541532959</v>
      </c>
      <c r="Y542" s="314" t="str">
        <f t="shared" ca="1" si="254"/>
        <v/>
      </c>
      <c r="Z542" s="315" t="str">
        <f t="shared" ca="1" si="255"/>
        <v/>
      </c>
      <c r="AA542" s="316" t="str">
        <f t="shared" ca="1" si="256"/>
        <v/>
      </c>
      <c r="AC542" s="310" t="e">
        <f t="shared" ca="1" si="257"/>
        <v>#N/A</v>
      </c>
      <c r="AD542" s="323" t="e">
        <f t="shared" ca="1" si="258"/>
        <v>#N/A</v>
      </c>
      <c r="AE542" s="324" t="e">
        <f t="shared" ca="1" si="237"/>
        <v>#N/A</v>
      </c>
      <c r="AG542" s="306">
        <f t="shared" ca="1" si="259"/>
        <v>1.2755660683731769</v>
      </c>
      <c r="AH542" s="304">
        <f t="shared" ca="1" si="260"/>
        <v>-8.4979729652793985</v>
      </c>
    </row>
    <row r="543" spans="1:34" x14ac:dyDescent="0.2">
      <c r="A543" s="347">
        <f t="shared" ca="1" si="238"/>
        <v>1E-4</v>
      </c>
      <c r="B543" s="304">
        <f t="shared" ca="1" si="239"/>
        <v>29.215700000000112</v>
      </c>
      <c r="D543" s="306">
        <f t="shared" ca="1" si="240"/>
        <v>-0.73198730687914604</v>
      </c>
      <c r="E543" s="307">
        <f t="shared" ca="1" si="241"/>
        <v>-1.3435817978359275</v>
      </c>
      <c r="F543" s="304">
        <f t="shared" ca="1" si="242"/>
        <v>1.5300383867433549</v>
      </c>
      <c r="G543" s="306">
        <f t="shared" ca="1" si="243"/>
        <v>9.2288379411328041</v>
      </c>
      <c r="H543" s="307">
        <f t="shared" ca="1" si="244"/>
        <v>-106.74491056725095</v>
      </c>
      <c r="I543" s="304">
        <f t="shared" ca="1" si="245"/>
        <v>107.14311635263414</v>
      </c>
      <c r="J543" s="306">
        <f t="shared" ca="1" si="246"/>
        <v>746.86410190403069</v>
      </c>
      <c r="K543" s="307">
        <f t="shared" ca="1" si="247"/>
        <v>-3.9230257930977022</v>
      </c>
      <c r="L543" s="304">
        <f t="shared" ca="1" si="232"/>
        <v>746.87440500012292</v>
      </c>
      <c r="M543" s="306">
        <f t="shared" ca="1" si="248"/>
        <v>-1.4845538455896408</v>
      </c>
      <c r="N543" s="304">
        <f t="shared" ca="1" si="249"/>
        <v>-85.058669812202524</v>
      </c>
      <c r="P543" s="310">
        <f t="shared" ca="1" si="250"/>
        <v>23</v>
      </c>
      <c r="Q543" s="304">
        <f t="shared" ca="1" si="251"/>
        <v>0</v>
      </c>
      <c r="R543" s="306">
        <f t="shared" ca="1" si="252"/>
        <v>0</v>
      </c>
      <c r="S543" s="307">
        <f t="shared" ca="1" si="253"/>
        <v>5.083000000000002</v>
      </c>
      <c r="T543" s="304">
        <f t="shared" ca="1" si="233"/>
        <v>49.86423000000002</v>
      </c>
      <c r="U543" s="311">
        <f t="shared" ca="1" si="234"/>
        <v>0</v>
      </c>
      <c r="V543" s="306">
        <f t="shared" ca="1" si="235"/>
        <v>1.225480664942703</v>
      </c>
      <c r="W543" s="304">
        <f t="shared" ca="1" si="236"/>
        <v>43.19549449869082</v>
      </c>
      <c r="Y543" s="314" t="str">
        <f t="shared" ca="1" si="254"/>
        <v/>
      </c>
      <c r="Z543" s="315" t="str">
        <f t="shared" ca="1" si="255"/>
        <v/>
      </c>
      <c r="AA543" s="316" t="str">
        <f t="shared" ca="1" si="256"/>
        <v/>
      </c>
      <c r="AC543" s="310" t="e">
        <f t="shared" ca="1" si="257"/>
        <v>#N/A</v>
      </c>
      <c r="AD543" s="323" t="e">
        <f t="shared" ca="1" si="258"/>
        <v>#N/A</v>
      </c>
      <c r="AE543" s="324" t="e">
        <f t="shared" ca="1" si="237"/>
        <v>#N/A</v>
      </c>
      <c r="AG543" s="306">
        <f t="shared" ca="1" si="259"/>
        <v>1.2755374294667678</v>
      </c>
      <c r="AH543" s="304">
        <f t="shared" ca="1" si="260"/>
        <v>-8.4980022706143892</v>
      </c>
    </row>
    <row r="544" spans="1:34" x14ac:dyDescent="0.2">
      <c r="A544" s="347">
        <f t="shared" ca="1" si="238"/>
        <v>1E-4</v>
      </c>
      <c r="B544" s="304">
        <f t="shared" ca="1" si="239"/>
        <v>29.215800000000112</v>
      </c>
      <c r="D544" s="306">
        <f t="shared" ca="1" si="240"/>
        <v>-0.73198315392999291</v>
      </c>
      <c r="E544" s="307">
        <f t="shared" ca="1" si="241"/>
        <v>-1.3435520244924177</v>
      </c>
      <c r="F544" s="304">
        <f t="shared" ca="1" si="242"/>
        <v>1.5300102549182388</v>
      </c>
      <c r="G544" s="306">
        <f t="shared" ca="1" si="243"/>
        <v>9.2287647428174111</v>
      </c>
      <c r="H544" s="307">
        <f t="shared" ca="1" si="244"/>
        <v>-106.7450449224534</v>
      </c>
      <c r="I544" s="304">
        <f t="shared" ca="1" si="245"/>
        <v>107.14324390354655</v>
      </c>
      <c r="J544" s="306">
        <f t="shared" ca="1" si="246"/>
        <v>746.86410190403069</v>
      </c>
      <c r="K544" s="307">
        <f t="shared" ca="1" si="247"/>
        <v>-3.9337002908721872</v>
      </c>
      <c r="L544" s="304">
        <f t="shared" ca="1" si="232"/>
        <v>746.87446114517309</v>
      </c>
      <c r="M544" s="306">
        <f t="shared" ca="1" si="248"/>
        <v>-1.4845546342444609</v>
      </c>
      <c r="N544" s="304">
        <f t="shared" ca="1" si="249"/>
        <v>-85.058714998795196</v>
      </c>
      <c r="P544" s="310">
        <f t="shared" ca="1" si="250"/>
        <v>23</v>
      </c>
      <c r="Q544" s="304">
        <f t="shared" ca="1" si="251"/>
        <v>0</v>
      </c>
      <c r="R544" s="306">
        <f t="shared" ca="1" si="252"/>
        <v>0</v>
      </c>
      <c r="S544" s="307">
        <f t="shared" ca="1" si="253"/>
        <v>5.083000000000002</v>
      </c>
      <c r="T544" s="304">
        <f t="shared" ca="1" si="233"/>
        <v>49.86423000000002</v>
      </c>
      <c r="U544" s="311">
        <f t="shared" ca="1" si="234"/>
        <v>0</v>
      </c>
      <c r="V544" s="306">
        <f t="shared" ca="1" si="235"/>
        <v>1.2254819730825146</v>
      </c>
      <c r="W544" s="304">
        <f t="shared" ca="1" si="236"/>
        <v>43.195643453988765</v>
      </c>
      <c r="Y544" s="314" t="str">
        <f t="shared" ca="1" si="254"/>
        <v/>
      </c>
      <c r="Z544" s="315" t="str">
        <f t="shared" ca="1" si="255"/>
        <v/>
      </c>
      <c r="AA544" s="316" t="str">
        <f t="shared" ca="1" si="256"/>
        <v/>
      </c>
      <c r="AC544" s="310" t="e">
        <f t="shared" ca="1" si="257"/>
        <v>#N/A</v>
      </c>
      <c r="AD544" s="323" t="e">
        <f t="shared" ca="1" si="258"/>
        <v>#N/A</v>
      </c>
      <c r="AE544" s="324" t="e">
        <f t="shared" ca="1" si="237"/>
        <v>#N/A</v>
      </c>
      <c r="AG544" s="306">
        <f t="shared" ca="1" si="259"/>
        <v>1.275508790913312</v>
      </c>
      <c r="AH544" s="304">
        <f t="shared" ca="1" si="260"/>
        <v>-8.4980315755834752</v>
      </c>
    </row>
    <row r="545" spans="1:34" x14ac:dyDescent="0.2">
      <c r="A545" s="347">
        <f t="shared" ca="1" si="238"/>
        <v>1E-4</v>
      </c>
      <c r="B545" s="304">
        <f t="shared" ca="1" si="239"/>
        <v>29.215900000000111</v>
      </c>
      <c r="D545" s="306">
        <f t="shared" ca="1" si="240"/>
        <v>-0.73197900097167534</v>
      </c>
      <c r="E545" s="307">
        <f t="shared" ca="1" si="241"/>
        <v>-1.3435222515206942</v>
      </c>
      <c r="F545" s="304">
        <f t="shared" ca="1" si="242"/>
        <v>1.5299821234886137</v>
      </c>
      <c r="G545" s="306">
        <f t="shared" ca="1" si="243"/>
        <v>9.2286915449173144</v>
      </c>
      <c r="H545" s="307">
        <f t="shared" ca="1" si="244"/>
        <v>-106.74517927467855</v>
      </c>
      <c r="I545" s="304">
        <f t="shared" ca="1" si="245"/>
        <v>107.14337145159514</v>
      </c>
      <c r="J545" s="306">
        <f t="shared" ca="1" si="246"/>
        <v>746.86410190403069</v>
      </c>
      <c r="K545" s="307">
        <f t="shared" ca="1" si="247"/>
        <v>-3.9443748020820437</v>
      </c>
      <c r="L545" s="304">
        <f t="shared" ca="1" si="232"/>
        <v>746.87451744285238</v>
      </c>
      <c r="M545" s="306">
        <f t="shared" ca="1" si="248"/>
        <v>-1.4845554228911484</v>
      </c>
      <c r="N545" s="304">
        <f t="shared" ca="1" si="249"/>
        <v>-85.058760184921923</v>
      </c>
      <c r="P545" s="310">
        <f t="shared" ca="1" si="250"/>
        <v>23</v>
      </c>
      <c r="Q545" s="304">
        <f t="shared" ca="1" si="251"/>
        <v>0</v>
      </c>
      <c r="R545" s="306">
        <f t="shared" ca="1" si="252"/>
        <v>0</v>
      </c>
      <c r="S545" s="307">
        <f t="shared" ca="1" si="253"/>
        <v>5.083000000000002</v>
      </c>
      <c r="T545" s="304">
        <f t="shared" ca="1" si="233"/>
        <v>49.86423000000002</v>
      </c>
      <c r="U545" s="311">
        <f t="shared" ca="1" si="234"/>
        <v>0</v>
      </c>
      <c r="V545" s="306">
        <f t="shared" ca="1" si="235"/>
        <v>1.2254832812253695</v>
      </c>
      <c r="W545" s="304">
        <f t="shared" ca="1" si="236"/>
        <v>43.19579240742685</v>
      </c>
      <c r="Y545" s="314" t="str">
        <f t="shared" ca="1" si="254"/>
        <v/>
      </c>
      <c r="Z545" s="315" t="str">
        <f t="shared" ca="1" si="255"/>
        <v/>
      </c>
      <c r="AA545" s="316" t="str">
        <f t="shared" ca="1" si="256"/>
        <v/>
      </c>
      <c r="AC545" s="310" t="e">
        <f t="shared" ca="1" si="257"/>
        <v>#N/A</v>
      </c>
      <c r="AD545" s="323" t="e">
        <f t="shared" ca="1" si="258"/>
        <v>#N/A</v>
      </c>
      <c r="AE545" s="324" t="e">
        <f t="shared" ca="1" si="237"/>
        <v>#N/A</v>
      </c>
      <c r="AG545" s="306">
        <f t="shared" ca="1" si="259"/>
        <v>1.2754801527128148</v>
      </c>
      <c r="AH545" s="304">
        <f t="shared" ca="1" si="260"/>
        <v>-8.4980608801866513</v>
      </c>
    </row>
    <row r="546" spans="1:34" x14ac:dyDescent="0.2">
      <c r="A546" s="347">
        <f t="shared" ca="1" si="238"/>
        <v>1E-4</v>
      </c>
      <c r="B546" s="304">
        <f t="shared" ca="1" si="239"/>
        <v>29.216000000000111</v>
      </c>
      <c r="D546" s="306">
        <f t="shared" ca="1" si="240"/>
        <v>-0.73197484800419044</v>
      </c>
      <c r="E546" s="307">
        <f t="shared" ca="1" si="241"/>
        <v>-1.3434924789207461</v>
      </c>
      <c r="F546" s="304">
        <f t="shared" ca="1" si="242"/>
        <v>1.5299539924544689</v>
      </c>
      <c r="G546" s="306">
        <f t="shared" ca="1" si="243"/>
        <v>9.2286183474325139</v>
      </c>
      <c r="H546" s="307">
        <f t="shared" ca="1" si="244"/>
        <v>-106.74531362392644</v>
      </c>
      <c r="I546" s="304">
        <f t="shared" ca="1" si="245"/>
        <v>107.14349899677994</v>
      </c>
      <c r="J546" s="306">
        <f t="shared" ca="1" si="246"/>
        <v>746.86410190403069</v>
      </c>
      <c r="K546" s="307">
        <f t="shared" ca="1" si="247"/>
        <v>-3.9550493267269742</v>
      </c>
      <c r="L546" s="304">
        <f t="shared" ca="1" si="232"/>
        <v>746.87457389316126</v>
      </c>
      <c r="M546" s="306">
        <f t="shared" ca="1" si="248"/>
        <v>-1.4845562115297029</v>
      </c>
      <c r="N546" s="304">
        <f t="shared" ca="1" si="249"/>
        <v>-85.058805370582661</v>
      </c>
      <c r="P546" s="310">
        <f t="shared" ca="1" si="250"/>
        <v>23</v>
      </c>
      <c r="Q546" s="304">
        <f t="shared" ca="1" si="251"/>
        <v>0</v>
      </c>
      <c r="R546" s="306">
        <f t="shared" ca="1" si="252"/>
        <v>0</v>
      </c>
      <c r="S546" s="307">
        <f t="shared" ca="1" si="253"/>
        <v>5.083000000000002</v>
      </c>
      <c r="T546" s="304">
        <f t="shared" ca="1" si="233"/>
        <v>49.86423000000002</v>
      </c>
      <c r="U546" s="311">
        <f t="shared" ca="1" si="234"/>
        <v>0</v>
      </c>
      <c r="V546" s="306">
        <f t="shared" ca="1" si="235"/>
        <v>1.2254845893712674</v>
      </c>
      <c r="W546" s="304">
        <f t="shared" ca="1" si="236"/>
        <v>43.19594135900504</v>
      </c>
      <c r="Y546" s="314" t="str">
        <f t="shared" ca="1" si="254"/>
        <v/>
      </c>
      <c r="Z546" s="315" t="str">
        <f t="shared" ca="1" si="255"/>
        <v/>
      </c>
      <c r="AA546" s="316" t="str">
        <f t="shared" ca="1" si="256"/>
        <v/>
      </c>
      <c r="AC546" s="310" t="e">
        <f t="shared" ca="1" si="257"/>
        <v>#N/A</v>
      </c>
      <c r="AD546" s="323" t="e">
        <f t="shared" ca="1" si="258"/>
        <v>#N/A</v>
      </c>
      <c r="AE546" s="324" t="e">
        <f t="shared" ca="1" si="237"/>
        <v>#N/A</v>
      </c>
      <c r="AG546" s="306">
        <f t="shared" ca="1" si="259"/>
        <v>1.2754515148652654</v>
      </c>
      <c r="AH546" s="304">
        <f t="shared" ca="1" si="260"/>
        <v>-8.4980901844239298</v>
      </c>
    </row>
    <row r="547" spans="1:34" x14ac:dyDescent="0.2">
      <c r="A547" s="347">
        <f t="shared" ca="1" si="238"/>
        <v>1E-4</v>
      </c>
      <c r="B547" s="304">
        <f t="shared" ca="1" si="239"/>
        <v>29.216100000000111</v>
      </c>
      <c r="D547" s="306">
        <f t="shared" ca="1" si="240"/>
        <v>-0.73197069502754286</v>
      </c>
      <c r="E547" s="307">
        <f t="shared" ca="1" si="241"/>
        <v>-1.3434627066925824</v>
      </c>
      <c r="F547" s="304">
        <f t="shared" ca="1" si="242"/>
        <v>1.5299258618158149</v>
      </c>
      <c r="G547" s="306">
        <f t="shared" ca="1" si="243"/>
        <v>9.2285451503630114</v>
      </c>
      <c r="H547" s="307">
        <f t="shared" ca="1" si="244"/>
        <v>-106.74544797019711</v>
      </c>
      <c r="I547" s="304">
        <f t="shared" ca="1" si="245"/>
        <v>107.14362653910099</v>
      </c>
      <c r="J547" s="306">
        <f t="shared" ca="1" si="246"/>
        <v>746.86410190403069</v>
      </c>
      <c r="K547" s="307">
        <f t="shared" ca="1" si="247"/>
        <v>-3.9657238648066802</v>
      </c>
      <c r="L547" s="304">
        <f t="shared" ca="1" si="232"/>
        <v>746.87463049610017</v>
      </c>
      <c r="M547" s="306">
        <f t="shared" ca="1" si="248"/>
        <v>-1.4845570001601247</v>
      </c>
      <c r="N547" s="304">
        <f t="shared" ca="1" si="249"/>
        <v>-85.058850555777425</v>
      </c>
      <c r="P547" s="310">
        <f t="shared" ca="1" si="250"/>
        <v>23</v>
      </c>
      <c r="Q547" s="304">
        <f t="shared" ca="1" si="251"/>
        <v>0</v>
      </c>
      <c r="R547" s="306">
        <f t="shared" ca="1" si="252"/>
        <v>0</v>
      </c>
      <c r="S547" s="307">
        <f t="shared" ca="1" si="253"/>
        <v>5.083000000000002</v>
      </c>
      <c r="T547" s="304">
        <f t="shared" ca="1" si="233"/>
        <v>49.86423000000002</v>
      </c>
      <c r="U547" s="311">
        <f t="shared" ca="1" si="234"/>
        <v>0</v>
      </c>
      <c r="V547" s="306">
        <f t="shared" ca="1" si="235"/>
        <v>1.2254858975202085</v>
      </c>
      <c r="W547" s="304">
        <f t="shared" ca="1" si="236"/>
        <v>43.196090308723392</v>
      </c>
      <c r="Y547" s="314" t="str">
        <f t="shared" ca="1" si="254"/>
        <v/>
      </c>
      <c r="Z547" s="315" t="str">
        <f t="shared" ca="1" si="255"/>
        <v/>
      </c>
      <c r="AA547" s="316" t="str">
        <f t="shared" ca="1" si="256"/>
        <v/>
      </c>
      <c r="AC547" s="310" t="e">
        <f t="shared" ca="1" si="257"/>
        <v>#N/A</v>
      </c>
      <c r="AD547" s="323" t="e">
        <f t="shared" ca="1" si="258"/>
        <v>#N/A</v>
      </c>
      <c r="AE547" s="324" t="e">
        <f t="shared" ca="1" si="237"/>
        <v>#N/A</v>
      </c>
      <c r="AG547" s="306">
        <f t="shared" ca="1" si="259"/>
        <v>1.2754228773706711</v>
      </c>
      <c r="AH547" s="304">
        <f t="shared" ca="1" si="260"/>
        <v>-8.4981194882953019</v>
      </c>
    </row>
    <row r="548" spans="1:34" x14ac:dyDescent="0.2">
      <c r="A548" s="347">
        <f t="shared" ca="1" si="238"/>
        <v>1E-4</v>
      </c>
      <c r="B548" s="304">
        <f t="shared" ca="1" si="239"/>
        <v>29.216200000000111</v>
      </c>
      <c r="D548" s="306">
        <f t="shared" ca="1" si="240"/>
        <v>-0.73196654204173139</v>
      </c>
      <c r="E548" s="307">
        <f t="shared" ca="1" si="241"/>
        <v>-1.3434329348361889</v>
      </c>
      <c r="F548" s="304">
        <f t="shared" ca="1" si="242"/>
        <v>1.5298977315726385</v>
      </c>
      <c r="G548" s="306">
        <f t="shared" ca="1" si="243"/>
        <v>9.2284719537088069</v>
      </c>
      <c r="H548" s="307">
        <f t="shared" ca="1" si="244"/>
        <v>-106.74558231349059</v>
      </c>
      <c r="I548" s="304">
        <f t="shared" ca="1" si="245"/>
        <v>107.14375407855833</v>
      </c>
      <c r="J548" s="306">
        <f t="shared" ca="1" si="246"/>
        <v>746.86410190403069</v>
      </c>
      <c r="K548" s="307">
        <f t="shared" ca="1" si="247"/>
        <v>-3.9763984163208645</v>
      </c>
      <c r="L548" s="304">
        <f t="shared" ca="1" si="232"/>
        <v>746.87468725166991</v>
      </c>
      <c r="M548" s="306">
        <f t="shared" ca="1" si="248"/>
        <v>-1.4845577887824142</v>
      </c>
      <c r="N548" s="304">
        <f t="shared" ca="1" si="249"/>
        <v>-85.058895740506244</v>
      </c>
      <c r="P548" s="310">
        <f t="shared" ca="1" si="250"/>
        <v>23</v>
      </c>
      <c r="Q548" s="304">
        <f t="shared" ca="1" si="251"/>
        <v>0</v>
      </c>
      <c r="R548" s="306">
        <f t="shared" ca="1" si="252"/>
        <v>0</v>
      </c>
      <c r="S548" s="307">
        <f t="shared" ca="1" si="253"/>
        <v>5.083000000000002</v>
      </c>
      <c r="T548" s="304">
        <f t="shared" ca="1" si="233"/>
        <v>49.86423000000002</v>
      </c>
      <c r="U548" s="311">
        <f t="shared" ca="1" si="234"/>
        <v>0</v>
      </c>
      <c r="V548" s="306">
        <f t="shared" ca="1" si="235"/>
        <v>1.2254872056721928</v>
      </c>
      <c r="W548" s="304">
        <f t="shared" ca="1" si="236"/>
        <v>43.196239256581897</v>
      </c>
      <c r="Y548" s="314" t="str">
        <f t="shared" ca="1" si="254"/>
        <v/>
      </c>
      <c r="Z548" s="315" t="str">
        <f t="shared" ca="1" si="255"/>
        <v/>
      </c>
      <c r="AA548" s="316" t="str">
        <f t="shared" ca="1" si="256"/>
        <v/>
      </c>
      <c r="AC548" s="310" t="e">
        <f t="shared" ca="1" si="257"/>
        <v>#N/A</v>
      </c>
      <c r="AD548" s="323" t="e">
        <f t="shared" ca="1" si="258"/>
        <v>#N/A</v>
      </c>
      <c r="AE548" s="324" t="e">
        <f t="shared" ca="1" si="237"/>
        <v>#N/A</v>
      </c>
      <c r="AG548" s="306">
        <f t="shared" ca="1" si="259"/>
        <v>1.2753942402290175</v>
      </c>
      <c r="AH548" s="304">
        <f t="shared" ca="1" si="260"/>
        <v>-8.4981487918007819</v>
      </c>
    </row>
    <row r="549" spans="1:34" x14ac:dyDescent="0.2">
      <c r="A549" s="347">
        <f t="shared" ca="1" si="238"/>
        <v>1E-4</v>
      </c>
      <c r="B549" s="304">
        <f t="shared" ca="1" si="239"/>
        <v>29.216300000000111</v>
      </c>
      <c r="D549" s="306">
        <f t="shared" ca="1" si="240"/>
        <v>-0.7319623890467557</v>
      </c>
      <c r="E549" s="307">
        <f t="shared" ca="1" si="241"/>
        <v>-1.3434031633515691</v>
      </c>
      <c r="F549" s="304">
        <f t="shared" ca="1" si="242"/>
        <v>1.5298696017249434</v>
      </c>
      <c r="G549" s="306">
        <f t="shared" ca="1" si="243"/>
        <v>9.2283987574699022</v>
      </c>
      <c r="H549" s="307">
        <f t="shared" ca="1" si="244"/>
        <v>-106.74571665380692</v>
      </c>
      <c r="I549" s="304">
        <f t="shared" ca="1" si="245"/>
        <v>107.14388161515198</v>
      </c>
      <c r="J549" s="306">
        <f t="shared" ca="1" si="246"/>
        <v>746.86410190403069</v>
      </c>
      <c r="K549" s="307">
        <f t="shared" ca="1" si="247"/>
        <v>-3.9870729812692294</v>
      </c>
      <c r="L549" s="304">
        <f t="shared" ca="1" si="232"/>
        <v>746.8747441598706</v>
      </c>
      <c r="M549" s="306">
        <f t="shared" ca="1" si="248"/>
        <v>-1.484558577396571</v>
      </c>
      <c r="N549" s="304">
        <f t="shared" ca="1" si="249"/>
        <v>-85.05894092476909</v>
      </c>
      <c r="P549" s="310">
        <f t="shared" ca="1" si="250"/>
        <v>23</v>
      </c>
      <c r="Q549" s="304">
        <f t="shared" ca="1" si="251"/>
        <v>0</v>
      </c>
      <c r="R549" s="306">
        <f t="shared" ca="1" si="252"/>
        <v>0</v>
      </c>
      <c r="S549" s="307">
        <f t="shared" ca="1" si="253"/>
        <v>5.083000000000002</v>
      </c>
      <c r="T549" s="304">
        <f t="shared" ca="1" si="233"/>
        <v>49.86423000000002</v>
      </c>
      <c r="U549" s="311">
        <f t="shared" ca="1" si="234"/>
        <v>0</v>
      </c>
      <c r="V549" s="306">
        <f t="shared" ca="1" si="235"/>
        <v>1.2254885138272194</v>
      </c>
      <c r="W549" s="304">
        <f t="shared" ca="1" si="236"/>
        <v>43.19638820258055</v>
      </c>
      <c r="Y549" s="314" t="str">
        <f t="shared" ca="1" si="254"/>
        <v/>
      </c>
      <c r="Z549" s="315" t="str">
        <f t="shared" ca="1" si="255"/>
        <v/>
      </c>
      <c r="AA549" s="316" t="str">
        <f t="shared" ca="1" si="256"/>
        <v/>
      </c>
      <c r="AC549" s="310" t="e">
        <f t="shared" ca="1" si="257"/>
        <v>#N/A</v>
      </c>
      <c r="AD549" s="323" t="e">
        <f t="shared" ca="1" si="258"/>
        <v>#N/A</v>
      </c>
      <c r="AE549" s="324" t="e">
        <f t="shared" ca="1" si="237"/>
        <v>#N/A</v>
      </c>
      <c r="AG549" s="306">
        <f t="shared" ca="1" si="259"/>
        <v>1.2753656034403118</v>
      </c>
      <c r="AH549" s="304">
        <f t="shared" ca="1" si="260"/>
        <v>-8.498178094940366</v>
      </c>
    </row>
    <row r="550" spans="1:34" x14ac:dyDescent="0.2">
      <c r="A550" s="347">
        <f t="shared" ca="1" si="238"/>
        <v>1E-4</v>
      </c>
      <c r="B550" s="304">
        <f t="shared" ca="1" si="239"/>
        <v>29.21640000000011</v>
      </c>
      <c r="D550" s="306">
        <f t="shared" ca="1" si="240"/>
        <v>-0.73195823604261878</v>
      </c>
      <c r="E550" s="307">
        <f t="shared" ca="1" si="241"/>
        <v>-1.343373392238723</v>
      </c>
      <c r="F550" s="304">
        <f t="shared" ca="1" si="242"/>
        <v>1.5298414722727307</v>
      </c>
      <c r="G550" s="306">
        <f t="shared" ca="1" si="243"/>
        <v>9.2283255616462974</v>
      </c>
      <c r="H550" s="307">
        <f t="shared" ca="1" si="244"/>
        <v>-106.74585099114614</v>
      </c>
      <c r="I550" s="304">
        <f t="shared" ca="1" si="245"/>
        <v>107.14400914888201</v>
      </c>
      <c r="J550" s="306">
        <f t="shared" ca="1" si="246"/>
        <v>746.86410190403069</v>
      </c>
      <c r="K550" s="307">
        <f t="shared" ca="1" si="247"/>
        <v>-3.9977475596514771</v>
      </c>
      <c r="L550" s="304">
        <f t="shared" ca="1" si="232"/>
        <v>746.87480122070326</v>
      </c>
      <c r="M550" s="306">
        <f t="shared" ca="1" si="248"/>
        <v>-1.4845593660025955</v>
      </c>
      <c r="N550" s="304">
        <f t="shared" ca="1" si="249"/>
        <v>-85.058986108565989</v>
      </c>
      <c r="P550" s="310">
        <f t="shared" ca="1" si="250"/>
        <v>23</v>
      </c>
      <c r="Q550" s="304">
        <f t="shared" ca="1" si="251"/>
        <v>0</v>
      </c>
      <c r="R550" s="306">
        <f t="shared" ca="1" si="252"/>
        <v>0</v>
      </c>
      <c r="S550" s="307">
        <f t="shared" ca="1" si="253"/>
        <v>5.083000000000002</v>
      </c>
      <c r="T550" s="304">
        <f t="shared" ca="1" si="233"/>
        <v>49.86423000000002</v>
      </c>
      <c r="U550" s="311">
        <f t="shared" ca="1" si="234"/>
        <v>0</v>
      </c>
      <c r="V550" s="306">
        <f t="shared" ca="1" si="235"/>
        <v>1.2254898219852894</v>
      </c>
      <c r="W550" s="304">
        <f t="shared" ca="1" si="236"/>
        <v>43.196537146719415</v>
      </c>
      <c r="Y550" s="314" t="str">
        <f t="shared" ca="1" si="254"/>
        <v/>
      </c>
      <c r="Z550" s="315" t="str">
        <f t="shared" ca="1" si="255"/>
        <v/>
      </c>
      <c r="AA550" s="316" t="str">
        <f t="shared" ca="1" si="256"/>
        <v/>
      </c>
      <c r="AC550" s="310" t="e">
        <f t="shared" ca="1" si="257"/>
        <v>#N/A</v>
      </c>
      <c r="AD550" s="323" t="e">
        <f t="shared" ca="1" si="258"/>
        <v>#N/A</v>
      </c>
      <c r="AE550" s="324" t="e">
        <f t="shared" ca="1" si="237"/>
        <v>#N/A</v>
      </c>
      <c r="AG550" s="306">
        <f t="shared" ca="1" si="259"/>
        <v>1.2753369670045505</v>
      </c>
      <c r="AH550" s="304">
        <f t="shared" ca="1" si="260"/>
        <v>-8.4982073977140526</v>
      </c>
    </row>
    <row r="551" spans="1:34" x14ac:dyDescent="0.2">
      <c r="A551" s="347">
        <f t="shared" ca="1" si="238"/>
        <v>1E-4</v>
      </c>
      <c r="B551" s="304">
        <f t="shared" ca="1" si="239"/>
        <v>29.21650000000011</v>
      </c>
      <c r="D551" s="306">
        <f t="shared" ca="1" si="240"/>
        <v>-0.73195408302932186</v>
      </c>
      <c r="E551" s="307">
        <f t="shared" ca="1" si="241"/>
        <v>-1.3433436214976382</v>
      </c>
      <c r="F551" s="304">
        <f t="shared" ca="1" si="242"/>
        <v>1.5298133432159902</v>
      </c>
      <c r="G551" s="306">
        <f t="shared" ca="1" si="243"/>
        <v>9.2282523662379941</v>
      </c>
      <c r="H551" s="307">
        <f t="shared" ca="1" si="244"/>
        <v>-106.74598532550829</v>
      </c>
      <c r="I551" s="304">
        <f t="shared" ca="1" si="245"/>
        <v>107.14413667974841</v>
      </c>
      <c r="J551" s="306">
        <f t="shared" ca="1" si="246"/>
        <v>746.86410190403069</v>
      </c>
      <c r="K551" s="307">
        <f t="shared" ca="1" si="247"/>
        <v>-4.0084221514673102</v>
      </c>
      <c r="L551" s="304">
        <f t="shared" ca="1" si="232"/>
        <v>746.87485843416812</v>
      </c>
      <c r="M551" s="306">
        <f t="shared" ca="1" si="248"/>
        <v>-1.4845601546004878</v>
      </c>
      <c r="N551" s="304">
        <f t="shared" ca="1" si="249"/>
        <v>-85.059031291896957</v>
      </c>
      <c r="P551" s="310">
        <f t="shared" ca="1" si="250"/>
        <v>23</v>
      </c>
      <c r="Q551" s="304">
        <f t="shared" ca="1" si="251"/>
        <v>0</v>
      </c>
      <c r="R551" s="306">
        <f t="shared" ca="1" si="252"/>
        <v>0</v>
      </c>
      <c r="S551" s="307">
        <f t="shared" ca="1" si="253"/>
        <v>5.083000000000002</v>
      </c>
      <c r="T551" s="304">
        <f t="shared" ca="1" si="233"/>
        <v>49.86423000000002</v>
      </c>
      <c r="U551" s="311">
        <f t="shared" ca="1" si="234"/>
        <v>0</v>
      </c>
      <c r="V551" s="306">
        <f t="shared" ca="1" si="235"/>
        <v>1.2254911301464027</v>
      </c>
      <c r="W551" s="304">
        <f t="shared" ca="1" si="236"/>
        <v>43.196686088998462</v>
      </c>
      <c r="Y551" s="314" t="str">
        <f t="shared" ca="1" si="254"/>
        <v/>
      </c>
      <c r="Z551" s="315" t="str">
        <f t="shared" ca="1" si="255"/>
        <v/>
      </c>
      <c r="AA551" s="316" t="str">
        <f t="shared" ca="1" si="256"/>
        <v/>
      </c>
      <c r="AC551" s="310" t="e">
        <f t="shared" ca="1" si="257"/>
        <v>#N/A</v>
      </c>
      <c r="AD551" s="323" t="e">
        <f t="shared" ca="1" si="258"/>
        <v>#N/A</v>
      </c>
      <c r="AE551" s="324" t="e">
        <f t="shared" ca="1" si="237"/>
        <v>#N/A</v>
      </c>
      <c r="AG551" s="306">
        <f t="shared" ca="1" si="259"/>
        <v>1.2753083309217264</v>
      </c>
      <c r="AH551" s="304">
        <f t="shared" ca="1" si="260"/>
        <v>-8.4982367001218559</v>
      </c>
    </row>
    <row r="552" spans="1:34" x14ac:dyDescent="0.2">
      <c r="A552" s="347">
        <f t="shared" ca="1" si="238"/>
        <v>1E-4</v>
      </c>
      <c r="B552" s="304">
        <f t="shared" ca="1" si="239"/>
        <v>29.21660000000011</v>
      </c>
      <c r="D552" s="306">
        <f t="shared" ca="1" si="240"/>
        <v>-0.73194993000686415</v>
      </c>
      <c r="E552" s="307">
        <f t="shared" ca="1" si="241"/>
        <v>-1.3433138511283218</v>
      </c>
      <c r="F552" s="304">
        <f t="shared" ca="1" si="242"/>
        <v>1.5297852145547284</v>
      </c>
      <c r="G552" s="306">
        <f t="shared" ca="1" si="243"/>
        <v>9.2281791712449941</v>
      </c>
      <c r="H552" s="307">
        <f t="shared" ca="1" si="244"/>
        <v>-106.7461196568934</v>
      </c>
      <c r="I552" s="304">
        <f t="shared" ca="1" si="245"/>
        <v>107.14426420775123</v>
      </c>
      <c r="J552" s="306">
        <f t="shared" ca="1" si="246"/>
        <v>746.86410190403069</v>
      </c>
      <c r="K552" s="307">
        <f t="shared" ca="1" si="247"/>
        <v>-4.0190967567164302</v>
      </c>
      <c r="L552" s="304">
        <f t="shared" ca="1" si="232"/>
        <v>746.87491580026585</v>
      </c>
      <c r="M552" s="306">
        <f t="shared" ca="1" si="248"/>
        <v>-1.484560943190248</v>
      </c>
      <c r="N552" s="304">
        <f t="shared" ca="1" si="249"/>
        <v>-85.05907647476198</v>
      </c>
      <c r="P552" s="310">
        <f t="shared" ca="1" si="250"/>
        <v>23</v>
      </c>
      <c r="Q552" s="304">
        <f t="shared" ca="1" si="251"/>
        <v>0</v>
      </c>
      <c r="R552" s="306">
        <f t="shared" ca="1" si="252"/>
        <v>0</v>
      </c>
      <c r="S552" s="307">
        <f t="shared" ca="1" si="253"/>
        <v>5.083000000000002</v>
      </c>
      <c r="T552" s="304">
        <f t="shared" ca="1" si="233"/>
        <v>49.86423000000002</v>
      </c>
      <c r="U552" s="311">
        <f t="shared" ca="1" si="234"/>
        <v>0</v>
      </c>
      <c r="V552" s="306">
        <f t="shared" ca="1" si="235"/>
        <v>1.2254924383105588</v>
      </c>
      <c r="W552" s="304">
        <f t="shared" ca="1" si="236"/>
        <v>43.196835029417713</v>
      </c>
      <c r="Y552" s="314" t="str">
        <f t="shared" ca="1" si="254"/>
        <v/>
      </c>
      <c r="Z552" s="315" t="str">
        <f t="shared" ca="1" si="255"/>
        <v/>
      </c>
      <c r="AA552" s="316" t="str">
        <f t="shared" ca="1" si="256"/>
        <v/>
      </c>
      <c r="AC552" s="310" t="e">
        <f t="shared" ca="1" si="257"/>
        <v>#N/A</v>
      </c>
      <c r="AD552" s="323" t="e">
        <f t="shared" ca="1" si="258"/>
        <v>#N/A</v>
      </c>
      <c r="AE552" s="324" t="e">
        <f t="shared" ca="1" si="237"/>
        <v>#N/A</v>
      </c>
      <c r="AG552" s="306">
        <f t="shared" ca="1" si="259"/>
        <v>1.2752796951918395</v>
      </c>
      <c r="AH552" s="304">
        <f t="shared" ca="1" si="260"/>
        <v>-8.4982660021637706</v>
      </c>
    </row>
    <row r="553" spans="1:34" x14ac:dyDescent="0.2">
      <c r="A553" s="347">
        <f t="shared" ca="1" si="238"/>
        <v>1E-4</v>
      </c>
      <c r="B553" s="304">
        <f t="shared" ca="1" si="239"/>
        <v>29.21670000000011</v>
      </c>
      <c r="D553" s="306">
        <f t="shared" ca="1" si="240"/>
        <v>-0.73194577697524721</v>
      </c>
      <c r="E553" s="307">
        <f t="shared" ca="1" si="241"/>
        <v>-1.3432840811307685</v>
      </c>
      <c r="F553" s="304">
        <f t="shared" ca="1" si="242"/>
        <v>1.5297570862889414</v>
      </c>
      <c r="G553" s="306">
        <f t="shared" ca="1" si="243"/>
        <v>9.2281059766672957</v>
      </c>
      <c r="H553" s="307">
        <f t="shared" ca="1" si="244"/>
        <v>-106.74625398530151</v>
      </c>
      <c r="I553" s="304">
        <f t="shared" ca="1" si="245"/>
        <v>107.14439173289053</v>
      </c>
      <c r="J553" s="306">
        <f t="shared" ca="1" si="246"/>
        <v>746.86410190403069</v>
      </c>
      <c r="K553" s="307">
        <f t="shared" ca="1" si="247"/>
        <v>-4.02977137539854</v>
      </c>
      <c r="L553" s="304">
        <f t="shared" ca="1" si="232"/>
        <v>746.87497331899692</v>
      </c>
      <c r="M553" s="306">
        <f t="shared" ca="1" si="248"/>
        <v>-1.4845617317718764</v>
      </c>
      <c r="N553" s="304">
        <f t="shared" ca="1" si="249"/>
        <v>-85.0591216571611</v>
      </c>
      <c r="P553" s="310">
        <f t="shared" ca="1" si="250"/>
        <v>23</v>
      </c>
      <c r="Q553" s="304">
        <f t="shared" ca="1" si="251"/>
        <v>0</v>
      </c>
      <c r="R553" s="306">
        <f t="shared" ca="1" si="252"/>
        <v>0</v>
      </c>
      <c r="S553" s="307">
        <f t="shared" ca="1" si="253"/>
        <v>5.083000000000002</v>
      </c>
      <c r="T553" s="304">
        <f t="shared" ca="1" si="233"/>
        <v>49.86423000000002</v>
      </c>
      <c r="U553" s="311">
        <f t="shared" ca="1" si="234"/>
        <v>0</v>
      </c>
      <c r="V553" s="306">
        <f t="shared" ca="1" si="235"/>
        <v>1.2254937464777573</v>
      </c>
      <c r="W553" s="304">
        <f t="shared" ca="1" si="236"/>
        <v>43.196983967977175</v>
      </c>
      <c r="Y553" s="314" t="str">
        <f t="shared" ca="1" si="254"/>
        <v/>
      </c>
      <c r="Z553" s="315" t="str">
        <f t="shared" ca="1" si="255"/>
        <v/>
      </c>
      <c r="AA553" s="316" t="str">
        <f t="shared" ca="1" si="256"/>
        <v/>
      </c>
      <c r="AC553" s="310" t="e">
        <f t="shared" ca="1" si="257"/>
        <v>#N/A</v>
      </c>
      <c r="AD553" s="323" t="e">
        <f t="shared" ca="1" si="258"/>
        <v>#N/A</v>
      </c>
      <c r="AE553" s="324" t="e">
        <f t="shared" ca="1" si="237"/>
        <v>#N/A</v>
      </c>
      <c r="AG553" s="306">
        <f t="shared" ca="1" si="259"/>
        <v>1.2752510598148898</v>
      </c>
      <c r="AH553" s="304">
        <f t="shared" ca="1" si="260"/>
        <v>-8.4982953038397984</v>
      </c>
    </row>
    <row r="554" spans="1:34" x14ac:dyDescent="0.2">
      <c r="A554" s="347">
        <f t="shared" ca="1" si="238"/>
        <v>1E-4</v>
      </c>
      <c r="B554" s="304">
        <f t="shared" ca="1" si="239"/>
        <v>29.216800000000109</v>
      </c>
      <c r="D554" s="306">
        <f t="shared" ca="1" si="240"/>
        <v>-0.73194162393446938</v>
      </c>
      <c r="E554" s="307">
        <f t="shared" ca="1" si="241"/>
        <v>-1.3432543115049747</v>
      </c>
      <c r="F554" s="304">
        <f t="shared" ca="1" si="242"/>
        <v>1.5297289584186251</v>
      </c>
      <c r="G554" s="306">
        <f t="shared" ca="1" si="243"/>
        <v>9.2280327825049024</v>
      </c>
      <c r="H554" s="307">
        <f t="shared" ca="1" si="244"/>
        <v>-106.74638831073266</v>
      </c>
      <c r="I554" s="304">
        <f t="shared" ca="1" si="245"/>
        <v>107.14451925516632</v>
      </c>
      <c r="J554" s="306">
        <f t="shared" ca="1" si="246"/>
        <v>746.86410190403069</v>
      </c>
      <c r="K554" s="307">
        <f t="shared" ca="1" si="247"/>
        <v>-4.0404460075133422</v>
      </c>
      <c r="L554" s="304">
        <f t="shared" ca="1" si="232"/>
        <v>746.87503099036178</v>
      </c>
      <c r="M554" s="306">
        <f t="shared" ca="1" si="248"/>
        <v>-1.4845625203453727</v>
      </c>
      <c r="N554" s="304">
        <f t="shared" ca="1" si="249"/>
        <v>-85.05916683909426</v>
      </c>
      <c r="P554" s="310">
        <f t="shared" ca="1" si="250"/>
        <v>23</v>
      </c>
      <c r="Q554" s="304">
        <f t="shared" ca="1" si="251"/>
        <v>0</v>
      </c>
      <c r="R554" s="306">
        <f t="shared" ca="1" si="252"/>
        <v>0</v>
      </c>
      <c r="S554" s="307">
        <f t="shared" ca="1" si="253"/>
        <v>5.083000000000002</v>
      </c>
      <c r="T554" s="304">
        <f t="shared" ca="1" si="233"/>
        <v>49.86423000000002</v>
      </c>
      <c r="U554" s="311">
        <f t="shared" ca="1" si="234"/>
        <v>0</v>
      </c>
      <c r="V554" s="306">
        <f t="shared" ca="1" si="235"/>
        <v>1.2254950546479995</v>
      </c>
      <c r="W554" s="304">
        <f t="shared" ca="1" si="236"/>
        <v>43.197132904676906</v>
      </c>
      <c r="Y554" s="314" t="str">
        <f t="shared" ca="1" si="254"/>
        <v/>
      </c>
      <c r="Z554" s="315" t="str">
        <f t="shared" ca="1" si="255"/>
        <v/>
      </c>
      <c r="AA554" s="316" t="str">
        <f t="shared" ca="1" si="256"/>
        <v/>
      </c>
      <c r="AC554" s="310" t="e">
        <f t="shared" ca="1" si="257"/>
        <v>#N/A</v>
      </c>
      <c r="AD554" s="323" t="e">
        <f t="shared" ca="1" si="258"/>
        <v>#N/A</v>
      </c>
      <c r="AE554" s="324" t="e">
        <f t="shared" ca="1" si="237"/>
        <v>#N/A</v>
      </c>
      <c r="AG554" s="306">
        <f t="shared" ca="1" si="259"/>
        <v>1.2752224247908757</v>
      </c>
      <c r="AH554" s="304">
        <f t="shared" ca="1" si="260"/>
        <v>-8.4983246051499428</v>
      </c>
    </row>
    <row r="555" spans="1:34" x14ac:dyDescent="0.2">
      <c r="A555" s="347">
        <f t="shared" ca="1" si="238"/>
        <v>1E-4</v>
      </c>
      <c r="B555" s="304">
        <f t="shared" ca="1" si="239"/>
        <v>29.216900000000109</v>
      </c>
      <c r="D555" s="306">
        <f t="shared" ca="1" si="240"/>
        <v>-0.73193747088453687</v>
      </c>
      <c r="E555" s="307">
        <f t="shared" ca="1" si="241"/>
        <v>-1.3432245422509315</v>
      </c>
      <c r="F555" s="304">
        <f t="shared" ca="1" si="242"/>
        <v>1.5297008309437752</v>
      </c>
      <c r="G555" s="306">
        <f t="shared" ca="1" si="243"/>
        <v>9.2279595887578143</v>
      </c>
      <c r="H555" s="307">
        <f t="shared" ca="1" si="244"/>
        <v>-106.74652263318688</v>
      </c>
      <c r="I555" s="304">
        <f t="shared" ca="1" si="245"/>
        <v>107.14464677457865</v>
      </c>
      <c r="J555" s="306">
        <f t="shared" ca="1" si="246"/>
        <v>746.86410190403069</v>
      </c>
      <c r="K555" s="307">
        <f t="shared" ca="1" si="247"/>
        <v>-4.0511206530605381</v>
      </c>
      <c r="L555" s="304">
        <f t="shared" ca="1" si="232"/>
        <v>746.87508881436122</v>
      </c>
      <c r="M555" s="306">
        <f t="shared" ca="1" si="248"/>
        <v>-1.4845633089107373</v>
      </c>
      <c r="N555" s="304">
        <f t="shared" ca="1" si="249"/>
        <v>-85.059212020561532</v>
      </c>
      <c r="P555" s="310">
        <f t="shared" ca="1" si="250"/>
        <v>23</v>
      </c>
      <c r="Q555" s="304">
        <f t="shared" ca="1" si="251"/>
        <v>0</v>
      </c>
      <c r="R555" s="306">
        <f t="shared" ca="1" si="252"/>
        <v>0</v>
      </c>
      <c r="S555" s="307">
        <f t="shared" ca="1" si="253"/>
        <v>5.083000000000002</v>
      </c>
      <c r="T555" s="304">
        <f t="shared" ca="1" si="233"/>
        <v>49.86423000000002</v>
      </c>
      <c r="U555" s="311">
        <f t="shared" ca="1" si="234"/>
        <v>0</v>
      </c>
      <c r="V555" s="306">
        <f t="shared" ca="1" si="235"/>
        <v>1.2254963628212838</v>
      </c>
      <c r="W555" s="304">
        <f t="shared" ca="1" si="236"/>
        <v>43.197281839516862</v>
      </c>
      <c r="Y555" s="314" t="str">
        <f t="shared" ca="1" si="254"/>
        <v/>
      </c>
      <c r="Z555" s="315" t="str">
        <f t="shared" ca="1" si="255"/>
        <v/>
      </c>
      <c r="AA555" s="316" t="str">
        <f t="shared" ca="1" si="256"/>
        <v/>
      </c>
      <c r="AC555" s="310" t="e">
        <f t="shared" ca="1" si="257"/>
        <v>#N/A</v>
      </c>
      <c r="AD555" s="323" t="e">
        <f t="shared" ca="1" si="258"/>
        <v>#N/A</v>
      </c>
      <c r="AE555" s="324" t="e">
        <f t="shared" ca="1" si="237"/>
        <v>#N/A</v>
      </c>
      <c r="AG555" s="306">
        <f t="shared" ca="1" si="259"/>
        <v>1.2751937901197845</v>
      </c>
      <c r="AH555" s="304">
        <f t="shared" ca="1" si="260"/>
        <v>-8.4983539060942146</v>
      </c>
    </row>
    <row r="556" spans="1:34" x14ac:dyDescent="0.2">
      <c r="A556" s="347">
        <f t="shared" ca="1" si="238"/>
        <v>1E-4</v>
      </c>
      <c r="B556" s="304">
        <f t="shared" ca="1" si="239"/>
        <v>29.217000000000109</v>
      </c>
      <c r="D556" s="306">
        <f t="shared" ca="1" si="240"/>
        <v>-0.73193331782544646</v>
      </c>
      <c r="E556" s="307">
        <f t="shared" ca="1" si="241"/>
        <v>-1.3431947733686513</v>
      </c>
      <c r="F556" s="304">
        <f t="shared" ca="1" si="242"/>
        <v>1.5296727038644014</v>
      </c>
      <c r="G556" s="306">
        <f t="shared" ca="1" si="243"/>
        <v>9.2278863954260313</v>
      </c>
      <c r="H556" s="307">
        <f t="shared" ca="1" si="244"/>
        <v>-106.74665695266422</v>
      </c>
      <c r="I556" s="304">
        <f t="shared" ca="1" si="245"/>
        <v>107.14477429112755</v>
      </c>
      <c r="J556" s="306">
        <f t="shared" ca="1" si="246"/>
        <v>746.86410190403069</v>
      </c>
      <c r="K556" s="307">
        <f t="shared" ca="1" si="247"/>
        <v>-4.0617953120398305</v>
      </c>
      <c r="L556" s="304">
        <f t="shared" ca="1" si="232"/>
        <v>746.87514679099559</v>
      </c>
      <c r="M556" s="306">
        <f t="shared" ca="1" si="248"/>
        <v>-1.4845640974679704</v>
      </c>
      <c r="N556" s="304">
        <f t="shared" ca="1" si="249"/>
        <v>-85.059257201562886</v>
      </c>
      <c r="P556" s="310">
        <f t="shared" ca="1" si="250"/>
        <v>23</v>
      </c>
      <c r="Q556" s="304">
        <f t="shared" ca="1" si="251"/>
        <v>0</v>
      </c>
      <c r="R556" s="306">
        <f t="shared" ca="1" si="252"/>
        <v>0</v>
      </c>
      <c r="S556" s="307">
        <f t="shared" ca="1" si="253"/>
        <v>5.083000000000002</v>
      </c>
      <c r="T556" s="304">
        <f t="shared" ca="1" si="233"/>
        <v>49.86423000000002</v>
      </c>
      <c r="U556" s="311">
        <f t="shared" ca="1" si="234"/>
        <v>0</v>
      </c>
      <c r="V556" s="306">
        <f t="shared" ca="1" si="235"/>
        <v>1.2254976709976109</v>
      </c>
      <c r="W556" s="304">
        <f t="shared" ca="1" si="236"/>
        <v>43.197430772497079</v>
      </c>
      <c r="Y556" s="314" t="str">
        <f t="shared" ca="1" si="254"/>
        <v/>
      </c>
      <c r="Z556" s="315" t="str">
        <f t="shared" ca="1" si="255"/>
        <v/>
      </c>
      <c r="AA556" s="316" t="str">
        <f t="shared" ca="1" si="256"/>
        <v/>
      </c>
      <c r="AC556" s="310" t="e">
        <f t="shared" ca="1" si="257"/>
        <v>#N/A</v>
      </c>
      <c r="AD556" s="323" t="e">
        <f t="shared" ca="1" si="258"/>
        <v>#N/A</v>
      </c>
      <c r="AE556" s="324" t="e">
        <f t="shared" ca="1" si="237"/>
        <v>#N/A</v>
      </c>
      <c r="AG556" s="306">
        <f t="shared" ca="1" si="259"/>
        <v>1.2751651558016306</v>
      </c>
      <c r="AH556" s="304">
        <f t="shared" ca="1" si="260"/>
        <v>-8.4983832066726031</v>
      </c>
    </row>
    <row r="557" spans="1:34" x14ac:dyDescent="0.2">
      <c r="A557" s="347">
        <f t="shared" ca="1" si="238"/>
        <v>1E-4</v>
      </c>
      <c r="B557" s="304">
        <f t="shared" ca="1" si="239"/>
        <v>29.217100000000109</v>
      </c>
      <c r="D557" s="306">
        <f t="shared" ca="1" si="240"/>
        <v>-0.73192916475719882</v>
      </c>
      <c r="E557" s="307">
        <f t="shared" ca="1" si="241"/>
        <v>-1.3431650048581183</v>
      </c>
      <c r="F557" s="304">
        <f t="shared" ca="1" si="242"/>
        <v>1.5296445771804899</v>
      </c>
      <c r="G557" s="306">
        <f t="shared" ca="1" si="243"/>
        <v>9.2278132025095552</v>
      </c>
      <c r="H557" s="307">
        <f t="shared" ca="1" si="244"/>
        <v>-106.74679126916472</v>
      </c>
      <c r="I557" s="304">
        <f t="shared" ca="1" si="245"/>
        <v>107.14490180481305</v>
      </c>
      <c r="J557" s="306">
        <f t="shared" ca="1" si="246"/>
        <v>746.86410190403069</v>
      </c>
      <c r="K557" s="307">
        <f t="shared" ca="1" si="247"/>
        <v>-4.0724699844509216</v>
      </c>
      <c r="L557" s="304">
        <f t="shared" ca="1" si="232"/>
        <v>746.87520492026545</v>
      </c>
      <c r="M557" s="306">
        <f t="shared" ca="1" si="248"/>
        <v>-1.4845648860170717</v>
      </c>
      <c r="N557" s="304">
        <f t="shared" ca="1" si="249"/>
        <v>-85.059302382098338</v>
      </c>
      <c r="P557" s="310">
        <f t="shared" ca="1" si="250"/>
        <v>23</v>
      </c>
      <c r="Q557" s="304">
        <f t="shared" ca="1" si="251"/>
        <v>0</v>
      </c>
      <c r="R557" s="306">
        <f t="shared" ca="1" si="252"/>
        <v>0</v>
      </c>
      <c r="S557" s="307">
        <f t="shared" ca="1" si="253"/>
        <v>5.083000000000002</v>
      </c>
      <c r="T557" s="304">
        <f t="shared" ca="1" si="233"/>
        <v>49.86423000000002</v>
      </c>
      <c r="U557" s="311">
        <f t="shared" ca="1" si="234"/>
        <v>0</v>
      </c>
      <c r="V557" s="306">
        <f t="shared" ca="1" si="235"/>
        <v>1.2254989791769815</v>
      </c>
      <c r="W557" s="304">
        <f t="shared" ca="1" si="236"/>
        <v>43.197579703617585</v>
      </c>
      <c r="Y557" s="314" t="str">
        <f t="shared" ca="1" si="254"/>
        <v/>
      </c>
      <c r="Z557" s="315" t="str">
        <f t="shared" ca="1" si="255"/>
        <v/>
      </c>
      <c r="AA557" s="316" t="str">
        <f t="shared" ca="1" si="256"/>
        <v/>
      </c>
      <c r="AC557" s="310" t="e">
        <f t="shared" ca="1" si="257"/>
        <v>#N/A</v>
      </c>
      <c r="AD557" s="323" t="e">
        <f t="shared" ca="1" si="258"/>
        <v>#N/A</v>
      </c>
      <c r="AE557" s="324" t="e">
        <f t="shared" ca="1" si="237"/>
        <v>#N/A</v>
      </c>
      <c r="AG557" s="306">
        <f t="shared" ca="1" si="259"/>
        <v>1.2751365218364015</v>
      </c>
      <c r="AH557" s="304">
        <f t="shared" ca="1" si="260"/>
        <v>-8.4984125068851188</v>
      </c>
    </row>
    <row r="558" spans="1:34" x14ac:dyDescent="0.2">
      <c r="A558" s="347">
        <f t="shared" ca="1" si="238"/>
        <v>1E-4</v>
      </c>
      <c r="B558" s="304">
        <f t="shared" ca="1" si="239"/>
        <v>29.217200000000108</v>
      </c>
      <c r="D558" s="306">
        <f t="shared" ca="1" si="240"/>
        <v>-0.73192501167979795</v>
      </c>
      <c r="E558" s="307">
        <f t="shared" ca="1" si="241"/>
        <v>-1.3431352367193323</v>
      </c>
      <c r="F558" s="304">
        <f t="shared" ca="1" si="242"/>
        <v>1.5296164508920429</v>
      </c>
      <c r="G558" s="306">
        <f t="shared" ca="1" si="243"/>
        <v>9.2277400100083877</v>
      </c>
      <c r="H558" s="307">
        <f t="shared" ca="1" si="244"/>
        <v>-106.74692558268839</v>
      </c>
      <c r="I558" s="304">
        <f t="shared" ca="1" si="245"/>
        <v>107.14502931563518</v>
      </c>
      <c r="J558" s="306">
        <f t="shared" ca="1" si="246"/>
        <v>746.86410190403069</v>
      </c>
      <c r="K558" s="307">
        <f t="shared" ca="1" si="247"/>
        <v>-4.0831446702935139</v>
      </c>
      <c r="L558" s="304">
        <f t="shared" ca="1" si="232"/>
        <v>746.87526320217148</v>
      </c>
      <c r="M558" s="306">
        <f t="shared" ca="1" si="248"/>
        <v>-1.4845656745580418</v>
      </c>
      <c r="N558" s="304">
        <f t="shared" ca="1" si="249"/>
        <v>-85.059347562167886</v>
      </c>
      <c r="P558" s="310">
        <f t="shared" ca="1" si="250"/>
        <v>23</v>
      </c>
      <c r="Q558" s="304">
        <f t="shared" ca="1" si="251"/>
        <v>0</v>
      </c>
      <c r="R558" s="306">
        <f t="shared" ca="1" si="252"/>
        <v>0</v>
      </c>
      <c r="S558" s="307">
        <f t="shared" ca="1" si="253"/>
        <v>5.083000000000002</v>
      </c>
      <c r="T558" s="304">
        <f t="shared" ca="1" si="233"/>
        <v>49.86423000000002</v>
      </c>
      <c r="U558" s="311">
        <f t="shared" ca="1" si="234"/>
        <v>0</v>
      </c>
      <c r="V558" s="306">
        <f t="shared" ca="1" si="235"/>
        <v>1.2255002873593943</v>
      </c>
      <c r="W558" s="304">
        <f t="shared" ca="1" si="236"/>
        <v>43.197728632878359</v>
      </c>
      <c r="Y558" s="314" t="str">
        <f t="shared" ca="1" si="254"/>
        <v/>
      </c>
      <c r="Z558" s="315" t="str">
        <f t="shared" ca="1" si="255"/>
        <v/>
      </c>
      <c r="AA558" s="316" t="str">
        <f t="shared" ca="1" si="256"/>
        <v/>
      </c>
      <c r="AC558" s="310" t="e">
        <f t="shared" ca="1" si="257"/>
        <v>#N/A</v>
      </c>
      <c r="AD558" s="323" t="e">
        <f t="shared" ca="1" si="258"/>
        <v>#N/A</v>
      </c>
      <c r="AE558" s="324" t="e">
        <f t="shared" ca="1" si="237"/>
        <v>#N/A</v>
      </c>
      <c r="AG558" s="306">
        <f t="shared" ca="1" si="259"/>
        <v>1.2751078882240918</v>
      </c>
      <c r="AH558" s="304">
        <f t="shared" ca="1" si="260"/>
        <v>-8.4984418067317655</v>
      </c>
    </row>
    <row r="559" spans="1:34" x14ac:dyDescent="0.2">
      <c r="A559" s="347">
        <f t="shared" ca="1" si="238"/>
        <v>1E-4</v>
      </c>
      <c r="B559" s="304">
        <f t="shared" ca="1" si="239"/>
        <v>29.217300000000108</v>
      </c>
      <c r="D559" s="306">
        <f t="shared" ca="1" si="240"/>
        <v>-0.73192085859324107</v>
      </c>
      <c r="E559" s="307">
        <f t="shared" ca="1" si="241"/>
        <v>-1.343105468952297</v>
      </c>
      <c r="F559" s="304">
        <f t="shared" ca="1" si="242"/>
        <v>1.5295883249990623</v>
      </c>
      <c r="G559" s="306">
        <f t="shared" ca="1" si="243"/>
        <v>9.227666817922529</v>
      </c>
      <c r="H559" s="307">
        <f t="shared" ca="1" si="244"/>
        <v>-106.74705989323529</v>
      </c>
      <c r="I559" s="304">
        <f t="shared" ca="1" si="245"/>
        <v>107.14515682359399</v>
      </c>
      <c r="J559" s="306">
        <f t="shared" ca="1" si="246"/>
        <v>746.86410190403069</v>
      </c>
      <c r="K559" s="307">
        <f t="shared" ca="1" si="247"/>
        <v>-4.09381936956731</v>
      </c>
      <c r="L559" s="304">
        <f t="shared" ca="1" si="232"/>
        <v>746.87532163671392</v>
      </c>
      <c r="M559" s="306">
        <f t="shared" ca="1" si="248"/>
        <v>-1.4845664630908806</v>
      </c>
      <c r="N559" s="304">
        <f t="shared" ca="1" si="249"/>
        <v>-85.059392741771561</v>
      </c>
      <c r="P559" s="310">
        <f t="shared" ca="1" si="250"/>
        <v>23</v>
      </c>
      <c r="Q559" s="304">
        <f t="shared" ca="1" si="251"/>
        <v>0</v>
      </c>
      <c r="R559" s="306">
        <f t="shared" ca="1" si="252"/>
        <v>0</v>
      </c>
      <c r="S559" s="307">
        <f t="shared" ca="1" si="253"/>
        <v>5.083000000000002</v>
      </c>
      <c r="T559" s="304">
        <f t="shared" ca="1" si="233"/>
        <v>49.86423000000002</v>
      </c>
      <c r="U559" s="311">
        <f t="shared" ca="1" si="234"/>
        <v>0</v>
      </c>
      <c r="V559" s="306">
        <f t="shared" ca="1" si="235"/>
        <v>1.2255015955448498</v>
      </c>
      <c r="W559" s="304">
        <f t="shared" ca="1" si="236"/>
        <v>43.197877560279437</v>
      </c>
      <c r="Y559" s="314" t="str">
        <f t="shared" ca="1" si="254"/>
        <v/>
      </c>
      <c r="Z559" s="315" t="str">
        <f t="shared" ca="1" si="255"/>
        <v/>
      </c>
      <c r="AA559" s="316" t="str">
        <f t="shared" ca="1" si="256"/>
        <v/>
      </c>
      <c r="AC559" s="310" t="e">
        <f t="shared" ca="1" si="257"/>
        <v>#N/A</v>
      </c>
      <c r="AD559" s="323" t="e">
        <f t="shared" ca="1" si="258"/>
        <v>#N/A</v>
      </c>
      <c r="AE559" s="324" t="e">
        <f t="shared" ca="1" si="237"/>
        <v>#N/A</v>
      </c>
      <c r="AG559" s="306">
        <f t="shared" ca="1" si="259"/>
        <v>1.2750792549647088</v>
      </c>
      <c r="AH559" s="304">
        <f t="shared" ca="1" si="260"/>
        <v>-8.4984711062125395</v>
      </c>
    </row>
    <row r="560" spans="1:34" x14ac:dyDescent="0.2">
      <c r="A560" s="347">
        <f t="shared" ca="1" si="238"/>
        <v>1E-4</v>
      </c>
      <c r="B560" s="304">
        <f t="shared" ca="1" si="239"/>
        <v>29.217400000000108</v>
      </c>
      <c r="D560" s="306">
        <f t="shared" ca="1" si="240"/>
        <v>-0.73191670549753063</v>
      </c>
      <c r="E560" s="307">
        <f t="shared" ca="1" si="241"/>
        <v>-1.3430757015570034</v>
      </c>
      <c r="F560" s="304">
        <f t="shared" ca="1" si="242"/>
        <v>1.5295601995015415</v>
      </c>
      <c r="G560" s="306">
        <f t="shared" ca="1" si="243"/>
        <v>9.2275936262519789</v>
      </c>
      <c r="H560" s="307">
        <f t="shared" ca="1" si="244"/>
        <v>-106.74719420080544</v>
      </c>
      <c r="I560" s="304">
        <f t="shared" ca="1" si="245"/>
        <v>107.14528432868951</v>
      </c>
      <c r="J560" s="306">
        <f t="shared" ca="1" si="246"/>
        <v>746.86410190403069</v>
      </c>
      <c r="K560" s="307">
        <f t="shared" ca="1" si="247"/>
        <v>-4.1044940822720122</v>
      </c>
      <c r="L560" s="304">
        <f t="shared" ca="1" si="232"/>
        <v>746.87538022389367</v>
      </c>
      <c r="M560" s="306">
        <f t="shared" ca="1" si="248"/>
        <v>-1.4845672516155881</v>
      </c>
      <c r="N560" s="304">
        <f t="shared" ca="1" si="249"/>
        <v>-85.059437920909346</v>
      </c>
      <c r="P560" s="310">
        <f t="shared" ca="1" si="250"/>
        <v>23</v>
      </c>
      <c r="Q560" s="304">
        <f t="shared" ca="1" si="251"/>
        <v>0</v>
      </c>
      <c r="R560" s="306">
        <f t="shared" ca="1" si="252"/>
        <v>0</v>
      </c>
      <c r="S560" s="307">
        <f t="shared" ca="1" si="253"/>
        <v>5.083000000000002</v>
      </c>
      <c r="T560" s="304">
        <f t="shared" ca="1" si="233"/>
        <v>49.86423000000002</v>
      </c>
      <c r="U560" s="311">
        <f t="shared" ca="1" si="234"/>
        <v>0</v>
      </c>
      <c r="V560" s="306">
        <f t="shared" ca="1" si="235"/>
        <v>1.2255029037333482</v>
      </c>
      <c r="W560" s="304">
        <f t="shared" ca="1" si="236"/>
        <v>43.198026485820833</v>
      </c>
      <c r="Y560" s="314" t="str">
        <f t="shared" ca="1" si="254"/>
        <v/>
      </c>
      <c r="Z560" s="315" t="str">
        <f t="shared" ca="1" si="255"/>
        <v/>
      </c>
      <c r="AA560" s="316" t="str">
        <f t="shared" ca="1" si="256"/>
        <v/>
      </c>
      <c r="AC560" s="310" t="e">
        <f t="shared" ca="1" si="257"/>
        <v>#N/A</v>
      </c>
      <c r="AD560" s="323" t="e">
        <f t="shared" ca="1" si="258"/>
        <v>#N/A</v>
      </c>
      <c r="AE560" s="324" t="e">
        <f t="shared" ca="1" si="237"/>
        <v>#N/A</v>
      </c>
      <c r="AG560" s="306">
        <f t="shared" ca="1" si="259"/>
        <v>1.2750506220582452</v>
      </c>
      <c r="AH560" s="304">
        <f t="shared" ca="1" si="260"/>
        <v>-8.498500405327448</v>
      </c>
    </row>
    <row r="561" spans="1:34" x14ac:dyDescent="0.2">
      <c r="A561" s="347">
        <f t="shared" ca="1" si="238"/>
        <v>1E-4</v>
      </c>
      <c r="B561" s="304">
        <f t="shared" ca="1" si="239"/>
        <v>29.217500000000108</v>
      </c>
      <c r="D561" s="306">
        <f t="shared" ca="1" si="240"/>
        <v>-0.73191255239266817</v>
      </c>
      <c r="E561" s="307">
        <f t="shared" ca="1" si="241"/>
        <v>-1.3430459345334516</v>
      </c>
      <c r="F561" s="304">
        <f t="shared" ca="1" si="242"/>
        <v>1.529532074399482</v>
      </c>
      <c r="G561" s="306">
        <f t="shared" ca="1" si="243"/>
        <v>9.2275204349967392</v>
      </c>
      <c r="H561" s="307">
        <f t="shared" ca="1" si="244"/>
        <v>-106.7473285053989</v>
      </c>
      <c r="I561" s="304">
        <f t="shared" ca="1" si="245"/>
        <v>107.14541183092177</v>
      </c>
      <c r="J561" s="306">
        <f t="shared" ca="1" si="246"/>
        <v>746.86410190403069</v>
      </c>
      <c r="K561" s="307">
        <f t="shared" ca="1" si="247"/>
        <v>-4.1151688084073221</v>
      </c>
      <c r="L561" s="304">
        <f t="shared" ca="1" si="232"/>
        <v>746.87543896371096</v>
      </c>
      <c r="M561" s="306">
        <f t="shared" ca="1" si="248"/>
        <v>-1.4845680401321646</v>
      </c>
      <c r="N561" s="304">
        <f t="shared" ca="1" si="249"/>
        <v>-85.059483099581257</v>
      </c>
      <c r="P561" s="310">
        <f t="shared" ca="1" si="250"/>
        <v>23</v>
      </c>
      <c r="Q561" s="304">
        <f t="shared" ca="1" si="251"/>
        <v>0</v>
      </c>
      <c r="R561" s="306">
        <f t="shared" ca="1" si="252"/>
        <v>0</v>
      </c>
      <c r="S561" s="307">
        <f t="shared" ca="1" si="253"/>
        <v>5.083000000000002</v>
      </c>
      <c r="T561" s="304">
        <f t="shared" ca="1" si="233"/>
        <v>49.86423000000002</v>
      </c>
      <c r="U561" s="311">
        <f t="shared" ca="1" si="234"/>
        <v>0</v>
      </c>
      <c r="V561" s="306">
        <f t="shared" ca="1" si="235"/>
        <v>1.2255042119248891</v>
      </c>
      <c r="W561" s="304">
        <f t="shared" ca="1" si="236"/>
        <v>43.198175409502532</v>
      </c>
      <c r="Y561" s="314" t="str">
        <f t="shared" ca="1" si="254"/>
        <v/>
      </c>
      <c r="Z561" s="315" t="str">
        <f t="shared" ca="1" si="255"/>
        <v/>
      </c>
      <c r="AA561" s="316" t="str">
        <f t="shared" ca="1" si="256"/>
        <v/>
      </c>
      <c r="AC561" s="310" t="e">
        <f t="shared" ca="1" si="257"/>
        <v>#N/A</v>
      </c>
      <c r="AD561" s="323" t="e">
        <f t="shared" ca="1" si="258"/>
        <v>#N/A</v>
      </c>
      <c r="AE561" s="324" t="e">
        <f t="shared" ca="1" si="237"/>
        <v>#N/A</v>
      </c>
      <c r="AG561" s="306">
        <f t="shared" ca="1" si="259"/>
        <v>1.2750219895046975</v>
      </c>
      <c r="AH561" s="304">
        <f t="shared" ca="1" si="260"/>
        <v>-8.4985297040764927</v>
      </c>
    </row>
    <row r="562" spans="1:34" x14ac:dyDescent="0.2">
      <c r="A562" s="347">
        <f t="shared" ca="1" si="238"/>
        <v>1E-4</v>
      </c>
      <c r="B562" s="304">
        <f t="shared" ca="1" si="239"/>
        <v>29.217600000000107</v>
      </c>
      <c r="D562" s="306">
        <f t="shared" ca="1" si="240"/>
        <v>-0.73190839927865337</v>
      </c>
      <c r="E562" s="307">
        <f t="shared" ca="1" si="241"/>
        <v>-1.3430161678816415</v>
      </c>
      <c r="F562" s="304">
        <f t="shared" ca="1" si="242"/>
        <v>1.5295039496928833</v>
      </c>
      <c r="G562" s="306">
        <f t="shared" ca="1" si="243"/>
        <v>9.2274472441568118</v>
      </c>
      <c r="H562" s="307">
        <f t="shared" ca="1" si="244"/>
        <v>-106.74746280701568</v>
      </c>
      <c r="I562" s="304">
        <f t="shared" ca="1" si="245"/>
        <v>107.1455393302908</v>
      </c>
      <c r="J562" s="306">
        <f t="shared" ca="1" si="246"/>
        <v>746.86410190403069</v>
      </c>
      <c r="K562" s="307">
        <f t="shared" ca="1" si="247"/>
        <v>-4.1258435479729432</v>
      </c>
      <c r="L562" s="304">
        <f t="shared" ca="1" si="232"/>
        <v>746.87549785616659</v>
      </c>
      <c r="M562" s="306">
        <f t="shared" ca="1" si="248"/>
        <v>-1.48456882864061</v>
      </c>
      <c r="N562" s="304">
        <f t="shared" ca="1" si="249"/>
        <v>-85.05952827778728</v>
      </c>
      <c r="P562" s="310">
        <f t="shared" ca="1" si="250"/>
        <v>23</v>
      </c>
      <c r="Q562" s="304">
        <f t="shared" ca="1" si="251"/>
        <v>0</v>
      </c>
      <c r="R562" s="306">
        <f t="shared" ca="1" si="252"/>
        <v>0</v>
      </c>
      <c r="S562" s="307">
        <f t="shared" ca="1" si="253"/>
        <v>5.083000000000002</v>
      </c>
      <c r="T562" s="304">
        <f t="shared" ca="1" si="233"/>
        <v>49.86423000000002</v>
      </c>
      <c r="U562" s="311">
        <f t="shared" ca="1" si="234"/>
        <v>0</v>
      </c>
      <c r="V562" s="306">
        <f t="shared" ca="1" si="235"/>
        <v>1.2255055201194729</v>
      </c>
      <c r="W562" s="304">
        <f t="shared" ca="1" si="236"/>
        <v>43.198324331324585</v>
      </c>
      <c r="Y562" s="314" t="str">
        <f t="shared" ca="1" si="254"/>
        <v/>
      </c>
      <c r="Z562" s="315" t="str">
        <f t="shared" ca="1" si="255"/>
        <v/>
      </c>
      <c r="AA562" s="316" t="str">
        <f t="shared" ca="1" si="256"/>
        <v/>
      </c>
      <c r="AC562" s="310" t="e">
        <f t="shared" ca="1" si="257"/>
        <v>#N/A</v>
      </c>
      <c r="AD562" s="323" t="e">
        <f t="shared" ca="1" si="258"/>
        <v>#N/A</v>
      </c>
      <c r="AE562" s="324" t="e">
        <f t="shared" ca="1" si="237"/>
        <v>#N/A</v>
      </c>
      <c r="AG562" s="306">
        <f t="shared" ca="1" si="259"/>
        <v>1.2749933573040675</v>
      </c>
      <c r="AH562" s="304">
        <f t="shared" ca="1" si="260"/>
        <v>-8.4985590024596718</v>
      </c>
    </row>
    <row r="563" spans="1:34" x14ac:dyDescent="0.2">
      <c r="A563" s="347">
        <f t="shared" ca="1" si="238"/>
        <v>1E-4</v>
      </c>
      <c r="B563" s="304">
        <f t="shared" ca="1" si="239"/>
        <v>29.217700000000107</v>
      </c>
      <c r="D563" s="306">
        <f t="shared" ca="1" si="240"/>
        <v>-0.73190424615548866</v>
      </c>
      <c r="E563" s="307">
        <f t="shared" ca="1" si="241"/>
        <v>-1.3429864016015642</v>
      </c>
      <c r="F563" s="304">
        <f t="shared" ca="1" si="242"/>
        <v>1.5294758253817391</v>
      </c>
      <c r="G563" s="306">
        <f t="shared" ca="1" si="243"/>
        <v>9.2273740537321967</v>
      </c>
      <c r="H563" s="307">
        <f t="shared" ca="1" si="244"/>
        <v>-106.74759710565584</v>
      </c>
      <c r="I563" s="304">
        <f t="shared" ca="1" si="245"/>
        <v>107.14566682679666</v>
      </c>
      <c r="J563" s="306">
        <f t="shared" ca="1" si="246"/>
        <v>746.86410190403069</v>
      </c>
      <c r="K563" s="307">
        <f t="shared" ca="1" si="247"/>
        <v>-4.1365183009685769</v>
      </c>
      <c r="L563" s="304">
        <f t="shared" ca="1" si="232"/>
        <v>746.87555690126089</v>
      </c>
      <c r="M563" s="306">
        <f t="shared" ca="1" si="248"/>
        <v>-1.4845696171409246</v>
      </c>
      <c r="N563" s="304">
        <f t="shared" ca="1" si="249"/>
        <v>-85.059573455527456</v>
      </c>
      <c r="P563" s="310">
        <f t="shared" ca="1" si="250"/>
        <v>23</v>
      </c>
      <c r="Q563" s="304">
        <f t="shared" ca="1" si="251"/>
        <v>0</v>
      </c>
      <c r="R563" s="306">
        <f t="shared" ca="1" si="252"/>
        <v>0</v>
      </c>
      <c r="S563" s="307">
        <f t="shared" ca="1" si="253"/>
        <v>5.083000000000002</v>
      </c>
      <c r="T563" s="304">
        <f t="shared" ca="1" si="233"/>
        <v>49.86423000000002</v>
      </c>
      <c r="U563" s="311">
        <f t="shared" ca="1" si="234"/>
        <v>0</v>
      </c>
      <c r="V563" s="306">
        <f t="shared" ca="1" si="235"/>
        <v>1.2255068283170993</v>
      </c>
      <c r="W563" s="304">
        <f t="shared" ca="1" si="236"/>
        <v>43.198473251286991</v>
      </c>
      <c r="Y563" s="314" t="str">
        <f t="shared" ca="1" si="254"/>
        <v/>
      </c>
      <c r="Z563" s="315" t="str">
        <f t="shared" ca="1" si="255"/>
        <v/>
      </c>
      <c r="AA563" s="316" t="str">
        <f t="shared" ca="1" si="256"/>
        <v/>
      </c>
      <c r="AC563" s="310" t="e">
        <f t="shared" ca="1" si="257"/>
        <v>#N/A</v>
      </c>
      <c r="AD563" s="323" t="e">
        <f t="shared" ca="1" si="258"/>
        <v>#N/A</v>
      </c>
      <c r="AE563" s="324" t="e">
        <f t="shared" ca="1" si="237"/>
        <v>#N/A</v>
      </c>
      <c r="AG563" s="306">
        <f t="shared" ca="1" si="259"/>
        <v>1.2749647254563481</v>
      </c>
      <c r="AH563" s="304">
        <f t="shared" ca="1" si="260"/>
        <v>-8.498588300476996</v>
      </c>
    </row>
    <row r="564" spans="1:34" x14ac:dyDescent="0.2">
      <c r="A564" s="347">
        <f t="shared" ca="1" si="238"/>
        <v>1E-4</v>
      </c>
      <c r="B564" s="304">
        <f t="shared" ca="1" si="239"/>
        <v>29.217800000000107</v>
      </c>
      <c r="D564" s="306">
        <f t="shared" ca="1" si="240"/>
        <v>-0.73190009302317349</v>
      </c>
      <c r="E564" s="307">
        <f t="shared" ca="1" si="241"/>
        <v>-1.3429566356932217</v>
      </c>
      <c r="F564" s="304">
        <f t="shared" ca="1" si="242"/>
        <v>1.529447701466051</v>
      </c>
      <c r="G564" s="306">
        <f t="shared" ca="1" si="243"/>
        <v>9.2273008637228937</v>
      </c>
      <c r="H564" s="307">
        <f t="shared" ca="1" si="244"/>
        <v>-106.74773140131941</v>
      </c>
      <c r="I564" s="304">
        <f t="shared" ca="1" si="245"/>
        <v>107.14579432043936</v>
      </c>
      <c r="J564" s="306">
        <f t="shared" ca="1" si="246"/>
        <v>746.86410190403069</v>
      </c>
      <c r="K564" s="307">
        <f t="shared" ca="1" si="247"/>
        <v>-4.1471930673939257</v>
      </c>
      <c r="L564" s="304">
        <f t="shared" ca="1" si="232"/>
        <v>746.87561609899444</v>
      </c>
      <c r="M564" s="306">
        <f t="shared" ca="1" si="248"/>
        <v>-1.4845704056331086</v>
      </c>
      <c r="N564" s="304">
        <f t="shared" ca="1" si="249"/>
        <v>-85.059618632801772</v>
      </c>
      <c r="P564" s="310">
        <f t="shared" ca="1" si="250"/>
        <v>23</v>
      </c>
      <c r="Q564" s="304">
        <f t="shared" ca="1" si="251"/>
        <v>0</v>
      </c>
      <c r="R564" s="306">
        <f t="shared" ca="1" si="252"/>
        <v>0</v>
      </c>
      <c r="S564" s="307">
        <f t="shared" ca="1" si="253"/>
        <v>5.083000000000002</v>
      </c>
      <c r="T564" s="304">
        <f t="shared" ca="1" si="233"/>
        <v>49.86423000000002</v>
      </c>
      <c r="U564" s="311">
        <f t="shared" ca="1" si="234"/>
        <v>0</v>
      </c>
      <c r="V564" s="306">
        <f t="shared" ca="1" si="235"/>
        <v>1.2255081365177682</v>
      </c>
      <c r="W564" s="304">
        <f t="shared" ca="1" si="236"/>
        <v>43.198622169389758</v>
      </c>
      <c r="Y564" s="314" t="str">
        <f t="shared" ca="1" si="254"/>
        <v/>
      </c>
      <c r="Z564" s="315" t="str">
        <f t="shared" ca="1" si="255"/>
        <v/>
      </c>
      <c r="AA564" s="316" t="str">
        <f t="shared" ca="1" si="256"/>
        <v/>
      </c>
      <c r="AC564" s="310" t="e">
        <f t="shared" ca="1" si="257"/>
        <v>#N/A</v>
      </c>
      <c r="AD564" s="323" t="e">
        <f t="shared" ca="1" si="258"/>
        <v>#N/A</v>
      </c>
      <c r="AE564" s="324" t="e">
        <f t="shared" ca="1" si="237"/>
        <v>#N/A</v>
      </c>
      <c r="AG564" s="306">
        <f t="shared" ca="1" si="259"/>
        <v>1.2749360939615411</v>
      </c>
      <c r="AH564" s="304">
        <f t="shared" ca="1" si="260"/>
        <v>-8.4986175981284617</v>
      </c>
    </row>
    <row r="565" spans="1:34" x14ac:dyDescent="0.2">
      <c r="A565" s="347">
        <f t="shared" ca="1" si="238"/>
        <v>1E-4</v>
      </c>
      <c r="B565" s="304">
        <f t="shared" ca="1" si="239"/>
        <v>29.217900000000107</v>
      </c>
      <c r="D565" s="306">
        <f t="shared" ca="1" si="240"/>
        <v>-0.73189593988170798</v>
      </c>
      <c r="E565" s="307">
        <f t="shared" ca="1" si="241"/>
        <v>-1.3429268701566102</v>
      </c>
      <c r="F565" s="304">
        <f t="shared" ca="1" si="242"/>
        <v>1.529419577945816</v>
      </c>
      <c r="G565" s="306">
        <f t="shared" ca="1" si="243"/>
        <v>9.2272276741289048</v>
      </c>
      <c r="H565" s="307">
        <f t="shared" ca="1" si="244"/>
        <v>-106.74786569400644</v>
      </c>
      <c r="I565" s="304">
        <f t="shared" ca="1" si="245"/>
        <v>107.14592181121895</v>
      </c>
      <c r="J565" s="306">
        <f t="shared" ca="1" si="246"/>
        <v>746.86410190403069</v>
      </c>
      <c r="K565" s="307">
        <f t="shared" ca="1" si="247"/>
        <v>-4.1578678472486921</v>
      </c>
      <c r="L565" s="304">
        <f t="shared" ca="1" si="232"/>
        <v>746.87567544936792</v>
      </c>
      <c r="M565" s="306">
        <f t="shared" ca="1" si="248"/>
        <v>-1.4845711941171618</v>
      </c>
      <c r="N565" s="304">
        <f t="shared" ca="1" si="249"/>
        <v>-85.059663809610242</v>
      </c>
      <c r="P565" s="310">
        <f t="shared" ca="1" si="250"/>
        <v>23</v>
      </c>
      <c r="Q565" s="304">
        <f t="shared" ca="1" si="251"/>
        <v>0</v>
      </c>
      <c r="R565" s="306">
        <f t="shared" ca="1" si="252"/>
        <v>0</v>
      </c>
      <c r="S565" s="307">
        <f t="shared" ca="1" si="253"/>
        <v>5.083000000000002</v>
      </c>
      <c r="T565" s="304">
        <f t="shared" ca="1" si="233"/>
        <v>49.86423000000002</v>
      </c>
      <c r="U565" s="311">
        <f t="shared" ca="1" si="234"/>
        <v>0</v>
      </c>
      <c r="V565" s="306">
        <f t="shared" ca="1" si="235"/>
        <v>1.2255094447214792</v>
      </c>
      <c r="W565" s="304">
        <f t="shared" ca="1" si="236"/>
        <v>43.198771085632885</v>
      </c>
      <c r="Y565" s="314" t="str">
        <f t="shared" ca="1" si="254"/>
        <v/>
      </c>
      <c r="Z565" s="315" t="str">
        <f t="shared" ca="1" si="255"/>
        <v/>
      </c>
      <c r="AA565" s="316" t="str">
        <f t="shared" ca="1" si="256"/>
        <v/>
      </c>
      <c r="AC565" s="310" t="e">
        <f t="shared" ca="1" si="257"/>
        <v>#N/A</v>
      </c>
      <c r="AD565" s="323" t="e">
        <f t="shared" ca="1" si="258"/>
        <v>#N/A</v>
      </c>
      <c r="AE565" s="324" t="e">
        <f t="shared" ca="1" si="237"/>
        <v>#N/A</v>
      </c>
      <c r="AG565" s="306">
        <f t="shared" ca="1" si="259"/>
        <v>1.2749074628196428</v>
      </c>
      <c r="AH565" s="304">
        <f t="shared" ca="1" si="260"/>
        <v>-8.4986468954140744</v>
      </c>
    </row>
    <row r="566" spans="1:34" x14ac:dyDescent="0.2">
      <c r="A566" s="347">
        <f t="shared" ca="1" si="238"/>
        <v>1E-4</v>
      </c>
      <c r="B566" s="304">
        <f t="shared" ca="1" si="239"/>
        <v>29.218000000000107</v>
      </c>
      <c r="D566" s="306">
        <f t="shared" ca="1" si="240"/>
        <v>-0.73189178673109556</v>
      </c>
      <c r="E566" s="307">
        <f t="shared" ca="1" si="241"/>
        <v>-1.3428971049917298</v>
      </c>
      <c r="F566" s="304">
        <f t="shared" ca="1" si="242"/>
        <v>1.5293914548210359</v>
      </c>
      <c r="G566" s="306">
        <f t="shared" ca="1" si="243"/>
        <v>9.2271544849502316</v>
      </c>
      <c r="H566" s="307">
        <f t="shared" ca="1" si="244"/>
        <v>-106.74799998371694</v>
      </c>
      <c r="I566" s="304">
        <f t="shared" ca="1" si="245"/>
        <v>107.14604929913547</v>
      </c>
      <c r="J566" s="306">
        <f t="shared" ca="1" si="246"/>
        <v>746.86410190403069</v>
      </c>
      <c r="K566" s="307">
        <f t="shared" ca="1" si="247"/>
        <v>-4.1685426405325785</v>
      </c>
      <c r="L566" s="304">
        <f t="shared" ca="1" si="232"/>
        <v>746.87573495238166</v>
      </c>
      <c r="M566" s="306">
        <f t="shared" ca="1" si="248"/>
        <v>-1.4845719825930848</v>
      </c>
      <c r="N566" s="304">
        <f t="shared" ca="1" si="249"/>
        <v>-85.059708985952867</v>
      </c>
      <c r="P566" s="310">
        <f t="shared" ca="1" si="250"/>
        <v>23</v>
      </c>
      <c r="Q566" s="304">
        <f t="shared" ca="1" si="251"/>
        <v>0</v>
      </c>
      <c r="R566" s="306">
        <f t="shared" ca="1" si="252"/>
        <v>0</v>
      </c>
      <c r="S566" s="307">
        <f t="shared" ca="1" si="253"/>
        <v>5.083000000000002</v>
      </c>
      <c r="T566" s="304">
        <f t="shared" ca="1" si="233"/>
        <v>49.86423000000002</v>
      </c>
      <c r="U566" s="311">
        <f t="shared" ca="1" si="234"/>
        <v>0</v>
      </c>
      <c r="V566" s="306">
        <f t="shared" ca="1" si="235"/>
        <v>1.2255107529282332</v>
      </c>
      <c r="W566" s="304">
        <f t="shared" ca="1" si="236"/>
        <v>43.198920000016415</v>
      </c>
      <c r="Y566" s="314" t="str">
        <f t="shared" ca="1" si="254"/>
        <v/>
      </c>
      <c r="Z566" s="315" t="str">
        <f t="shared" ca="1" si="255"/>
        <v/>
      </c>
      <c r="AA566" s="316" t="str">
        <f t="shared" ca="1" si="256"/>
        <v/>
      </c>
      <c r="AC566" s="310" t="e">
        <f t="shared" ca="1" si="257"/>
        <v>#N/A</v>
      </c>
      <c r="AD566" s="323" t="e">
        <f t="shared" ca="1" si="258"/>
        <v>#N/A</v>
      </c>
      <c r="AE566" s="324" t="e">
        <f t="shared" ca="1" si="237"/>
        <v>#N/A</v>
      </c>
      <c r="AG566" s="306">
        <f t="shared" ca="1" si="259"/>
        <v>1.2748788320306517</v>
      </c>
      <c r="AH566" s="304">
        <f t="shared" ca="1" si="260"/>
        <v>-8.4986761923338321</v>
      </c>
    </row>
    <row r="567" spans="1:34" x14ac:dyDescent="0.2">
      <c r="A567" s="347">
        <f t="shared" ca="1" si="238"/>
        <v>1E-4</v>
      </c>
      <c r="B567" s="304">
        <f t="shared" ca="1" si="239"/>
        <v>29.218100000000106</v>
      </c>
      <c r="D567" s="306">
        <f t="shared" ca="1" si="240"/>
        <v>-0.73188763357133269</v>
      </c>
      <c r="E567" s="307">
        <f t="shared" ca="1" si="241"/>
        <v>-1.3428673401985716</v>
      </c>
      <c r="F567" s="304">
        <f t="shared" ca="1" si="242"/>
        <v>1.5293633320917015</v>
      </c>
      <c r="G567" s="306">
        <f t="shared" ca="1" si="243"/>
        <v>9.2270812961868742</v>
      </c>
      <c r="H567" s="307">
        <f t="shared" ca="1" si="244"/>
        <v>-106.74813427045096</v>
      </c>
      <c r="I567" s="304">
        <f t="shared" ca="1" si="245"/>
        <v>107.14617678418894</v>
      </c>
      <c r="J567" s="306">
        <f t="shared" ca="1" si="246"/>
        <v>746.86410190403069</v>
      </c>
      <c r="K567" s="307">
        <f t="shared" ca="1" si="247"/>
        <v>-4.1792174472452865</v>
      </c>
      <c r="L567" s="304">
        <f t="shared" ca="1" si="232"/>
        <v>746.87579460803636</v>
      </c>
      <c r="M567" s="306">
        <f t="shared" ca="1" si="248"/>
        <v>-1.4845727710608771</v>
      </c>
      <c r="N567" s="304">
        <f t="shared" ca="1" si="249"/>
        <v>-85.059754161829659</v>
      </c>
      <c r="P567" s="310">
        <f t="shared" ca="1" si="250"/>
        <v>23</v>
      </c>
      <c r="Q567" s="304">
        <f t="shared" ca="1" si="251"/>
        <v>0</v>
      </c>
      <c r="R567" s="306">
        <f t="shared" ca="1" si="252"/>
        <v>0</v>
      </c>
      <c r="S567" s="307">
        <f t="shared" ca="1" si="253"/>
        <v>5.083000000000002</v>
      </c>
      <c r="T567" s="304">
        <f t="shared" ca="1" si="233"/>
        <v>49.86423000000002</v>
      </c>
      <c r="U567" s="311">
        <f t="shared" ca="1" si="234"/>
        <v>0</v>
      </c>
      <c r="V567" s="306">
        <f t="shared" ca="1" si="235"/>
        <v>1.2255120611380299</v>
      </c>
      <c r="W567" s="304">
        <f t="shared" ca="1" si="236"/>
        <v>43.199068912540362</v>
      </c>
      <c r="Y567" s="314" t="str">
        <f t="shared" ca="1" si="254"/>
        <v/>
      </c>
      <c r="Z567" s="315" t="str">
        <f t="shared" ca="1" si="255"/>
        <v/>
      </c>
      <c r="AA567" s="316" t="str">
        <f t="shared" ca="1" si="256"/>
        <v/>
      </c>
      <c r="AC567" s="310" t="e">
        <f t="shared" ca="1" si="257"/>
        <v>#N/A</v>
      </c>
      <c r="AD567" s="323" t="e">
        <f t="shared" ca="1" si="258"/>
        <v>#N/A</v>
      </c>
      <c r="AE567" s="324" t="e">
        <f t="shared" ca="1" si="237"/>
        <v>#N/A</v>
      </c>
      <c r="AG567" s="306">
        <f t="shared" ca="1" si="259"/>
        <v>1.2748502015945622</v>
      </c>
      <c r="AH567" s="304">
        <f t="shared" ca="1" si="260"/>
        <v>-8.4987054888877438</v>
      </c>
    </row>
    <row r="568" spans="1:34" x14ac:dyDescent="0.2">
      <c r="A568" s="347">
        <f t="shared" ca="1" si="238"/>
        <v>1E-4</v>
      </c>
      <c r="B568" s="304">
        <f t="shared" ca="1" si="239"/>
        <v>29.218200000000106</v>
      </c>
      <c r="D568" s="306">
        <f t="shared" ca="1" si="240"/>
        <v>-0.73188348040242523</v>
      </c>
      <c r="E568" s="307">
        <f t="shared" ca="1" si="241"/>
        <v>-1.3428375757771356</v>
      </c>
      <c r="F568" s="304">
        <f t="shared" ca="1" si="242"/>
        <v>1.5293352097578155</v>
      </c>
      <c r="G568" s="306">
        <f t="shared" ca="1" si="243"/>
        <v>9.2270081078388344</v>
      </c>
      <c r="H568" s="307">
        <f t="shared" ca="1" si="244"/>
        <v>-106.74826855420854</v>
      </c>
      <c r="I568" s="304">
        <f t="shared" ca="1" si="245"/>
        <v>107.1463042663794</v>
      </c>
      <c r="J568" s="306">
        <f t="shared" ca="1" si="246"/>
        <v>746.86410190403069</v>
      </c>
      <c r="K568" s="307">
        <f t="shared" ca="1" si="247"/>
        <v>-4.1898922673865195</v>
      </c>
      <c r="L568" s="304">
        <f t="shared" ca="1" si="232"/>
        <v>746.87585441633246</v>
      </c>
      <c r="M568" s="306">
        <f t="shared" ca="1" si="248"/>
        <v>-1.4845735595205392</v>
      </c>
      <c r="N568" s="304">
        <f t="shared" ca="1" si="249"/>
        <v>-85.059799337240605</v>
      </c>
      <c r="P568" s="310">
        <f t="shared" ca="1" si="250"/>
        <v>23</v>
      </c>
      <c r="Q568" s="304">
        <f t="shared" ca="1" si="251"/>
        <v>0</v>
      </c>
      <c r="R568" s="306">
        <f t="shared" ca="1" si="252"/>
        <v>0</v>
      </c>
      <c r="S568" s="307">
        <f t="shared" ca="1" si="253"/>
        <v>5.083000000000002</v>
      </c>
      <c r="T568" s="304">
        <f t="shared" ca="1" si="233"/>
        <v>49.86423000000002</v>
      </c>
      <c r="U568" s="311">
        <f t="shared" ca="1" si="234"/>
        <v>0</v>
      </c>
      <c r="V568" s="306">
        <f t="shared" ca="1" si="235"/>
        <v>1.2255133693508686</v>
      </c>
      <c r="W568" s="304">
        <f t="shared" ca="1" si="236"/>
        <v>43.199217823204712</v>
      </c>
      <c r="Y568" s="314" t="str">
        <f t="shared" ca="1" si="254"/>
        <v/>
      </c>
      <c r="Z568" s="315" t="str">
        <f t="shared" ca="1" si="255"/>
        <v/>
      </c>
      <c r="AA568" s="316" t="str">
        <f t="shared" ca="1" si="256"/>
        <v/>
      </c>
      <c r="AC568" s="310" t="e">
        <f t="shared" ca="1" si="257"/>
        <v>#N/A</v>
      </c>
      <c r="AD568" s="323" t="e">
        <f t="shared" ca="1" si="258"/>
        <v>#N/A</v>
      </c>
      <c r="AE568" s="324" t="e">
        <f t="shared" ca="1" si="237"/>
        <v>#N/A</v>
      </c>
      <c r="AG568" s="306">
        <f t="shared" ca="1" si="259"/>
        <v>1.2748215715113727</v>
      </c>
      <c r="AH568" s="304">
        <f t="shared" ca="1" si="260"/>
        <v>-8.4987347850758113</v>
      </c>
    </row>
    <row r="569" spans="1:34" x14ac:dyDescent="0.2">
      <c r="A569" s="347">
        <f t="shared" ca="1" si="238"/>
        <v>1E-4</v>
      </c>
      <c r="B569" s="304">
        <f t="shared" ca="1" si="239"/>
        <v>29.218300000000106</v>
      </c>
      <c r="D569" s="306">
        <f t="shared" ca="1" si="240"/>
        <v>-0.73187932722437232</v>
      </c>
      <c r="E569" s="307">
        <f t="shared" ca="1" si="241"/>
        <v>-1.3428078117274236</v>
      </c>
      <c r="F569" s="304">
        <f t="shared" ca="1" si="242"/>
        <v>1.5293070878193797</v>
      </c>
      <c r="G569" s="306">
        <f t="shared" ca="1" si="243"/>
        <v>9.2269349199061121</v>
      </c>
      <c r="H569" s="307">
        <f t="shared" ca="1" si="244"/>
        <v>-106.7484028349897</v>
      </c>
      <c r="I569" s="304">
        <f t="shared" ca="1" si="245"/>
        <v>107.14643174570686</v>
      </c>
      <c r="J569" s="306">
        <f t="shared" ca="1" si="246"/>
        <v>746.86410190403069</v>
      </c>
      <c r="K569" s="307">
        <f t="shared" ca="1" si="247"/>
        <v>-4.2005671009559791</v>
      </c>
      <c r="L569" s="304">
        <f t="shared" ca="1" si="232"/>
        <v>746.87591437727053</v>
      </c>
      <c r="M569" s="306">
        <f t="shared" ca="1" si="248"/>
        <v>-1.4845743479720712</v>
      </c>
      <c r="N569" s="304">
        <f t="shared" ca="1" si="249"/>
        <v>-85.059844512185748</v>
      </c>
      <c r="P569" s="310">
        <f t="shared" ca="1" si="250"/>
        <v>23</v>
      </c>
      <c r="Q569" s="304">
        <f t="shared" ca="1" si="251"/>
        <v>0</v>
      </c>
      <c r="R569" s="306">
        <f t="shared" ca="1" si="252"/>
        <v>0</v>
      </c>
      <c r="S569" s="307">
        <f t="shared" ca="1" si="253"/>
        <v>5.083000000000002</v>
      </c>
      <c r="T569" s="304">
        <f t="shared" ca="1" si="233"/>
        <v>49.86423000000002</v>
      </c>
      <c r="U569" s="311">
        <f t="shared" ca="1" si="234"/>
        <v>0</v>
      </c>
      <c r="V569" s="306">
        <f t="shared" ca="1" si="235"/>
        <v>1.2255146775667503</v>
      </c>
      <c r="W569" s="304">
        <f t="shared" ca="1" si="236"/>
        <v>43.19936673200948</v>
      </c>
      <c r="Y569" s="314" t="str">
        <f t="shared" ca="1" si="254"/>
        <v/>
      </c>
      <c r="Z569" s="315" t="str">
        <f t="shared" ca="1" si="255"/>
        <v/>
      </c>
      <c r="AA569" s="316" t="str">
        <f t="shared" ca="1" si="256"/>
        <v/>
      </c>
      <c r="AC569" s="310" t="e">
        <f t="shared" ca="1" si="257"/>
        <v>#N/A</v>
      </c>
      <c r="AD569" s="323" t="e">
        <f t="shared" ca="1" si="258"/>
        <v>#N/A</v>
      </c>
      <c r="AE569" s="324" t="e">
        <f t="shared" ca="1" si="237"/>
        <v>#N/A</v>
      </c>
      <c r="AG569" s="306">
        <f t="shared" ca="1" si="259"/>
        <v>1.2747929417810866</v>
      </c>
      <c r="AH569" s="304">
        <f t="shared" ca="1" si="260"/>
        <v>-8.4987640808980309</v>
      </c>
    </row>
    <row r="570" spans="1:34" x14ac:dyDescent="0.2">
      <c r="A570" s="347">
        <f t="shared" ca="1" si="238"/>
        <v>1E-4</v>
      </c>
      <c r="B570" s="304">
        <f t="shared" ca="1" si="239"/>
        <v>29.218400000000106</v>
      </c>
      <c r="D570" s="306">
        <f t="shared" ca="1" si="240"/>
        <v>-0.7318751740371725</v>
      </c>
      <c r="E570" s="307">
        <f t="shared" ca="1" si="241"/>
        <v>-1.3427780480494285</v>
      </c>
      <c r="F570" s="304">
        <f t="shared" ca="1" si="242"/>
        <v>1.529278966276387</v>
      </c>
      <c r="G570" s="306">
        <f t="shared" ca="1" si="243"/>
        <v>9.2268617323887092</v>
      </c>
      <c r="H570" s="307">
        <f t="shared" ca="1" si="244"/>
        <v>-106.74853711279451</v>
      </c>
      <c r="I570" s="304">
        <f t="shared" ca="1" si="245"/>
        <v>107.14655922217142</v>
      </c>
      <c r="J570" s="306">
        <f t="shared" ca="1" si="246"/>
        <v>746.86410190403069</v>
      </c>
      <c r="K570" s="307">
        <f t="shared" ca="1" si="247"/>
        <v>-4.2112419479533685</v>
      </c>
      <c r="L570" s="304">
        <f t="shared" ca="1" si="232"/>
        <v>746.87597449085115</v>
      </c>
      <c r="M570" s="306">
        <f t="shared" ca="1" si="248"/>
        <v>-1.4845751364154731</v>
      </c>
      <c r="N570" s="304">
        <f t="shared" ca="1" si="249"/>
        <v>-85.059889686665059</v>
      </c>
      <c r="P570" s="310">
        <f t="shared" ca="1" si="250"/>
        <v>23</v>
      </c>
      <c r="Q570" s="304">
        <f t="shared" ca="1" si="251"/>
        <v>0</v>
      </c>
      <c r="R570" s="306">
        <f t="shared" ca="1" si="252"/>
        <v>0</v>
      </c>
      <c r="S570" s="307">
        <f t="shared" ca="1" si="253"/>
        <v>5.083000000000002</v>
      </c>
      <c r="T570" s="304">
        <f t="shared" ca="1" si="233"/>
        <v>49.86423000000002</v>
      </c>
      <c r="U570" s="311">
        <f t="shared" ca="1" si="234"/>
        <v>0</v>
      </c>
      <c r="V570" s="306">
        <f t="shared" ca="1" si="235"/>
        <v>1.2255159857856734</v>
      </c>
      <c r="W570" s="304">
        <f t="shared" ca="1" si="236"/>
        <v>43.199515638954686</v>
      </c>
      <c r="Y570" s="314" t="str">
        <f t="shared" ca="1" si="254"/>
        <v/>
      </c>
      <c r="Z570" s="315" t="str">
        <f t="shared" ca="1" si="255"/>
        <v/>
      </c>
      <c r="AA570" s="316" t="str">
        <f t="shared" ca="1" si="256"/>
        <v/>
      </c>
      <c r="AC570" s="310" t="e">
        <f t="shared" ca="1" si="257"/>
        <v>#N/A</v>
      </c>
      <c r="AD570" s="323" t="e">
        <f t="shared" ca="1" si="258"/>
        <v>#N/A</v>
      </c>
      <c r="AE570" s="324" t="e">
        <f t="shared" ca="1" si="237"/>
        <v>#N/A</v>
      </c>
      <c r="AG570" s="306">
        <f t="shared" ca="1" si="259"/>
        <v>1.2747643124036969</v>
      </c>
      <c r="AH570" s="304">
        <f t="shared" ca="1" si="260"/>
        <v>-8.4987933763544099</v>
      </c>
    </row>
    <row r="571" spans="1:34" x14ac:dyDescent="0.2">
      <c r="A571" s="347">
        <f t="shared" ca="1" si="238"/>
        <v>1E-4</v>
      </c>
      <c r="B571" s="304">
        <f t="shared" ca="1" si="239"/>
        <v>29.218500000000105</v>
      </c>
      <c r="D571" s="306">
        <f t="shared" ca="1" si="240"/>
        <v>-0.73187102084082911</v>
      </c>
      <c r="E571" s="307">
        <f t="shared" ca="1" si="241"/>
        <v>-1.342748284743152</v>
      </c>
      <c r="F571" s="304">
        <f t="shared" ca="1" si="242"/>
        <v>1.5292508451288409</v>
      </c>
      <c r="G571" s="306">
        <f t="shared" ca="1" si="243"/>
        <v>9.2267885452866256</v>
      </c>
      <c r="H571" s="307">
        <f t="shared" ca="1" si="244"/>
        <v>-106.74867138762298</v>
      </c>
      <c r="I571" s="304">
        <f t="shared" ca="1" si="245"/>
        <v>107.14668669577304</v>
      </c>
      <c r="J571" s="306">
        <f t="shared" ca="1" si="246"/>
        <v>746.86410190403069</v>
      </c>
      <c r="K571" s="307">
        <f t="shared" ca="1" si="247"/>
        <v>-4.2219168083783893</v>
      </c>
      <c r="L571" s="304">
        <f t="shared" ca="1" si="232"/>
        <v>746.87603475707476</v>
      </c>
      <c r="M571" s="306">
        <f t="shared" ca="1" si="248"/>
        <v>-1.4845759248507451</v>
      </c>
      <c r="N571" s="304">
        <f t="shared" ca="1" si="249"/>
        <v>-85.059934860678567</v>
      </c>
      <c r="P571" s="310">
        <f t="shared" ca="1" si="250"/>
        <v>23</v>
      </c>
      <c r="Q571" s="304">
        <f t="shared" ca="1" si="251"/>
        <v>0</v>
      </c>
      <c r="R571" s="306">
        <f t="shared" ca="1" si="252"/>
        <v>0</v>
      </c>
      <c r="S571" s="307">
        <f t="shared" ca="1" si="253"/>
        <v>5.083000000000002</v>
      </c>
      <c r="T571" s="304">
        <f t="shared" ca="1" si="233"/>
        <v>49.86423000000002</v>
      </c>
      <c r="U571" s="311">
        <f t="shared" ca="1" si="234"/>
        <v>0</v>
      </c>
      <c r="V571" s="306">
        <f t="shared" ca="1" si="235"/>
        <v>1.22551729400764</v>
      </c>
      <c r="W571" s="304">
        <f t="shared" ca="1" si="236"/>
        <v>43.199664544040353</v>
      </c>
      <c r="Y571" s="314" t="str">
        <f t="shared" ca="1" si="254"/>
        <v/>
      </c>
      <c r="Z571" s="315" t="str">
        <f t="shared" ca="1" si="255"/>
        <v/>
      </c>
      <c r="AA571" s="316" t="str">
        <f t="shared" ca="1" si="256"/>
        <v/>
      </c>
      <c r="AC571" s="310" t="e">
        <f t="shared" ca="1" si="257"/>
        <v>#N/A</v>
      </c>
      <c r="AD571" s="323" t="e">
        <f t="shared" ca="1" si="258"/>
        <v>#N/A</v>
      </c>
      <c r="AE571" s="324" t="e">
        <f t="shared" ca="1" si="237"/>
        <v>#N/A</v>
      </c>
      <c r="AG571" s="306">
        <f t="shared" ca="1" si="259"/>
        <v>1.2747356833792036</v>
      </c>
      <c r="AH571" s="304">
        <f t="shared" ca="1" si="260"/>
        <v>-8.4988226714449482</v>
      </c>
    </row>
    <row r="572" spans="1:34" x14ac:dyDescent="0.2">
      <c r="A572" s="347">
        <f t="shared" ca="1" si="238"/>
        <v>1E-4</v>
      </c>
      <c r="B572" s="304">
        <f t="shared" ca="1" si="239"/>
        <v>29.218600000000105</v>
      </c>
      <c r="D572" s="306">
        <f t="shared" ca="1" si="240"/>
        <v>-0.73186686763534248</v>
      </c>
      <c r="E572" s="307">
        <f t="shared" ca="1" si="241"/>
        <v>-1.3427185218085853</v>
      </c>
      <c r="F572" s="304">
        <f t="shared" ca="1" si="242"/>
        <v>1.5292227243767338</v>
      </c>
      <c r="G572" s="306">
        <f t="shared" ca="1" si="243"/>
        <v>9.2267153585998614</v>
      </c>
      <c r="H572" s="307">
        <f t="shared" ca="1" si="244"/>
        <v>-106.74880565947515</v>
      </c>
      <c r="I572" s="304">
        <f t="shared" ca="1" si="245"/>
        <v>107.14681416651182</v>
      </c>
      <c r="J572" s="306">
        <f t="shared" ca="1" si="246"/>
        <v>746.86410190403069</v>
      </c>
      <c r="K572" s="307">
        <f t="shared" ca="1" si="247"/>
        <v>-4.2325916822307441</v>
      </c>
      <c r="L572" s="304">
        <f t="shared" ca="1" si="232"/>
        <v>746.87609517594205</v>
      </c>
      <c r="M572" s="306">
        <f t="shared" ca="1" si="248"/>
        <v>-1.4845767132778873</v>
      </c>
      <c r="N572" s="304">
        <f t="shared" ca="1" si="249"/>
        <v>-85.059980034226271</v>
      </c>
      <c r="P572" s="310">
        <f t="shared" ca="1" si="250"/>
        <v>23</v>
      </c>
      <c r="Q572" s="304">
        <f t="shared" ca="1" si="251"/>
        <v>0</v>
      </c>
      <c r="R572" s="306">
        <f t="shared" ca="1" si="252"/>
        <v>0</v>
      </c>
      <c r="S572" s="307">
        <f t="shared" ca="1" si="253"/>
        <v>5.083000000000002</v>
      </c>
      <c r="T572" s="304">
        <f t="shared" ca="1" si="233"/>
        <v>49.86423000000002</v>
      </c>
      <c r="U572" s="311">
        <f t="shared" ca="1" si="234"/>
        <v>0</v>
      </c>
      <c r="V572" s="306">
        <f t="shared" ca="1" si="235"/>
        <v>1.2255186022326481</v>
      </c>
      <c r="W572" s="304">
        <f t="shared" ca="1" si="236"/>
        <v>43.199813447266479</v>
      </c>
      <c r="Y572" s="314" t="str">
        <f t="shared" ca="1" si="254"/>
        <v/>
      </c>
      <c r="Z572" s="315" t="str">
        <f t="shared" ca="1" si="255"/>
        <v/>
      </c>
      <c r="AA572" s="316" t="str">
        <f t="shared" ca="1" si="256"/>
        <v/>
      </c>
      <c r="AC572" s="310" t="e">
        <f t="shared" ca="1" si="257"/>
        <v>#N/A</v>
      </c>
      <c r="AD572" s="323" t="e">
        <f t="shared" ca="1" si="258"/>
        <v>#N/A</v>
      </c>
      <c r="AE572" s="324" t="e">
        <f t="shared" ca="1" si="237"/>
        <v>#N/A</v>
      </c>
      <c r="AG572" s="306">
        <f t="shared" ca="1" si="259"/>
        <v>1.2747070547076031</v>
      </c>
      <c r="AH572" s="304">
        <f t="shared" ca="1" si="260"/>
        <v>-8.4988519661696511</v>
      </c>
    </row>
    <row r="573" spans="1:34" x14ac:dyDescent="0.2">
      <c r="A573" s="347">
        <f t="shared" ca="1" si="238"/>
        <v>1E-4</v>
      </c>
      <c r="B573" s="304">
        <f t="shared" ca="1" si="239"/>
        <v>29.218700000000105</v>
      </c>
      <c r="D573" s="306">
        <f t="shared" ca="1" si="240"/>
        <v>-0.73186271442071216</v>
      </c>
      <c r="E573" s="307">
        <f t="shared" ca="1" si="241"/>
        <v>-1.3426887592457337</v>
      </c>
      <c r="F573" s="304">
        <f t="shared" ca="1" si="242"/>
        <v>1.5291946040200706</v>
      </c>
      <c r="G573" s="306">
        <f t="shared" ca="1" si="243"/>
        <v>9.22664217232842</v>
      </c>
      <c r="H573" s="307">
        <f t="shared" ca="1" si="244"/>
        <v>-106.74893992835108</v>
      </c>
      <c r="I573" s="304">
        <f t="shared" ca="1" si="245"/>
        <v>107.14694163438776</v>
      </c>
      <c r="J573" s="306">
        <f t="shared" ca="1" si="246"/>
        <v>746.86410190403069</v>
      </c>
      <c r="K573" s="307">
        <f t="shared" ca="1" si="247"/>
        <v>-4.2432665695101353</v>
      </c>
      <c r="L573" s="304">
        <f t="shared" ca="1" si="232"/>
        <v>746.87615574745337</v>
      </c>
      <c r="M573" s="306">
        <f t="shared" ca="1" si="248"/>
        <v>-1.4845775016968996</v>
      </c>
      <c r="N573" s="304">
        <f t="shared" ca="1" si="249"/>
        <v>-85.060025207308158</v>
      </c>
      <c r="P573" s="310">
        <f t="shared" ca="1" si="250"/>
        <v>23</v>
      </c>
      <c r="Q573" s="304">
        <f t="shared" ca="1" si="251"/>
        <v>0</v>
      </c>
      <c r="R573" s="306">
        <f t="shared" ca="1" si="252"/>
        <v>0</v>
      </c>
      <c r="S573" s="307">
        <f t="shared" ca="1" si="253"/>
        <v>5.083000000000002</v>
      </c>
      <c r="T573" s="304">
        <f t="shared" ca="1" si="233"/>
        <v>49.86423000000002</v>
      </c>
      <c r="U573" s="311">
        <f t="shared" ca="1" si="234"/>
        <v>0</v>
      </c>
      <c r="V573" s="306">
        <f t="shared" ca="1" si="235"/>
        <v>1.2255199104606989</v>
      </c>
      <c r="W573" s="304">
        <f t="shared" ca="1" si="236"/>
        <v>43.1999623486331</v>
      </c>
      <c r="Y573" s="314" t="str">
        <f t="shared" ca="1" si="254"/>
        <v/>
      </c>
      <c r="Z573" s="315" t="str">
        <f t="shared" ca="1" si="255"/>
        <v/>
      </c>
      <c r="AA573" s="316" t="str">
        <f t="shared" ca="1" si="256"/>
        <v/>
      </c>
      <c r="AC573" s="310" t="e">
        <f t="shared" ca="1" si="257"/>
        <v>#N/A</v>
      </c>
      <c r="AD573" s="323" t="e">
        <f t="shared" ca="1" si="258"/>
        <v>#N/A</v>
      </c>
      <c r="AE573" s="324" t="e">
        <f t="shared" ca="1" si="237"/>
        <v>#N/A</v>
      </c>
      <c r="AG573" s="306">
        <f t="shared" ca="1" si="259"/>
        <v>1.2746784263888937</v>
      </c>
      <c r="AH573" s="304">
        <f t="shared" ca="1" si="260"/>
        <v>-8.4988812605285187</v>
      </c>
    </row>
    <row r="574" spans="1:34" x14ac:dyDescent="0.2">
      <c r="A574" s="347">
        <f t="shared" ca="1" si="238"/>
        <v>1E-4</v>
      </c>
      <c r="B574" s="304">
        <f t="shared" ca="1" si="239"/>
        <v>29.218800000000105</v>
      </c>
      <c r="D574" s="306">
        <f t="shared" ca="1" si="240"/>
        <v>-0.73185856119694259</v>
      </c>
      <c r="E574" s="307">
        <f t="shared" ca="1" si="241"/>
        <v>-1.342658997054583</v>
      </c>
      <c r="F574" s="304">
        <f t="shared" ca="1" si="242"/>
        <v>1.529166484058841</v>
      </c>
      <c r="G574" s="306">
        <f t="shared" ca="1" si="243"/>
        <v>9.2265689864722997</v>
      </c>
      <c r="H574" s="307">
        <f t="shared" ca="1" si="244"/>
        <v>-106.74907419425078</v>
      </c>
      <c r="I574" s="304">
        <f t="shared" ca="1" si="245"/>
        <v>107.14706909940089</v>
      </c>
      <c r="J574" s="306">
        <f t="shared" ca="1" si="246"/>
        <v>746.86410190403069</v>
      </c>
      <c r="K574" s="307">
        <f t="shared" ca="1" si="247"/>
        <v>-4.2539414702162652</v>
      </c>
      <c r="L574" s="304">
        <f t="shared" ca="1" si="232"/>
        <v>746.87621647160938</v>
      </c>
      <c r="M574" s="306">
        <f t="shared" ca="1" si="248"/>
        <v>-1.4845782901077826</v>
      </c>
      <c r="N574" s="304">
        <f t="shared" ca="1" si="249"/>
        <v>-85.060070379924284</v>
      </c>
      <c r="P574" s="310">
        <f t="shared" ca="1" si="250"/>
        <v>23</v>
      </c>
      <c r="Q574" s="304">
        <f t="shared" ca="1" si="251"/>
        <v>0</v>
      </c>
      <c r="R574" s="306">
        <f t="shared" ca="1" si="252"/>
        <v>0</v>
      </c>
      <c r="S574" s="307">
        <f t="shared" ca="1" si="253"/>
        <v>5.083000000000002</v>
      </c>
      <c r="T574" s="304">
        <f t="shared" ca="1" si="233"/>
        <v>49.86423000000002</v>
      </c>
      <c r="U574" s="311">
        <f t="shared" ca="1" si="234"/>
        <v>0</v>
      </c>
      <c r="V574" s="306">
        <f t="shared" ca="1" si="235"/>
        <v>1.2255212186917919</v>
      </c>
      <c r="W574" s="304">
        <f t="shared" ca="1" si="236"/>
        <v>43.200111248140196</v>
      </c>
      <c r="Y574" s="314" t="str">
        <f t="shared" ca="1" si="254"/>
        <v/>
      </c>
      <c r="Z574" s="315" t="str">
        <f t="shared" ca="1" si="255"/>
        <v/>
      </c>
      <c r="AA574" s="316" t="str">
        <f t="shared" ca="1" si="256"/>
        <v/>
      </c>
      <c r="AC574" s="310" t="e">
        <f t="shared" ca="1" si="257"/>
        <v>#N/A</v>
      </c>
      <c r="AD574" s="323" t="e">
        <f t="shared" ca="1" si="258"/>
        <v>#N/A</v>
      </c>
      <c r="AE574" s="324" t="e">
        <f t="shared" ca="1" si="237"/>
        <v>#N/A</v>
      </c>
      <c r="AG574" s="306">
        <f t="shared" ca="1" si="259"/>
        <v>1.2746497984230665</v>
      </c>
      <c r="AH574" s="304">
        <f t="shared" ca="1" si="260"/>
        <v>-8.4989105545215597</v>
      </c>
    </row>
    <row r="575" spans="1:34" x14ac:dyDescent="0.2">
      <c r="A575" s="347">
        <f t="shared" ca="1" si="238"/>
        <v>1E-4</v>
      </c>
      <c r="B575" s="304">
        <f t="shared" ca="1" si="239"/>
        <v>29.218900000000104</v>
      </c>
      <c r="D575" s="306">
        <f t="shared" ca="1" si="240"/>
        <v>-0.7318544079640289</v>
      </c>
      <c r="E575" s="307">
        <f t="shared" ca="1" si="241"/>
        <v>-1.3426292352351421</v>
      </c>
      <c r="F575" s="304">
        <f t="shared" ca="1" si="242"/>
        <v>1.5291383644930505</v>
      </c>
      <c r="G575" s="306">
        <f t="shared" ca="1" si="243"/>
        <v>9.2264958010315041</v>
      </c>
      <c r="H575" s="307">
        <f t="shared" ca="1" si="244"/>
        <v>-106.7492084571743</v>
      </c>
      <c r="I575" s="304">
        <f t="shared" ca="1" si="245"/>
        <v>107.14719656155128</v>
      </c>
      <c r="J575" s="306">
        <f t="shared" ca="1" si="246"/>
        <v>746.86410190403069</v>
      </c>
      <c r="K575" s="307">
        <f t="shared" ca="1" si="247"/>
        <v>-4.2646163843488365</v>
      </c>
      <c r="L575" s="304">
        <f t="shared" ca="1" si="232"/>
        <v>746.87627734841055</v>
      </c>
      <c r="M575" s="306">
        <f t="shared" ca="1" si="248"/>
        <v>-1.4845790785105359</v>
      </c>
      <c r="N575" s="304">
        <f t="shared" ca="1" si="249"/>
        <v>-85.060115552074592</v>
      </c>
      <c r="P575" s="310">
        <f t="shared" ca="1" si="250"/>
        <v>23</v>
      </c>
      <c r="Q575" s="304">
        <f t="shared" ca="1" si="251"/>
        <v>0</v>
      </c>
      <c r="R575" s="306">
        <f t="shared" ca="1" si="252"/>
        <v>0</v>
      </c>
      <c r="S575" s="307">
        <f t="shared" ca="1" si="253"/>
        <v>5.083000000000002</v>
      </c>
      <c r="T575" s="304">
        <f t="shared" ca="1" si="233"/>
        <v>49.86423000000002</v>
      </c>
      <c r="U575" s="311">
        <f t="shared" ca="1" si="234"/>
        <v>0</v>
      </c>
      <c r="V575" s="306">
        <f t="shared" ca="1" si="235"/>
        <v>1.2255225269259273</v>
      </c>
      <c r="W575" s="304">
        <f t="shared" ca="1" si="236"/>
        <v>43.20026014578783</v>
      </c>
      <c r="Y575" s="314" t="str">
        <f t="shared" ca="1" si="254"/>
        <v/>
      </c>
      <c r="Z575" s="315" t="str">
        <f t="shared" ca="1" si="255"/>
        <v/>
      </c>
      <c r="AA575" s="316" t="str">
        <f t="shared" ca="1" si="256"/>
        <v/>
      </c>
      <c r="AC575" s="310" t="e">
        <f t="shared" ca="1" si="257"/>
        <v>#N/A</v>
      </c>
      <c r="AD575" s="323" t="e">
        <f t="shared" ca="1" si="258"/>
        <v>#N/A</v>
      </c>
      <c r="AE575" s="324" t="e">
        <f t="shared" ca="1" si="237"/>
        <v>#N/A</v>
      </c>
      <c r="AG575" s="306">
        <f t="shared" ca="1" si="259"/>
        <v>1.274621170810132</v>
      </c>
      <c r="AH575" s="304">
        <f t="shared" ca="1" si="260"/>
        <v>-8.4989398481487672</v>
      </c>
    </row>
    <row r="576" spans="1:34" x14ac:dyDescent="0.2">
      <c r="A576" s="347">
        <f t="shared" ca="1" si="238"/>
        <v>1E-4</v>
      </c>
      <c r="B576" s="304">
        <f t="shared" ca="1" si="239"/>
        <v>29.219000000000104</v>
      </c>
      <c r="D576" s="306">
        <f t="shared" ca="1" si="240"/>
        <v>-0.73185025472197773</v>
      </c>
      <c r="E576" s="307">
        <f t="shared" ca="1" si="241"/>
        <v>-1.3425994737874003</v>
      </c>
      <c r="F576" s="304">
        <f t="shared" ca="1" si="242"/>
        <v>1.5291102453226935</v>
      </c>
      <c r="G576" s="306">
        <f t="shared" ca="1" si="243"/>
        <v>9.2264226160060314</v>
      </c>
      <c r="H576" s="307">
        <f t="shared" ca="1" si="244"/>
        <v>-106.74934271712168</v>
      </c>
      <c r="I576" s="304">
        <f t="shared" ca="1" si="245"/>
        <v>107.14732402083892</v>
      </c>
      <c r="J576" s="306">
        <f t="shared" ca="1" si="246"/>
        <v>746.86410190403069</v>
      </c>
      <c r="K576" s="307">
        <f t="shared" ca="1" si="247"/>
        <v>-4.2752913119075515</v>
      </c>
      <c r="L576" s="304">
        <f t="shared" ca="1" si="232"/>
        <v>746.87633837785756</v>
      </c>
      <c r="M576" s="306">
        <f t="shared" ca="1" si="248"/>
        <v>-1.48457986690516</v>
      </c>
      <c r="N576" s="304">
        <f t="shared" ca="1" si="249"/>
        <v>-85.06016072375914</v>
      </c>
      <c r="P576" s="310">
        <f t="shared" ca="1" si="250"/>
        <v>23</v>
      </c>
      <c r="Q576" s="304">
        <f t="shared" ca="1" si="251"/>
        <v>0</v>
      </c>
      <c r="R576" s="306">
        <f t="shared" ca="1" si="252"/>
        <v>0</v>
      </c>
      <c r="S576" s="307">
        <f t="shared" ca="1" si="253"/>
        <v>5.083000000000002</v>
      </c>
      <c r="T576" s="304">
        <f t="shared" ca="1" si="233"/>
        <v>49.86423000000002</v>
      </c>
      <c r="U576" s="311">
        <f t="shared" ca="1" si="234"/>
        <v>0</v>
      </c>
      <c r="V576" s="306">
        <f t="shared" ca="1" si="235"/>
        <v>1.2255238351631048</v>
      </c>
      <c r="W576" s="304">
        <f t="shared" ca="1" si="236"/>
        <v>43.200409041575952</v>
      </c>
      <c r="Y576" s="314" t="str">
        <f t="shared" ca="1" si="254"/>
        <v/>
      </c>
      <c r="Z576" s="315" t="str">
        <f t="shared" ca="1" si="255"/>
        <v/>
      </c>
      <c r="AA576" s="316" t="str">
        <f t="shared" ca="1" si="256"/>
        <v/>
      </c>
      <c r="AC576" s="310" t="e">
        <f t="shared" ca="1" si="257"/>
        <v>#N/A</v>
      </c>
      <c r="AD576" s="323" t="e">
        <f t="shared" ca="1" si="258"/>
        <v>#N/A</v>
      </c>
      <c r="AE576" s="324" t="e">
        <f t="shared" ca="1" si="237"/>
        <v>#N/A</v>
      </c>
      <c r="AG576" s="306">
        <f t="shared" ca="1" si="259"/>
        <v>1.2745925435500745</v>
      </c>
      <c r="AH576" s="304">
        <f t="shared" ca="1" si="260"/>
        <v>-8.4989691414101536</v>
      </c>
    </row>
    <row r="577" spans="1:34" x14ac:dyDescent="0.2">
      <c r="A577" s="347">
        <f t="shared" ca="1" si="238"/>
        <v>1E-4</v>
      </c>
      <c r="B577" s="304">
        <f t="shared" ca="1" si="239"/>
        <v>29.219100000000104</v>
      </c>
      <c r="D577" s="306">
        <f t="shared" ca="1" si="240"/>
        <v>-0.73184610147078599</v>
      </c>
      <c r="E577" s="307">
        <f t="shared" ca="1" si="241"/>
        <v>-1.3425697127113629</v>
      </c>
      <c r="F577" s="304">
        <f t="shared" ca="1" si="242"/>
        <v>1.529082126547773</v>
      </c>
      <c r="G577" s="306">
        <f t="shared" ca="1" si="243"/>
        <v>9.2263494313958851</v>
      </c>
      <c r="H577" s="307">
        <f t="shared" ca="1" si="244"/>
        <v>-106.74947697409294</v>
      </c>
      <c r="I577" s="304">
        <f t="shared" ca="1" si="245"/>
        <v>107.14745147726389</v>
      </c>
      <c r="J577" s="306">
        <f t="shared" ca="1" si="246"/>
        <v>746.86410190403069</v>
      </c>
      <c r="K577" s="307">
        <f t="shared" ca="1" si="247"/>
        <v>-4.2859662528921119</v>
      </c>
      <c r="L577" s="304">
        <f t="shared" ca="1" si="232"/>
        <v>746.87639955995076</v>
      </c>
      <c r="M577" s="306">
        <f t="shared" ca="1" si="248"/>
        <v>-1.4845806552916547</v>
      </c>
      <c r="N577" s="304">
        <f t="shared" ca="1" si="249"/>
        <v>-85.060205894977926</v>
      </c>
      <c r="P577" s="310">
        <f t="shared" ca="1" si="250"/>
        <v>23</v>
      </c>
      <c r="Q577" s="304">
        <f t="shared" ca="1" si="251"/>
        <v>0</v>
      </c>
      <c r="R577" s="306">
        <f t="shared" ca="1" si="252"/>
        <v>0</v>
      </c>
      <c r="S577" s="307">
        <f t="shared" ca="1" si="253"/>
        <v>5.083000000000002</v>
      </c>
      <c r="T577" s="304">
        <f t="shared" ca="1" si="233"/>
        <v>49.86423000000002</v>
      </c>
      <c r="U577" s="311">
        <f t="shared" ca="1" si="234"/>
        <v>0</v>
      </c>
      <c r="V577" s="306">
        <f t="shared" ca="1" si="235"/>
        <v>1.2255251434033247</v>
      </c>
      <c r="W577" s="304">
        <f t="shared" ca="1" si="236"/>
        <v>43.200557935504612</v>
      </c>
      <c r="Y577" s="314" t="str">
        <f t="shared" ca="1" si="254"/>
        <v/>
      </c>
      <c r="Z577" s="315" t="str">
        <f t="shared" ca="1" si="255"/>
        <v/>
      </c>
      <c r="AA577" s="316" t="str">
        <f t="shared" ca="1" si="256"/>
        <v/>
      </c>
      <c r="AC577" s="310" t="e">
        <f t="shared" ca="1" si="257"/>
        <v>#N/A</v>
      </c>
      <c r="AD577" s="323" t="e">
        <f t="shared" ca="1" si="258"/>
        <v>#N/A</v>
      </c>
      <c r="AE577" s="324" t="e">
        <f t="shared" ca="1" si="237"/>
        <v>#N/A</v>
      </c>
      <c r="AG577" s="306">
        <f t="shared" ca="1" si="259"/>
        <v>1.2745639166429044</v>
      </c>
      <c r="AH577" s="304">
        <f t="shared" ca="1" si="260"/>
        <v>-8.4989984343057117</v>
      </c>
    </row>
    <row r="578" spans="1:34" x14ac:dyDescent="0.2">
      <c r="A578" s="347">
        <f t="shared" ca="1" si="238"/>
        <v>1E-4</v>
      </c>
      <c r="B578" s="304">
        <f t="shared" ca="1" si="239"/>
        <v>29.219200000000104</v>
      </c>
      <c r="D578" s="306">
        <f t="shared" ca="1" si="240"/>
        <v>-0.73184194821045634</v>
      </c>
      <c r="E578" s="307">
        <f t="shared" ca="1" si="241"/>
        <v>-1.3425399520070194</v>
      </c>
      <c r="F578" s="304">
        <f t="shared" ca="1" si="242"/>
        <v>1.5290540081682813</v>
      </c>
      <c r="G578" s="306">
        <f t="shared" ca="1" si="243"/>
        <v>9.2262762472010635</v>
      </c>
      <c r="H578" s="307">
        <f t="shared" ca="1" si="244"/>
        <v>-106.74961122808814</v>
      </c>
      <c r="I578" s="304">
        <f t="shared" ca="1" si="245"/>
        <v>107.14757893082619</v>
      </c>
      <c r="J578" s="306">
        <f t="shared" ca="1" si="246"/>
        <v>746.86410190403069</v>
      </c>
      <c r="K578" s="307">
        <f t="shared" ca="1" si="247"/>
        <v>-4.2966412073022209</v>
      </c>
      <c r="L578" s="304">
        <f t="shared" ca="1" si="232"/>
        <v>746.87646089469081</v>
      </c>
      <c r="M578" s="306">
        <f t="shared" ca="1" si="248"/>
        <v>-1.4845814436700204</v>
      </c>
      <c r="N578" s="304">
        <f t="shared" ca="1" si="249"/>
        <v>-85.060251065730938</v>
      </c>
      <c r="P578" s="310">
        <f t="shared" ca="1" si="250"/>
        <v>23</v>
      </c>
      <c r="Q578" s="304">
        <f t="shared" ca="1" si="251"/>
        <v>0</v>
      </c>
      <c r="R578" s="306">
        <f t="shared" ca="1" si="252"/>
        <v>0</v>
      </c>
      <c r="S578" s="307">
        <f t="shared" ca="1" si="253"/>
        <v>5.083000000000002</v>
      </c>
      <c r="T578" s="304">
        <f t="shared" ca="1" si="233"/>
        <v>49.86423000000002</v>
      </c>
      <c r="U578" s="311">
        <f t="shared" ca="1" si="234"/>
        <v>0</v>
      </c>
      <c r="V578" s="306">
        <f t="shared" ca="1" si="235"/>
        <v>1.2255264516465867</v>
      </c>
      <c r="W578" s="304">
        <f t="shared" ca="1" si="236"/>
        <v>43.200706827573825</v>
      </c>
      <c r="Y578" s="314" t="str">
        <f t="shared" ca="1" si="254"/>
        <v/>
      </c>
      <c r="Z578" s="315" t="str">
        <f t="shared" ca="1" si="255"/>
        <v/>
      </c>
      <c r="AA578" s="316" t="str">
        <f t="shared" ca="1" si="256"/>
        <v/>
      </c>
      <c r="AC578" s="310" t="e">
        <f t="shared" ca="1" si="257"/>
        <v>#N/A</v>
      </c>
      <c r="AD578" s="323" t="e">
        <f t="shared" ca="1" si="258"/>
        <v>#N/A</v>
      </c>
      <c r="AE578" s="324" t="e">
        <f t="shared" ca="1" si="237"/>
        <v>#N/A</v>
      </c>
      <c r="AG578" s="306">
        <f t="shared" ca="1" si="259"/>
        <v>1.2745352900886129</v>
      </c>
      <c r="AH578" s="304">
        <f t="shared" ca="1" si="260"/>
        <v>-8.4990277268354504</v>
      </c>
    </row>
    <row r="579" spans="1:34" x14ac:dyDescent="0.2">
      <c r="A579" s="347">
        <f t="shared" ca="1" si="238"/>
        <v>1E-4</v>
      </c>
      <c r="B579" s="304">
        <f t="shared" ca="1" si="239"/>
        <v>29.219300000000104</v>
      </c>
      <c r="D579" s="306">
        <f t="shared" ca="1" si="240"/>
        <v>-0.73183779494098844</v>
      </c>
      <c r="E579" s="307">
        <f t="shared" ca="1" si="241"/>
        <v>-1.3425101916743714</v>
      </c>
      <c r="F579" s="304">
        <f t="shared" ca="1" si="242"/>
        <v>1.5290258901842197</v>
      </c>
      <c r="G579" s="306">
        <f t="shared" ca="1" si="243"/>
        <v>9.2262030634215701</v>
      </c>
      <c r="H579" s="307">
        <f t="shared" ca="1" si="244"/>
        <v>-106.7497454791073</v>
      </c>
      <c r="I579" s="304">
        <f t="shared" ca="1" si="245"/>
        <v>107.14770638152586</v>
      </c>
      <c r="J579" s="306">
        <f t="shared" ca="1" si="246"/>
        <v>746.86410190403069</v>
      </c>
      <c r="K579" s="307">
        <f t="shared" ca="1" si="247"/>
        <v>-4.307316175137581</v>
      </c>
      <c r="L579" s="304">
        <f t="shared" ca="1" si="232"/>
        <v>746.87652238207818</v>
      </c>
      <c r="M579" s="306">
        <f t="shared" ca="1" si="248"/>
        <v>-1.4845822320402571</v>
      </c>
      <c r="N579" s="304">
        <f t="shared" ca="1" si="249"/>
        <v>-85.060296236018189</v>
      </c>
      <c r="P579" s="310">
        <f t="shared" ca="1" si="250"/>
        <v>23</v>
      </c>
      <c r="Q579" s="304">
        <f t="shared" ca="1" si="251"/>
        <v>0</v>
      </c>
      <c r="R579" s="306">
        <f t="shared" ca="1" si="252"/>
        <v>0</v>
      </c>
      <c r="S579" s="307">
        <f t="shared" ca="1" si="253"/>
        <v>5.083000000000002</v>
      </c>
      <c r="T579" s="304">
        <f t="shared" ca="1" si="233"/>
        <v>49.86423000000002</v>
      </c>
      <c r="U579" s="311">
        <f t="shared" ca="1" si="234"/>
        <v>0</v>
      </c>
      <c r="V579" s="306">
        <f t="shared" ca="1" si="235"/>
        <v>1.2255277598928906</v>
      </c>
      <c r="W579" s="304">
        <f t="shared" ca="1" si="236"/>
        <v>43.200855717783575</v>
      </c>
      <c r="Y579" s="314" t="str">
        <f t="shared" ca="1" si="254"/>
        <v/>
      </c>
      <c r="Z579" s="315" t="str">
        <f t="shared" ca="1" si="255"/>
        <v/>
      </c>
      <c r="AA579" s="316" t="str">
        <f t="shared" ca="1" si="256"/>
        <v/>
      </c>
      <c r="AC579" s="310" t="e">
        <f t="shared" ca="1" si="257"/>
        <v>#N/A</v>
      </c>
      <c r="AD579" s="323" t="e">
        <f t="shared" ca="1" si="258"/>
        <v>#N/A</v>
      </c>
      <c r="AE579" s="324" t="e">
        <f t="shared" ca="1" si="237"/>
        <v>#N/A</v>
      </c>
      <c r="AG579" s="306">
        <f t="shared" ca="1" si="259"/>
        <v>1.2745066638871947</v>
      </c>
      <c r="AH579" s="304">
        <f t="shared" ca="1" si="260"/>
        <v>-8.4990570189993715</v>
      </c>
    </row>
    <row r="580" spans="1:34" x14ac:dyDescent="0.2">
      <c r="A580" s="347">
        <f t="shared" ca="1" si="238"/>
        <v>1E-4</v>
      </c>
      <c r="B580" s="304">
        <f t="shared" ca="1" si="239"/>
        <v>29.219400000000103</v>
      </c>
      <c r="D580" s="306">
        <f t="shared" ca="1" si="240"/>
        <v>-0.73183364166238385</v>
      </c>
      <c r="E580" s="307">
        <f t="shared" ca="1" si="241"/>
        <v>-1.3424804317134189</v>
      </c>
      <c r="F580" s="304">
        <f t="shared" ca="1" si="242"/>
        <v>1.5289977725955897</v>
      </c>
      <c r="G580" s="306">
        <f t="shared" ca="1" si="243"/>
        <v>9.2261298800574032</v>
      </c>
      <c r="H580" s="307">
        <f t="shared" ca="1" si="244"/>
        <v>-106.74987972715047</v>
      </c>
      <c r="I580" s="304">
        <f t="shared" ca="1" si="245"/>
        <v>107.14783382936297</v>
      </c>
      <c r="J580" s="306">
        <f t="shared" ca="1" si="246"/>
        <v>746.86410190403069</v>
      </c>
      <c r="K580" s="307">
        <f t="shared" ca="1" si="247"/>
        <v>-4.3179911563978939</v>
      </c>
      <c r="L580" s="304">
        <f t="shared" ref="L580:L643" ca="1" si="261">SQRT(pos_x^2+pos_z^2)</f>
        <v>746.87658402211343</v>
      </c>
      <c r="M580" s="306">
        <f t="shared" ca="1" si="248"/>
        <v>-1.4845830204023647</v>
      </c>
      <c r="N580" s="304">
        <f t="shared" ca="1" si="249"/>
        <v>-85.060341405839679</v>
      </c>
      <c r="P580" s="310">
        <f t="shared" ca="1" si="250"/>
        <v>23</v>
      </c>
      <c r="Q580" s="304">
        <f t="shared" ca="1" si="251"/>
        <v>0</v>
      </c>
      <c r="R580" s="306">
        <f t="shared" ca="1" si="252"/>
        <v>0</v>
      </c>
      <c r="S580" s="307">
        <f t="shared" ca="1" si="253"/>
        <v>5.083000000000002</v>
      </c>
      <c r="T580" s="304">
        <f t="shared" ref="T580:T643" ca="1" si="262">m*g</f>
        <v>49.86423000000002</v>
      </c>
      <c r="U580" s="311">
        <f t="shared" ref="U580:U643" ca="1" si="263">IF(pos_xz&lt;L_rampe,Poids*COS(Beta),0)</f>
        <v>0</v>
      </c>
      <c r="V580" s="306">
        <f t="shared" ref="V580:V643" ca="1" si="264">Rho_moyen*(20000-Alt_rampe-pos_z)/(20000+Alt_rampe+pos_z)</f>
        <v>1.2255290681422366</v>
      </c>
      <c r="W580" s="304">
        <f t="shared" ref="W580:W643" ca="1" si="265">1/2*Rho*Sref*Cx*vit_xz^2</f>
        <v>43.201004606133914</v>
      </c>
      <c r="Y580" s="314" t="str">
        <f t="shared" ca="1" si="254"/>
        <v/>
      </c>
      <c r="Z580" s="315" t="str">
        <f t="shared" ca="1" si="255"/>
        <v/>
      </c>
      <c r="AA580" s="316" t="str">
        <f t="shared" ca="1" si="256"/>
        <v/>
      </c>
      <c r="AC580" s="310" t="e">
        <f t="shared" ca="1" si="257"/>
        <v>#N/A</v>
      </c>
      <c r="AD580" s="323" t="e">
        <f t="shared" ca="1" si="258"/>
        <v>#N/A</v>
      </c>
      <c r="AE580" s="324" t="e">
        <f t="shared" ref="AE580:AE643" ca="1" si="266">IF(t&lt;T_para, pos_z, NA())</f>
        <v>#N/A</v>
      </c>
      <c r="AG580" s="306">
        <f t="shared" ca="1" si="259"/>
        <v>1.2744780380386569</v>
      </c>
      <c r="AH580" s="304">
        <f t="shared" ca="1" si="260"/>
        <v>-8.4990863107974732</v>
      </c>
    </row>
    <row r="581" spans="1:34" x14ac:dyDescent="0.2">
      <c r="A581" s="347">
        <f t="shared" ref="A581:A644" ca="1" si="267">IF(B580+0.01&lt;=T_ini+ROUNDUP(Temps_fin_propu,0), 0.01, IF(K580&gt;0, 0.1, 0.0001))</f>
        <v>1E-4</v>
      </c>
      <c r="B581" s="304">
        <f t="shared" ref="B581:B644" ca="1" si="268">B580+pas</f>
        <v>29.219500000000103</v>
      </c>
      <c r="D581" s="306">
        <f t="shared" ref="D581:D644" ca="1" si="269">IF(AND(L580&lt;L_rampe,Poussee&lt;Poids*SIN(M580)),0,(-W580+Poussee)/m*COS(M580)-U580/m*SIN(M580))</f>
        <v>-0.73182948837464479</v>
      </c>
      <c r="E581" s="307">
        <f t="shared" ref="E581:E644" ca="1" si="270">IF(AND(L580&lt;L_rampe,Poussee&lt;Poids*SIN(M580)),0,(-W580+Poussee)/m*SIN(M580)+U580/m*COS(M580)-Poids/m)</f>
        <v>-1.3424506721241531</v>
      </c>
      <c r="F581" s="304">
        <f t="shared" ref="F581:F644" ca="1" si="271">SQRT(acc_x^2+acc_z^2)</f>
        <v>1.5289696554023839</v>
      </c>
      <c r="G581" s="306">
        <f t="shared" ref="G581:G644" ca="1" si="272">G580+acc_x*pas</f>
        <v>9.2260566971085662</v>
      </c>
      <c r="H581" s="307">
        <f t="shared" ref="H581:H644" ca="1" si="273">H580+acc_z*pas</f>
        <v>-106.75001397221769</v>
      </c>
      <c r="I581" s="304">
        <f t="shared" ref="I581:I644" ca="1" si="274">SQRT(vit_x^2+vit_z^2)</f>
        <v>107.14796127433752</v>
      </c>
      <c r="J581" s="306">
        <f t="shared" ref="J581:J644" ca="1" si="275">J580+0.5*(vit_x+G580)*pas*(K580&gt;=0)</f>
        <v>746.86410190403069</v>
      </c>
      <c r="K581" s="307">
        <f t="shared" ref="K581:K644" ca="1" si="276">K580+0.5*(vit_z+H580)*pas</f>
        <v>-4.3286661510828619</v>
      </c>
      <c r="L581" s="304">
        <f t="shared" ca="1" si="261"/>
        <v>746.87664581479714</v>
      </c>
      <c r="M581" s="306">
        <f t="shared" ref="M581:M644" ca="1" si="277">IF(AND(L580&gt;L_rampe,G581&gt;0),ATAN2(G581,H581),$M$4)</f>
        <v>-1.4845838087563437</v>
      </c>
      <c r="N581" s="304">
        <f t="shared" ref="N581:N644" ca="1" si="278">DEGREES(Beta)</f>
        <v>-85.060386575195437</v>
      </c>
      <c r="P581" s="310">
        <f t="shared" ref="P581:P644" ca="1" si="279">MATCH(t-pas/2-T_ini,CdP_t)</f>
        <v>23</v>
      </c>
      <c r="Q581" s="304">
        <f t="shared" ref="Q581:Q644" ca="1" si="280">(INDEX(CdP,2,i_P+1)-INDEX(CdP,2,i_P+0))/(INDEX(CdP,1,i_P+1)-INDEX(CdP,1,i_P+0))*(t-pas/2-T_ini-INDEX(CdP,1,i_P+0))+INDEX(CdP,2,i_P+0)</f>
        <v>0</v>
      </c>
      <c r="R581" s="306">
        <f t="shared" ref="R581:R644" ca="1" si="281">Poussee/(g*ISP)</f>
        <v>0</v>
      </c>
      <c r="S581" s="307">
        <f t="shared" ref="S581:S644" ca="1" si="282">S580-Débit*pas</f>
        <v>5.083000000000002</v>
      </c>
      <c r="T581" s="304">
        <f t="shared" ca="1" si="262"/>
        <v>49.86423000000002</v>
      </c>
      <c r="U581" s="311">
        <f t="shared" ca="1" si="263"/>
        <v>0</v>
      </c>
      <c r="V581" s="306">
        <f t="shared" ca="1" si="264"/>
        <v>1.225530376394625</v>
      </c>
      <c r="W581" s="304">
        <f t="shared" ca="1" si="265"/>
        <v>43.20115349262484</v>
      </c>
      <c r="Y581" s="314" t="str">
        <f t="shared" ref="Y581:Y644" ca="1" si="283">IF(AND(pos_z&lt;=0,K580&gt;0),"Impact balistique","") &amp; IF(AND(H582&lt;0,vit_z&gt;=0),"Apogée","") &amp; IF(AND(Poussee=0,Q580&gt;0),"Fin de propulsion","") &amp; IF(AND(L582&gt;L_rampe,pos_xz&lt;=L_rampe),"Sortie de rampe","")</f>
        <v/>
      </c>
      <c r="Z581" s="315" t="str">
        <f t="shared" ref="Z581:Z644" ca="1" si="284">IF(ABS(t-T_para)&lt;pas/2,"Para","")</f>
        <v/>
      </c>
      <c r="AA581" s="316" t="str">
        <f t="shared" ref="AA581:AA644" ca="1" si="285">IF(ABS(t-T_satellite)&lt;pas/2,"Satellite","")</f>
        <v/>
      </c>
      <c r="AC581" s="310" t="e">
        <f t="shared" ref="AC581:AC644" ca="1" si="286">IF(ABS(t-ROUND(t,0))&lt;0.001,t,NA())</f>
        <v>#N/A</v>
      </c>
      <c r="AD581" s="323" t="e">
        <f t="shared" ref="AD581:AD644" ca="1" si="287">IF(ABS(t-ROUND(t,0))&lt;0.001,pos_x,NA())</f>
        <v>#N/A</v>
      </c>
      <c r="AE581" s="324" t="e">
        <f t="shared" ca="1" si="266"/>
        <v>#N/A</v>
      </c>
      <c r="AG581" s="306">
        <f t="shared" ref="AG581:AG644" ca="1" si="288">IF(AND(L580&lt;L_rampe,Poussee&lt;Poids*SIN(M580)),0,(-W580+Poussee)/m-Poids*SIN(M580)/m)</f>
        <v>1.274449412542987</v>
      </c>
      <c r="AH581" s="304">
        <f t="shared" ref="AH581:AH644" ca="1" si="289">IF(AND(L580&lt;L_rampe,Poussee&lt;Poids*SIN(M580)), g*SIN(M580), (-W580+Poussee)/m)</f>
        <v>-8.4991156022297645</v>
      </c>
    </row>
    <row r="582" spans="1:34" x14ac:dyDescent="0.2">
      <c r="A582" s="347">
        <f t="shared" ca="1" si="267"/>
        <v>1E-4</v>
      </c>
      <c r="B582" s="304">
        <f t="shared" ca="1" si="268"/>
        <v>29.219600000000103</v>
      </c>
      <c r="D582" s="306">
        <f t="shared" ca="1" si="269"/>
        <v>-0.73182533507776937</v>
      </c>
      <c r="E582" s="307">
        <f t="shared" ca="1" si="270"/>
        <v>-1.3424209129065723</v>
      </c>
      <c r="F582" s="304">
        <f t="shared" ca="1" si="271"/>
        <v>1.5289415386046008</v>
      </c>
      <c r="G582" s="306">
        <f t="shared" ca="1" si="272"/>
        <v>9.2259835145750593</v>
      </c>
      <c r="H582" s="307">
        <f t="shared" ca="1" si="273"/>
        <v>-106.75014821430898</v>
      </c>
      <c r="I582" s="304">
        <f t="shared" ca="1" si="274"/>
        <v>107.14808871644955</v>
      </c>
      <c r="J582" s="306">
        <f t="shared" ca="1" si="275"/>
        <v>746.86410190403069</v>
      </c>
      <c r="K582" s="307">
        <f t="shared" ca="1" si="276"/>
        <v>-4.3393411591921884</v>
      </c>
      <c r="L582" s="304">
        <f t="shared" ca="1" si="261"/>
        <v>746.87670776012976</v>
      </c>
      <c r="M582" s="306">
        <f t="shared" ca="1" si="277"/>
        <v>-1.4845845971021938</v>
      </c>
      <c r="N582" s="304">
        <f t="shared" ca="1" si="278"/>
        <v>-85.060431744085449</v>
      </c>
      <c r="P582" s="310">
        <f t="shared" ca="1" si="279"/>
        <v>23</v>
      </c>
      <c r="Q582" s="304">
        <f t="shared" ca="1" si="280"/>
        <v>0</v>
      </c>
      <c r="R582" s="306">
        <f t="shared" ca="1" si="281"/>
        <v>0</v>
      </c>
      <c r="S582" s="307">
        <f t="shared" ca="1" si="282"/>
        <v>5.083000000000002</v>
      </c>
      <c r="T582" s="304">
        <f t="shared" ca="1" si="262"/>
        <v>49.86423000000002</v>
      </c>
      <c r="U582" s="311">
        <f t="shared" ca="1" si="263"/>
        <v>0</v>
      </c>
      <c r="V582" s="306">
        <f t="shared" ca="1" si="264"/>
        <v>1.2255316846500555</v>
      </c>
      <c r="W582" s="304">
        <f t="shared" ca="1" si="265"/>
        <v>43.201302377256354</v>
      </c>
      <c r="Y582" s="314" t="str">
        <f t="shared" ca="1" si="283"/>
        <v/>
      </c>
      <c r="Z582" s="315" t="str">
        <f t="shared" ca="1" si="284"/>
        <v/>
      </c>
      <c r="AA582" s="316" t="str">
        <f t="shared" ca="1" si="285"/>
        <v/>
      </c>
      <c r="AC582" s="310" t="e">
        <f t="shared" ca="1" si="286"/>
        <v>#N/A</v>
      </c>
      <c r="AD582" s="323" t="e">
        <f t="shared" ca="1" si="287"/>
        <v>#N/A</v>
      </c>
      <c r="AE582" s="324" t="e">
        <f t="shared" ca="1" si="266"/>
        <v>#N/A</v>
      </c>
      <c r="AG582" s="306">
        <f t="shared" ca="1" si="288"/>
        <v>1.2744207874001852</v>
      </c>
      <c r="AH582" s="304">
        <f t="shared" ca="1" si="289"/>
        <v>-8.499144893296247</v>
      </c>
    </row>
    <row r="583" spans="1:34" x14ac:dyDescent="0.2">
      <c r="A583" s="347">
        <f t="shared" ca="1" si="267"/>
        <v>1E-4</v>
      </c>
      <c r="B583" s="304">
        <f t="shared" ca="1" si="268"/>
        <v>29.219700000000103</v>
      </c>
      <c r="D583" s="306">
        <f t="shared" ca="1" si="269"/>
        <v>-0.73182118177176081</v>
      </c>
      <c r="E583" s="307">
        <f t="shared" ca="1" si="270"/>
        <v>-1.3423911540606781</v>
      </c>
      <c r="F583" s="304">
        <f t="shared" ca="1" si="271"/>
        <v>1.5289134222022436</v>
      </c>
      <c r="G583" s="306">
        <f t="shared" ca="1" si="272"/>
        <v>9.2259103324568823</v>
      </c>
      <c r="H583" s="307">
        <f t="shared" ca="1" si="273"/>
        <v>-106.75028245342439</v>
      </c>
      <c r="I583" s="304">
        <f t="shared" ca="1" si="274"/>
        <v>107.14821615569913</v>
      </c>
      <c r="J583" s="306">
        <f t="shared" ca="1" si="275"/>
        <v>746.86410190403069</v>
      </c>
      <c r="K583" s="307">
        <f t="shared" ca="1" si="276"/>
        <v>-4.3500161807255751</v>
      </c>
      <c r="L583" s="304">
        <f t="shared" ca="1" si="261"/>
        <v>746.87676985811174</v>
      </c>
      <c r="M583" s="306">
        <f t="shared" ca="1" si="277"/>
        <v>-1.4845853854399156</v>
      </c>
      <c r="N583" s="304">
        <f t="shared" ca="1" si="278"/>
        <v>-85.060476912509742</v>
      </c>
      <c r="P583" s="310">
        <f t="shared" ca="1" si="279"/>
        <v>23</v>
      </c>
      <c r="Q583" s="304">
        <f t="shared" ca="1" si="280"/>
        <v>0</v>
      </c>
      <c r="R583" s="306">
        <f t="shared" ca="1" si="281"/>
        <v>0</v>
      </c>
      <c r="S583" s="307">
        <f t="shared" ca="1" si="282"/>
        <v>5.083000000000002</v>
      </c>
      <c r="T583" s="304">
        <f t="shared" ca="1" si="262"/>
        <v>49.86423000000002</v>
      </c>
      <c r="U583" s="311">
        <f t="shared" ca="1" si="263"/>
        <v>0</v>
      </c>
      <c r="V583" s="306">
        <f t="shared" ca="1" si="264"/>
        <v>1.2255329929085277</v>
      </c>
      <c r="W583" s="304">
        <f t="shared" ca="1" si="265"/>
        <v>43.201451260028506</v>
      </c>
      <c r="Y583" s="314" t="str">
        <f t="shared" ca="1" si="283"/>
        <v/>
      </c>
      <c r="Z583" s="315" t="str">
        <f t="shared" ca="1" si="284"/>
        <v/>
      </c>
      <c r="AA583" s="316" t="str">
        <f t="shared" ca="1" si="285"/>
        <v/>
      </c>
      <c r="AC583" s="310" t="e">
        <f t="shared" ca="1" si="286"/>
        <v>#N/A</v>
      </c>
      <c r="AD583" s="323" t="e">
        <f t="shared" ca="1" si="287"/>
        <v>#N/A</v>
      </c>
      <c r="AE583" s="324" t="e">
        <f t="shared" ca="1" si="266"/>
        <v>#N/A</v>
      </c>
      <c r="AG583" s="306">
        <f t="shared" ca="1" si="288"/>
        <v>1.274392162610253</v>
      </c>
      <c r="AH583" s="304">
        <f t="shared" ca="1" si="289"/>
        <v>-8.499174183996919</v>
      </c>
    </row>
    <row r="584" spans="1:34" x14ac:dyDescent="0.2">
      <c r="A584" s="347">
        <f t="shared" ca="1" si="267"/>
        <v>1E-4</v>
      </c>
      <c r="B584" s="304">
        <f t="shared" ca="1" si="268"/>
        <v>29.219800000000102</v>
      </c>
      <c r="D584" s="306">
        <f t="shared" ca="1" si="269"/>
        <v>-0.73181702845661767</v>
      </c>
      <c r="E584" s="307">
        <f t="shared" ca="1" si="270"/>
        <v>-1.3423613955864599</v>
      </c>
      <c r="F584" s="304">
        <f t="shared" ca="1" si="271"/>
        <v>1.5288853061953021</v>
      </c>
      <c r="G584" s="306">
        <f t="shared" ca="1" si="272"/>
        <v>9.2258371507540371</v>
      </c>
      <c r="H584" s="307">
        <f t="shared" ca="1" si="273"/>
        <v>-106.75041668956395</v>
      </c>
      <c r="I584" s="304">
        <f t="shared" ca="1" si="274"/>
        <v>107.14834359208623</v>
      </c>
      <c r="J584" s="306">
        <f t="shared" ca="1" si="275"/>
        <v>746.86410190403069</v>
      </c>
      <c r="K584" s="307">
        <f t="shared" ca="1" si="276"/>
        <v>-4.3606912156827242</v>
      </c>
      <c r="L584" s="304">
        <f t="shared" ca="1" si="261"/>
        <v>746.87683210874388</v>
      </c>
      <c r="M584" s="306">
        <f t="shared" ca="1" si="277"/>
        <v>-1.4845861737695087</v>
      </c>
      <c r="N584" s="304">
        <f t="shared" ca="1" si="278"/>
        <v>-85.060522080468289</v>
      </c>
      <c r="P584" s="310">
        <f t="shared" ca="1" si="279"/>
        <v>23</v>
      </c>
      <c r="Q584" s="304">
        <f t="shared" ca="1" si="280"/>
        <v>0</v>
      </c>
      <c r="R584" s="306">
        <f t="shared" ca="1" si="281"/>
        <v>0</v>
      </c>
      <c r="S584" s="307">
        <f t="shared" ca="1" si="282"/>
        <v>5.083000000000002</v>
      </c>
      <c r="T584" s="304">
        <f t="shared" ca="1" si="262"/>
        <v>49.86423000000002</v>
      </c>
      <c r="U584" s="311">
        <f t="shared" ca="1" si="263"/>
        <v>0</v>
      </c>
      <c r="V584" s="306">
        <f t="shared" ca="1" si="264"/>
        <v>1.2255343011700424</v>
      </c>
      <c r="W584" s="304">
        <f t="shared" ca="1" si="265"/>
        <v>43.20160014094126</v>
      </c>
      <c r="Y584" s="314" t="str">
        <f t="shared" ca="1" si="283"/>
        <v/>
      </c>
      <c r="Z584" s="315" t="str">
        <f t="shared" ca="1" si="284"/>
        <v/>
      </c>
      <c r="AA584" s="316" t="str">
        <f t="shared" ca="1" si="285"/>
        <v/>
      </c>
      <c r="AC584" s="310" t="e">
        <f t="shared" ca="1" si="286"/>
        <v>#N/A</v>
      </c>
      <c r="AD584" s="323" t="e">
        <f t="shared" ca="1" si="287"/>
        <v>#N/A</v>
      </c>
      <c r="AE584" s="324" t="e">
        <f t="shared" ca="1" si="266"/>
        <v>#N/A</v>
      </c>
      <c r="AG584" s="306">
        <f t="shared" ca="1" si="288"/>
        <v>1.2743635381731835</v>
      </c>
      <c r="AH584" s="304">
        <f t="shared" ca="1" si="289"/>
        <v>-8.4992034743317895</v>
      </c>
    </row>
    <row r="585" spans="1:34" x14ac:dyDescent="0.2">
      <c r="A585" s="347">
        <f t="shared" ca="1" si="267"/>
        <v>1E-4</v>
      </c>
      <c r="B585" s="304">
        <f t="shared" ca="1" si="268"/>
        <v>29.219900000000102</v>
      </c>
      <c r="D585" s="306">
        <f t="shared" ca="1" si="269"/>
        <v>-0.73181287513234317</v>
      </c>
      <c r="E585" s="307">
        <f t="shared" ca="1" si="270"/>
        <v>-1.3423316374839249</v>
      </c>
      <c r="F585" s="304">
        <f t="shared" ca="1" si="271"/>
        <v>1.5288571905837842</v>
      </c>
      <c r="G585" s="306">
        <f t="shared" ca="1" si="272"/>
        <v>9.2257639694665237</v>
      </c>
      <c r="H585" s="307">
        <f t="shared" ca="1" si="273"/>
        <v>-106.7505509227277</v>
      </c>
      <c r="I585" s="304">
        <f t="shared" ca="1" si="274"/>
        <v>107.14847102561093</v>
      </c>
      <c r="J585" s="306">
        <f t="shared" ca="1" si="275"/>
        <v>746.86410190403069</v>
      </c>
      <c r="K585" s="307">
        <f t="shared" ca="1" si="276"/>
        <v>-4.3713662640633384</v>
      </c>
      <c r="L585" s="304">
        <f t="shared" ca="1" si="261"/>
        <v>746.87689451202664</v>
      </c>
      <c r="M585" s="306">
        <f t="shared" ca="1" si="277"/>
        <v>-1.4845869620909737</v>
      </c>
      <c r="N585" s="304">
        <f t="shared" ca="1" si="278"/>
        <v>-85.060567247961131</v>
      </c>
      <c r="P585" s="310">
        <f t="shared" ca="1" si="279"/>
        <v>23</v>
      </c>
      <c r="Q585" s="304">
        <f t="shared" ca="1" si="280"/>
        <v>0</v>
      </c>
      <c r="R585" s="306">
        <f t="shared" ca="1" si="281"/>
        <v>0</v>
      </c>
      <c r="S585" s="307">
        <f t="shared" ca="1" si="282"/>
        <v>5.083000000000002</v>
      </c>
      <c r="T585" s="304">
        <f t="shared" ca="1" si="262"/>
        <v>49.86423000000002</v>
      </c>
      <c r="U585" s="311">
        <f t="shared" ca="1" si="263"/>
        <v>0</v>
      </c>
      <c r="V585" s="306">
        <f t="shared" ca="1" si="264"/>
        <v>1.2255356094345982</v>
      </c>
      <c r="W585" s="304">
        <f t="shared" ca="1" si="265"/>
        <v>43.201749019994615</v>
      </c>
      <c r="Y585" s="314" t="str">
        <f t="shared" ca="1" si="283"/>
        <v/>
      </c>
      <c r="Z585" s="315" t="str">
        <f t="shared" ca="1" si="284"/>
        <v/>
      </c>
      <c r="AA585" s="316" t="str">
        <f t="shared" ca="1" si="285"/>
        <v/>
      </c>
      <c r="AC585" s="310" t="e">
        <f t="shared" ca="1" si="286"/>
        <v>#N/A</v>
      </c>
      <c r="AD585" s="323" t="e">
        <f t="shared" ca="1" si="287"/>
        <v>#N/A</v>
      </c>
      <c r="AE585" s="324" t="e">
        <f t="shared" ca="1" si="266"/>
        <v>#N/A</v>
      </c>
      <c r="AG585" s="306">
        <f t="shared" ca="1" si="288"/>
        <v>1.2743349140889784</v>
      </c>
      <c r="AH585" s="304">
        <f t="shared" ca="1" si="289"/>
        <v>-8.4992327643008547</v>
      </c>
    </row>
    <row r="586" spans="1:34" x14ac:dyDescent="0.2">
      <c r="A586" s="347">
        <f t="shared" ca="1" si="267"/>
        <v>1E-4</v>
      </c>
      <c r="B586" s="304">
        <f t="shared" ca="1" si="268"/>
        <v>29.220000000000102</v>
      </c>
      <c r="D586" s="306">
        <f t="shared" ca="1" si="269"/>
        <v>-0.73180872179893497</v>
      </c>
      <c r="E586" s="307">
        <f t="shared" ca="1" si="270"/>
        <v>-1.342301879753073</v>
      </c>
      <c r="F586" s="304">
        <f t="shared" ca="1" si="271"/>
        <v>1.5288290753676894</v>
      </c>
      <c r="G586" s="306">
        <f t="shared" ca="1" si="272"/>
        <v>9.2256907885943438</v>
      </c>
      <c r="H586" s="307">
        <f t="shared" ca="1" si="273"/>
        <v>-106.75068515291568</v>
      </c>
      <c r="I586" s="304">
        <f t="shared" ca="1" si="274"/>
        <v>107.14859845627326</v>
      </c>
      <c r="J586" s="306">
        <f t="shared" ca="1" si="275"/>
        <v>746.86410190403069</v>
      </c>
      <c r="K586" s="307">
        <f t="shared" ca="1" si="276"/>
        <v>-4.3820413258671209</v>
      </c>
      <c r="L586" s="304">
        <f t="shared" ca="1" si="261"/>
        <v>746.87695706796035</v>
      </c>
      <c r="M586" s="306">
        <f t="shared" ca="1" si="277"/>
        <v>-1.4845877504043103</v>
      </c>
      <c r="N586" s="304">
        <f t="shared" ca="1" si="278"/>
        <v>-85.060612414988256</v>
      </c>
      <c r="P586" s="310">
        <f t="shared" ca="1" si="279"/>
        <v>23</v>
      </c>
      <c r="Q586" s="304">
        <f t="shared" ca="1" si="280"/>
        <v>0</v>
      </c>
      <c r="R586" s="306">
        <f t="shared" ca="1" si="281"/>
        <v>0</v>
      </c>
      <c r="S586" s="307">
        <f t="shared" ca="1" si="282"/>
        <v>5.083000000000002</v>
      </c>
      <c r="T586" s="304">
        <f t="shared" ca="1" si="262"/>
        <v>49.86423000000002</v>
      </c>
      <c r="U586" s="311">
        <f t="shared" ca="1" si="263"/>
        <v>0</v>
      </c>
      <c r="V586" s="306">
        <f t="shared" ca="1" si="264"/>
        <v>1.2255369177021966</v>
      </c>
      <c r="W586" s="304">
        <f t="shared" ca="1" si="265"/>
        <v>43.201897897188658</v>
      </c>
      <c r="Y586" s="314" t="str">
        <f t="shared" ca="1" si="283"/>
        <v/>
      </c>
      <c r="Z586" s="315" t="str">
        <f t="shared" ca="1" si="284"/>
        <v/>
      </c>
      <c r="AA586" s="316" t="str">
        <f t="shared" ca="1" si="285"/>
        <v/>
      </c>
      <c r="AC586" s="310" t="e">
        <f t="shared" ca="1" si="286"/>
        <v>#N/A</v>
      </c>
      <c r="AD586" s="323" t="e">
        <f t="shared" ca="1" si="287"/>
        <v>#N/A</v>
      </c>
      <c r="AE586" s="324" t="e">
        <f t="shared" ca="1" si="266"/>
        <v>#N/A</v>
      </c>
      <c r="AG586" s="306">
        <f t="shared" ca="1" si="288"/>
        <v>1.274306290357643</v>
      </c>
      <c r="AH586" s="304">
        <f t="shared" ca="1" si="289"/>
        <v>-8.4992620539041113</v>
      </c>
    </row>
    <row r="587" spans="1:34" x14ac:dyDescent="0.2">
      <c r="A587" s="347">
        <f t="shared" ca="1" si="267"/>
        <v>1E-4</v>
      </c>
      <c r="B587" s="304">
        <f t="shared" ca="1" si="268"/>
        <v>29.220100000000102</v>
      </c>
      <c r="D587" s="306">
        <f t="shared" ca="1" si="269"/>
        <v>-0.73180456845639796</v>
      </c>
      <c r="E587" s="307">
        <f t="shared" ca="1" si="270"/>
        <v>-1.3422721223938865</v>
      </c>
      <c r="F587" s="304">
        <f t="shared" ca="1" si="271"/>
        <v>1.5288009605470045</v>
      </c>
      <c r="G587" s="306">
        <f t="shared" ca="1" si="272"/>
        <v>9.2256176081374974</v>
      </c>
      <c r="H587" s="307">
        <f t="shared" ca="1" si="273"/>
        <v>-106.75081938012792</v>
      </c>
      <c r="I587" s="304">
        <f t="shared" ca="1" si="274"/>
        <v>107.14872588407326</v>
      </c>
      <c r="J587" s="306">
        <f t="shared" ca="1" si="275"/>
        <v>746.86410190403069</v>
      </c>
      <c r="K587" s="307">
        <f t="shared" ca="1" si="276"/>
        <v>-4.3927164010937734</v>
      </c>
      <c r="L587" s="304">
        <f t="shared" ca="1" si="261"/>
        <v>746.87701977654581</v>
      </c>
      <c r="M587" s="306">
        <f t="shared" ca="1" si="277"/>
        <v>-1.484588538709519</v>
      </c>
      <c r="N587" s="304">
        <f t="shared" ca="1" si="278"/>
        <v>-85.060657581549677</v>
      </c>
      <c r="P587" s="310">
        <f t="shared" ca="1" si="279"/>
        <v>23</v>
      </c>
      <c r="Q587" s="304">
        <f t="shared" ca="1" si="280"/>
        <v>0</v>
      </c>
      <c r="R587" s="306">
        <f t="shared" ca="1" si="281"/>
        <v>0</v>
      </c>
      <c r="S587" s="307">
        <f t="shared" ca="1" si="282"/>
        <v>5.083000000000002</v>
      </c>
      <c r="T587" s="304">
        <f t="shared" ca="1" si="262"/>
        <v>49.86423000000002</v>
      </c>
      <c r="U587" s="311">
        <f t="shared" ca="1" si="263"/>
        <v>0</v>
      </c>
      <c r="V587" s="306">
        <f t="shared" ca="1" si="264"/>
        <v>1.2255382259728369</v>
      </c>
      <c r="W587" s="304">
        <f t="shared" ca="1" si="265"/>
        <v>43.202046772523367</v>
      </c>
      <c r="Y587" s="314" t="str">
        <f t="shared" ca="1" si="283"/>
        <v/>
      </c>
      <c r="Z587" s="315" t="str">
        <f t="shared" ca="1" si="284"/>
        <v/>
      </c>
      <c r="AA587" s="316" t="str">
        <f t="shared" ca="1" si="285"/>
        <v/>
      </c>
      <c r="AC587" s="310" t="e">
        <f t="shared" ca="1" si="286"/>
        <v>#N/A</v>
      </c>
      <c r="AD587" s="323" t="e">
        <f t="shared" ca="1" si="287"/>
        <v>#N/A</v>
      </c>
      <c r="AE587" s="324" t="e">
        <f t="shared" ca="1" si="266"/>
        <v>#N/A</v>
      </c>
      <c r="AG587" s="306">
        <f t="shared" ca="1" si="288"/>
        <v>1.274277666979156</v>
      </c>
      <c r="AH587" s="304">
        <f t="shared" ca="1" si="289"/>
        <v>-8.4992913431415786</v>
      </c>
    </row>
    <row r="588" spans="1:34" x14ac:dyDescent="0.2">
      <c r="A588" s="347">
        <f t="shared" ca="1" si="267"/>
        <v>1E-4</v>
      </c>
      <c r="B588" s="304">
        <f t="shared" ca="1" si="268"/>
        <v>29.220200000000101</v>
      </c>
      <c r="D588" s="306">
        <f t="shared" ca="1" si="269"/>
        <v>-0.7318004151047296</v>
      </c>
      <c r="E588" s="307">
        <f t="shared" ca="1" si="270"/>
        <v>-1.3422423654063742</v>
      </c>
      <c r="F588" s="304">
        <f t="shared" ca="1" si="271"/>
        <v>1.528772846121736</v>
      </c>
      <c r="G588" s="306">
        <f t="shared" ca="1" si="272"/>
        <v>9.2255444280959864</v>
      </c>
      <c r="H588" s="307">
        <f t="shared" ca="1" si="273"/>
        <v>-106.75095360436447</v>
      </c>
      <c r="I588" s="304">
        <f t="shared" ca="1" si="274"/>
        <v>107.14885330901095</v>
      </c>
      <c r="J588" s="306">
        <f t="shared" ca="1" si="275"/>
        <v>746.86410190403069</v>
      </c>
      <c r="K588" s="307">
        <f t="shared" ca="1" si="276"/>
        <v>-4.4033914897429982</v>
      </c>
      <c r="L588" s="304">
        <f t="shared" ca="1" si="261"/>
        <v>746.87708263778336</v>
      </c>
      <c r="M588" s="306">
        <f t="shared" ca="1" si="277"/>
        <v>-1.4845893270065995</v>
      </c>
      <c r="N588" s="304">
        <f t="shared" ca="1" si="278"/>
        <v>-85.060702747645394</v>
      </c>
      <c r="P588" s="310">
        <f t="shared" ca="1" si="279"/>
        <v>23</v>
      </c>
      <c r="Q588" s="304">
        <f t="shared" ca="1" si="280"/>
        <v>0</v>
      </c>
      <c r="R588" s="306">
        <f t="shared" ca="1" si="281"/>
        <v>0</v>
      </c>
      <c r="S588" s="307">
        <f t="shared" ca="1" si="282"/>
        <v>5.083000000000002</v>
      </c>
      <c r="T588" s="304">
        <f t="shared" ca="1" si="262"/>
        <v>49.86423000000002</v>
      </c>
      <c r="U588" s="311">
        <f t="shared" ca="1" si="263"/>
        <v>0</v>
      </c>
      <c r="V588" s="306">
        <f t="shared" ca="1" si="264"/>
        <v>1.2255395342465194</v>
      </c>
      <c r="W588" s="304">
        <f t="shared" ca="1" si="265"/>
        <v>43.202195645998749</v>
      </c>
      <c r="Y588" s="314" t="str">
        <f t="shared" ca="1" si="283"/>
        <v/>
      </c>
      <c r="Z588" s="315" t="str">
        <f t="shared" ca="1" si="284"/>
        <v/>
      </c>
      <c r="AA588" s="316" t="str">
        <f t="shared" ca="1" si="285"/>
        <v/>
      </c>
      <c r="AC588" s="310" t="e">
        <f t="shared" ca="1" si="286"/>
        <v>#N/A</v>
      </c>
      <c r="AD588" s="323" t="e">
        <f t="shared" ca="1" si="287"/>
        <v>#N/A</v>
      </c>
      <c r="AE588" s="324" t="e">
        <f t="shared" ca="1" si="266"/>
        <v>#N/A</v>
      </c>
      <c r="AG588" s="306">
        <f t="shared" ca="1" si="288"/>
        <v>1.2742490439535263</v>
      </c>
      <c r="AH588" s="304">
        <f t="shared" ca="1" si="289"/>
        <v>-8.4993206320132497</v>
      </c>
    </row>
    <row r="589" spans="1:34" x14ac:dyDescent="0.2">
      <c r="A589" s="347">
        <f t="shared" ca="1" si="267"/>
        <v>1E-4</v>
      </c>
      <c r="B589" s="304">
        <f t="shared" ca="1" si="268"/>
        <v>29.220300000000101</v>
      </c>
      <c r="D589" s="306">
        <f t="shared" ca="1" si="269"/>
        <v>-0.73179626174393364</v>
      </c>
      <c r="E589" s="307">
        <f t="shared" ca="1" si="270"/>
        <v>-1.3422126087905273</v>
      </c>
      <c r="F589" s="304">
        <f t="shared" ca="1" si="271"/>
        <v>1.5287447320918783</v>
      </c>
      <c r="G589" s="306">
        <f t="shared" ca="1" si="272"/>
        <v>9.2254712484698125</v>
      </c>
      <c r="H589" s="307">
        <f t="shared" ca="1" si="273"/>
        <v>-106.75108782562535</v>
      </c>
      <c r="I589" s="304">
        <f t="shared" ca="1" si="274"/>
        <v>107.14898073108637</v>
      </c>
      <c r="J589" s="306">
        <f t="shared" ca="1" si="275"/>
        <v>746.86410190403069</v>
      </c>
      <c r="K589" s="307">
        <f t="shared" ca="1" si="276"/>
        <v>-4.4140665918144979</v>
      </c>
      <c r="L589" s="304">
        <f t="shared" ca="1" si="261"/>
        <v>746.87714565167369</v>
      </c>
      <c r="M589" s="306">
        <f t="shared" ca="1" si="277"/>
        <v>-1.4845901152955523</v>
      </c>
      <c r="N589" s="304">
        <f t="shared" ca="1" si="278"/>
        <v>-85.060747913275435</v>
      </c>
      <c r="P589" s="310">
        <f t="shared" ca="1" si="279"/>
        <v>23</v>
      </c>
      <c r="Q589" s="304">
        <f t="shared" ca="1" si="280"/>
        <v>0</v>
      </c>
      <c r="R589" s="306">
        <f t="shared" ca="1" si="281"/>
        <v>0</v>
      </c>
      <c r="S589" s="307">
        <f t="shared" ca="1" si="282"/>
        <v>5.083000000000002</v>
      </c>
      <c r="T589" s="304">
        <f t="shared" ca="1" si="262"/>
        <v>49.86423000000002</v>
      </c>
      <c r="U589" s="311">
        <f t="shared" ca="1" si="263"/>
        <v>0</v>
      </c>
      <c r="V589" s="306">
        <f t="shared" ca="1" si="264"/>
        <v>1.2255408425232428</v>
      </c>
      <c r="W589" s="304">
        <f t="shared" ca="1" si="265"/>
        <v>43.202344517614797</v>
      </c>
      <c r="Y589" s="314" t="str">
        <f t="shared" ca="1" si="283"/>
        <v/>
      </c>
      <c r="Z589" s="315" t="str">
        <f t="shared" ca="1" si="284"/>
        <v/>
      </c>
      <c r="AA589" s="316" t="str">
        <f t="shared" ca="1" si="285"/>
        <v/>
      </c>
      <c r="AC589" s="310" t="e">
        <f t="shared" ca="1" si="286"/>
        <v>#N/A</v>
      </c>
      <c r="AD589" s="323" t="e">
        <f t="shared" ca="1" si="287"/>
        <v>#N/A</v>
      </c>
      <c r="AE589" s="324" t="e">
        <f t="shared" ca="1" si="266"/>
        <v>#N/A</v>
      </c>
      <c r="AG589" s="306">
        <f t="shared" ca="1" si="288"/>
        <v>1.2742204212807504</v>
      </c>
      <c r="AH589" s="304">
        <f t="shared" ca="1" si="289"/>
        <v>-8.4993499205191299</v>
      </c>
    </row>
    <row r="590" spans="1:34" x14ac:dyDescent="0.2">
      <c r="A590" s="347">
        <f t="shared" ca="1" si="267"/>
        <v>1E-4</v>
      </c>
      <c r="B590" s="304">
        <f t="shared" ca="1" si="268"/>
        <v>29.220400000000101</v>
      </c>
      <c r="D590" s="306">
        <f t="shared" ca="1" si="269"/>
        <v>-0.73179210837400754</v>
      </c>
      <c r="E590" s="307">
        <f t="shared" ca="1" si="270"/>
        <v>-1.3421828525463528</v>
      </c>
      <c r="F590" s="304">
        <f t="shared" ca="1" si="271"/>
        <v>1.5287166184574368</v>
      </c>
      <c r="G590" s="306">
        <f t="shared" ca="1" si="272"/>
        <v>9.2253980692589757</v>
      </c>
      <c r="H590" s="307">
        <f t="shared" ca="1" si="273"/>
        <v>-106.7512220439106</v>
      </c>
      <c r="I590" s="304">
        <f t="shared" ca="1" si="274"/>
        <v>107.14910815029957</v>
      </c>
      <c r="J590" s="306">
        <f t="shared" ca="1" si="275"/>
        <v>746.86410190403069</v>
      </c>
      <c r="K590" s="307">
        <f t="shared" ca="1" si="276"/>
        <v>-4.4247417073079749</v>
      </c>
      <c r="L590" s="304">
        <f t="shared" ca="1" si="261"/>
        <v>746.87720881821713</v>
      </c>
      <c r="M590" s="306">
        <f t="shared" ca="1" si="277"/>
        <v>-1.4845909035763771</v>
      </c>
      <c r="N590" s="304">
        <f t="shared" ca="1" si="278"/>
        <v>-85.060793078439758</v>
      </c>
      <c r="P590" s="310">
        <f t="shared" ca="1" si="279"/>
        <v>23</v>
      </c>
      <c r="Q590" s="304">
        <f t="shared" ca="1" si="280"/>
        <v>0</v>
      </c>
      <c r="R590" s="306">
        <f t="shared" ca="1" si="281"/>
        <v>0</v>
      </c>
      <c r="S590" s="307">
        <f t="shared" ca="1" si="282"/>
        <v>5.083000000000002</v>
      </c>
      <c r="T590" s="304">
        <f t="shared" ca="1" si="262"/>
        <v>49.86423000000002</v>
      </c>
      <c r="U590" s="311">
        <f t="shared" ca="1" si="263"/>
        <v>0</v>
      </c>
      <c r="V590" s="306">
        <f t="shared" ca="1" si="264"/>
        <v>1.2255421508030089</v>
      </c>
      <c r="W590" s="304">
        <f t="shared" ca="1" si="265"/>
        <v>43.202493387371575</v>
      </c>
      <c r="Y590" s="314" t="str">
        <f t="shared" ca="1" si="283"/>
        <v/>
      </c>
      <c r="Z590" s="315" t="str">
        <f t="shared" ca="1" si="284"/>
        <v/>
      </c>
      <c r="AA590" s="316" t="str">
        <f t="shared" ca="1" si="285"/>
        <v/>
      </c>
      <c r="AC590" s="310" t="e">
        <f t="shared" ca="1" si="286"/>
        <v>#N/A</v>
      </c>
      <c r="AD590" s="323" t="e">
        <f t="shared" ca="1" si="287"/>
        <v>#N/A</v>
      </c>
      <c r="AE590" s="324" t="e">
        <f t="shared" ca="1" si="266"/>
        <v>#N/A</v>
      </c>
      <c r="AG590" s="306">
        <f t="shared" ca="1" si="288"/>
        <v>1.27419179896083</v>
      </c>
      <c r="AH590" s="304">
        <f t="shared" ca="1" si="289"/>
        <v>-8.4993792086592137</v>
      </c>
    </row>
    <row r="591" spans="1:34" x14ac:dyDescent="0.2">
      <c r="A591" s="347">
        <f t="shared" ca="1" si="267"/>
        <v>1E-4</v>
      </c>
      <c r="B591" s="304">
        <f t="shared" ca="1" si="268"/>
        <v>29.220500000000101</v>
      </c>
      <c r="D591" s="306">
        <f t="shared" ca="1" si="269"/>
        <v>-0.73178795499495586</v>
      </c>
      <c r="E591" s="307">
        <f t="shared" ca="1" si="270"/>
        <v>-1.3421530966738349</v>
      </c>
      <c r="F591" s="304">
        <f t="shared" ca="1" si="271"/>
        <v>1.5286885052183992</v>
      </c>
      <c r="G591" s="306">
        <f t="shared" ca="1" si="272"/>
        <v>9.2253248904634759</v>
      </c>
      <c r="H591" s="307">
        <f t="shared" ca="1" si="273"/>
        <v>-106.75135625922027</v>
      </c>
      <c r="I591" s="304">
        <f t="shared" ca="1" si="274"/>
        <v>107.14923556665056</v>
      </c>
      <c r="J591" s="306">
        <f t="shared" ca="1" si="275"/>
        <v>746.86410190403069</v>
      </c>
      <c r="K591" s="307">
        <f t="shared" ca="1" si="276"/>
        <v>-4.4354168362231317</v>
      </c>
      <c r="L591" s="304">
        <f t="shared" ca="1" si="261"/>
        <v>746.87727213741437</v>
      </c>
      <c r="M591" s="306">
        <f t="shared" ca="1" si="277"/>
        <v>-1.4845916918490745</v>
      </c>
      <c r="N591" s="304">
        <f t="shared" ca="1" si="278"/>
        <v>-85.06083824313842</v>
      </c>
      <c r="P591" s="310">
        <f t="shared" ca="1" si="279"/>
        <v>23</v>
      </c>
      <c r="Q591" s="304">
        <f t="shared" ca="1" si="280"/>
        <v>0</v>
      </c>
      <c r="R591" s="306">
        <f t="shared" ca="1" si="281"/>
        <v>0</v>
      </c>
      <c r="S591" s="307">
        <f t="shared" ca="1" si="282"/>
        <v>5.083000000000002</v>
      </c>
      <c r="T591" s="304">
        <f t="shared" ca="1" si="262"/>
        <v>49.86423000000002</v>
      </c>
      <c r="U591" s="311">
        <f t="shared" ca="1" si="263"/>
        <v>0</v>
      </c>
      <c r="V591" s="306">
        <f t="shared" ca="1" si="264"/>
        <v>1.2255434590858163</v>
      </c>
      <c r="W591" s="304">
        <f t="shared" ca="1" si="265"/>
        <v>43.202642255269048</v>
      </c>
      <c r="Y591" s="314" t="str">
        <f t="shared" ca="1" si="283"/>
        <v/>
      </c>
      <c r="Z591" s="315" t="str">
        <f t="shared" ca="1" si="284"/>
        <v/>
      </c>
      <c r="AA591" s="316" t="str">
        <f t="shared" ca="1" si="285"/>
        <v/>
      </c>
      <c r="AC591" s="310" t="e">
        <f t="shared" ca="1" si="286"/>
        <v>#N/A</v>
      </c>
      <c r="AD591" s="323" t="e">
        <f t="shared" ca="1" si="287"/>
        <v>#N/A</v>
      </c>
      <c r="AE591" s="324" t="e">
        <f t="shared" ca="1" si="266"/>
        <v>#N/A</v>
      </c>
      <c r="AG591" s="306">
        <f t="shared" ca="1" si="288"/>
        <v>1.2741631769937563</v>
      </c>
      <c r="AH591" s="304">
        <f t="shared" ca="1" si="289"/>
        <v>-8.4994084964335155</v>
      </c>
    </row>
    <row r="592" spans="1:34" x14ac:dyDescent="0.2">
      <c r="A592" s="347">
        <f t="shared" ca="1" si="267"/>
        <v>1E-4</v>
      </c>
      <c r="B592" s="304">
        <f t="shared" ca="1" si="268"/>
        <v>29.2206000000001</v>
      </c>
      <c r="D592" s="306">
        <f t="shared" ca="1" si="269"/>
        <v>-0.73178380160677603</v>
      </c>
      <c r="E592" s="307">
        <f t="shared" ca="1" si="270"/>
        <v>-1.3421233411729823</v>
      </c>
      <c r="F592" s="304">
        <f t="shared" ca="1" si="271"/>
        <v>1.528660392374773</v>
      </c>
      <c r="G592" s="306">
        <f t="shared" ca="1" si="272"/>
        <v>9.2252517120833151</v>
      </c>
      <c r="H592" s="307">
        <f t="shared" ca="1" si="273"/>
        <v>-106.75149047155439</v>
      </c>
      <c r="I592" s="304">
        <f t="shared" ca="1" si="274"/>
        <v>107.14936298013939</v>
      </c>
      <c r="J592" s="306">
        <f t="shared" ca="1" si="275"/>
        <v>746.86410190403069</v>
      </c>
      <c r="K592" s="307">
        <f t="shared" ca="1" si="276"/>
        <v>-4.4460919785596706</v>
      </c>
      <c r="L592" s="304">
        <f t="shared" ca="1" si="261"/>
        <v>746.87733560926597</v>
      </c>
      <c r="M592" s="306">
        <f t="shared" ca="1" si="277"/>
        <v>-1.4845924801136441</v>
      </c>
      <c r="N592" s="304">
        <f t="shared" ca="1" si="278"/>
        <v>-85.060883407371406</v>
      </c>
      <c r="P592" s="310">
        <f t="shared" ca="1" si="279"/>
        <v>23</v>
      </c>
      <c r="Q592" s="304">
        <f t="shared" ca="1" si="280"/>
        <v>0</v>
      </c>
      <c r="R592" s="306">
        <f t="shared" ca="1" si="281"/>
        <v>0</v>
      </c>
      <c r="S592" s="307">
        <f t="shared" ca="1" si="282"/>
        <v>5.083000000000002</v>
      </c>
      <c r="T592" s="304">
        <f t="shared" ca="1" si="262"/>
        <v>49.86423000000002</v>
      </c>
      <c r="U592" s="311">
        <f t="shared" ca="1" si="263"/>
        <v>0</v>
      </c>
      <c r="V592" s="306">
        <f t="shared" ca="1" si="264"/>
        <v>1.2255447673716657</v>
      </c>
      <c r="W592" s="304">
        <f t="shared" ca="1" si="265"/>
        <v>43.202791121307243</v>
      </c>
      <c r="Y592" s="314" t="str">
        <f t="shared" ca="1" si="283"/>
        <v/>
      </c>
      <c r="Z592" s="315" t="str">
        <f t="shared" ca="1" si="284"/>
        <v/>
      </c>
      <c r="AA592" s="316" t="str">
        <f t="shared" ca="1" si="285"/>
        <v/>
      </c>
      <c r="AC592" s="310" t="e">
        <f t="shared" ca="1" si="286"/>
        <v>#N/A</v>
      </c>
      <c r="AD592" s="323" t="e">
        <f t="shared" ca="1" si="287"/>
        <v>#N/A</v>
      </c>
      <c r="AE592" s="324" t="e">
        <f t="shared" ca="1" si="266"/>
        <v>#N/A</v>
      </c>
      <c r="AG592" s="306">
        <f t="shared" ca="1" si="288"/>
        <v>1.2741345553795327</v>
      </c>
      <c r="AH592" s="304">
        <f t="shared" ca="1" si="289"/>
        <v>-8.4994377838420281</v>
      </c>
    </row>
    <row r="593" spans="1:34" x14ac:dyDescent="0.2">
      <c r="A593" s="347">
        <f t="shared" ca="1" si="267"/>
        <v>1E-4</v>
      </c>
      <c r="B593" s="304">
        <f t="shared" ca="1" si="268"/>
        <v>29.2207000000001</v>
      </c>
      <c r="D593" s="306">
        <f t="shared" ca="1" si="269"/>
        <v>-0.73177964820947194</v>
      </c>
      <c r="E593" s="307">
        <f t="shared" ca="1" si="270"/>
        <v>-1.3420935860437879</v>
      </c>
      <c r="F593" s="304">
        <f t="shared" ca="1" si="271"/>
        <v>1.5286322799265533</v>
      </c>
      <c r="G593" s="306">
        <f t="shared" ca="1" si="272"/>
        <v>9.2251785341184949</v>
      </c>
      <c r="H593" s="307">
        <f t="shared" ca="1" si="273"/>
        <v>-106.751624680913</v>
      </c>
      <c r="I593" s="304">
        <f t="shared" ca="1" si="274"/>
        <v>107.14949039076608</v>
      </c>
      <c r="J593" s="306">
        <f t="shared" ca="1" si="275"/>
        <v>746.86410190403069</v>
      </c>
      <c r="K593" s="307">
        <f t="shared" ca="1" si="276"/>
        <v>-4.4567671343172943</v>
      </c>
      <c r="L593" s="304">
        <f t="shared" ca="1" si="261"/>
        <v>746.87739923377239</v>
      </c>
      <c r="M593" s="306">
        <f t="shared" ca="1" si="277"/>
        <v>-1.4845932683700864</v>
      </c>
      <c r="N593" s="304">
        <f t="shared" ca="1" si="278"/>
        <v>-85.060928571138732</v>
      </c>
      <c r="P593" s="310">
        <f t="shared" ca="1" si="279"/>
        <v>23</v>
      </c>
      <c r="Q593" s="304">
        <f t="shared" ca="1" si="280"/>
        <v>0</v>
      </c>
      <c r="R593" s="306">
        <f t="shared" ca="1" si="281"/>
        <v>0</v>
      </c>
      <c r="S593" s="307">
        <f t="shared" ca="1" si="282"/>
        <v>5.083000000000002</v>
      </c>
      <c r="T593" s="304">
        <f t="shared" ca="1" si="262"/>
        <v>49.86423000000002</v>
      </c>
      <c r="U593" s="311">
        <f t="shared" ca="1" si="263"/>
        <v>0</v>
      </c>
      <c r="V593" s="306">
        <f t="shared" ca="1" si="264"/>
        <v>1.225546075660557</v>
      </c>
      <c r="W593" s="304">
        <f t="shared" ca="1" si="265"/>
        <v>43.202939985486175</v>
      </c>
      <c r="Y593" s="314" t="str">
        <f t="shared" ca="1" si="283"/>
        <v/>
      </c>
      <c r="Z593" s="315" t="str">
        <f t="shared" ca="1" si="284"/>
        <v/>
      </c>
      <c r="AA593" s="316" t="str">
        <f t="shared" ca="1" si="285"/>
        <v/>
      </c>
      <c r="AC593" s="310" t="e">
        <f t="shared" ca="1" si="286"/>
        <v>#N/A</v>
      </c>
      <c r="AD593" s="323" t="e">
        <f t="shared" ca="1" si="287"/>
        <v>#N/A</v>
      </c>
      <c r="AE593" s="324" t="e">
        <f t="shared" ca="1" si="266"/>
        <v>#N/A</v>
      </c>
      <c r="AG593" s="306">
        <f t="shared" ca="1" si="288"/>
        <v>1.274105934118154</v>
      </c>
      <c r="AH593" s="304">
        <f t="shared" ca="1" si="289"/>
        <v>-8.4994670708847586</v>
      </c>
    </row>
    <row r="594" spans="1:34" x14ac:dyDescent="0.2">
      <c r="A594" s="347">
        <f t="shared" ca="1" si="267"/>
        <v>1E-4</v>
      </c>
      <c r="B594" s="304">
        <f t="shared" ca="1" si="268"/>
        <v>29.2208000000001</v>
      </c>
      <c r="D594" s="306">
        <f t="shared" ca="1" si="269"/>
        <v>-0.73177549480304149</v>
      </c>
      <c r="E594" s="307">
        <f t="shared" ca="1" si="270"/>
        <v>-1.3420638312862518</v>
      </c>
      <c r="F594" s="304">
        <f t="shared" ca="1" si="271"/>
        <v>1.5286041678737401</v>
      </c>
      <c r="G594" s="306">
        <f t="shared" ca="1" si="272"/>
        <v>9.2251053565690153</v>
      </c>
      <c r="H594" s="307">
        <f t="shared" ca="1" si="273"/>
        <v>-106.75175888729612</v>
      </c>
      <c r="I594" s="304">
        <f t="shared" ca="1" si="274"/>
        <v>107.14961779853068</v>
      </c>
      <c r="J594" s="306">
        <f t="shared" ca="1" si="275"/>
        <v>746.86410190403069</v>
      </c>
      <c r="K594" s="307">
        <f t="shared" ca="1" si="276"/>
        <v>-4.4674423034957051</v>
      </c>
      <c r="L594" s="304">
        <f t="shared" ca="1" si="261"/>
        <v>746.87746301093421</v>
      </c>
      <c r="M594" s="306">
        <f t="shared" ca="1" si="277"/>
        <v>-1.4845940566184015</v>
      </c>
      <c r="N594" s="304">
        <f t="shared" ca="1" si="278"/>
        <v>-85.060973734440381</v>
      </c>
      <c r="P594" s="310">
        <f t="shared" ca="1" si="279"/>
        <v>23</v>
      </c>
      <c r="Q594" s="304">
        <f t="shared" ca="1" si="280"/>
        <v>0</v>
      </c>
      <c r="R594" s="306">
        <f t="shared" ca="1" si="281"/>
        <v>0</v>
      </c>
      <c r="S594" s="307">
        <f t="shared" ca="1" si="282"/>
        <v>5.083000000000002</v>
      </c>
      <c r="T594" s="304">
        <f t="shared" ca="1" si="262"/>
        <v>49.86423000000002</v>
      </c>
      <c r="U594" s="311">
        <f t="shared" ca="1" si="263"/>
        <v>0</v>
      </c>
      <c r="V594" s="306">
        <f t="shared" ca="1" si="264"/>
        <v>1.2255473839524897</v>
      </c>
      <c r="W594" s="304">
        <f t="shared" ca="1" si="265"/>
        <v>43.203088847805866</v>
      </c>
      <c r="Y594" s="314" t="str">
        <f t="shared" ca="1" si="283"/>
        <v/>
      </c>
      <c r="Z594" s="315" t="str">
        <f t="shared" ca="1" si="284"/>
        <v/>
      </c>
      <c r="AA594" s="316" t="str">
        <f t="shared" ca="1" si="285"/>
        <v/>
      </c>
      <c r="AC594" s="310" t="e">
        <f t="shared" ca="1" si="286"/>
        <v>#N/A</v>
      </c>
      <c r="AD594" s="323" t="e">
        <f t="shared" ca="1" si="287"/>
        <v>#N/A</v>
      </c>
      <c r="AE594" s="324" t="e">
        <f t="shared" ca="1" si="266"/>
        <v>#N/A</v>
      </c>
      <c r="AG594" s="306">
        <f t="shared" ca="1" si="288"/>
        <v>1.2740773132096184</v>
      </c>
      <c r="AH594" s="304">
        <f t="shared" ca="1" si="289"/>
        <v>-8.4994963575617071</v>
      </c>
    </row>
    <row r="595" spans="1:34" x14ac:dyDescent="0.2">
      <c r="A595" s="347">
        <f t="shared" ca="1" si="267"/>
        <v>1E-4</v>
      </c>
      <c r="B595" s="304">
        <f t="shared" ca="1" si="268"/>
        <v>29.2209000000001</v>
      </c>
      <c r="D595" s="306">
        <f t="shared" ca="1" si="269"/>
        <v>-0.7317713413874869</v>
      </c>
      <c r="E595" s="307">
        <f t="shared" ca="1" si="270"/>
        <v>-1.3420340769003651</v>
      </c>
      <c r="F595" s="304">
        <f t="shared" ca="1" si="271"/>
        <v>1.5285760562163262</v>
      </c>
      <c r="G595" s="306">
        <f t="shared" ca="1" si="272"/>
        <v>9.2250321794348764</v>
      </c>
      <c r="H595" s="307">
        <f t="shared" ca="1" si="273"/>
        <v>-106.75189309070382</v>
      </c>
      <c r="I595" s="304">
        <f t="shared" ca="1" si="274"/>
        <v>107.14974520343324</v>
      </c>
      <c r="J595" s="306">
        <f t="shared" ca="1" si="275"/>
        <v>746.86410190403069</v>
      </c>
      <c r="K595" s="307">
        <f t="shared" ca="1" si="276"/>
        <v>-4.4781174860946056</v>
      </c>
      <c r="L595" s="304">
        <f t="shared" ca="1" si="261"/>
        <v>746.87752694075186</v>
      </c>
      <c r="M595" s="306">
        <f t="shared" ca="1" si="277"/>
        <v>-1.4845948448585893</v>
      </c>
      <c r="N595" s="304">
        <f t="shared" ca="1" si="278"/>
        <v>-85.061018897276384</v>
      </c>
      <c r="P595" s="310">
        <f t="shared" ca="1" si="279"/>
        <v>23</v>
      </c>
      <c r="Q595" s="304">
        <f t="shared" ca="1" si="280"/>
        <v>0</v>
      </c>
      <c r="R595" s="306">
        <f t="shared" ca="1" si="281"/>
        <v>0</v>
      </c>
      <c r="S595" s="307">
        <f t="shared" ca="1" si="282"/>
        <v>5.083000000000002</v>
      </c>
      <c r="T595" s="304">
        <f t="shared" ca="1" si="262"/>
        <v>49.86423000000002</v>
      </c>
      <c r="U595" s="311">
        <f t="shared" ca="1" si="263"/>
        <v>0</v>
      </c>
      <c r="V595" s="306">
        <f t="shared" ca="1" si="264"/>
        <v>1.2255486922474641</v>
      </c>
      <c r="W595" s="304">
        <f t="shared" ca="1" si="265"/>
        <v>43.203237708266322</v>
      </c>
      <c r="Y595" s="314" t="str">
        <f t="shared" ca="1" si="283"/>
        <v/>
      </c>
      <c r="Z595" s="315" t="str">
        <f t="shared" ca="1" si="284"/>
        <v/>
      </c>
      <c r="AA595" s="316" t="str">
        <f t="shared" ca="1" si="285"/>
        <v/>
      </c>
      <c r="AC595" s="310" t="e">
        <f t="shared" ca="1" si="286"/>
        <v>#N/A</v>
      </c>
      <c r="AD595" s="323" t="e">
        <f t="shared" ca="1" si="287"/>
        <v>#N/A</v>
      </c>
      <c r="AE595" s="324" t="e">
        <f t="shared" ca="1" si="266"/>
        <v>#N/A</v>
      </c>
      <c r="AG595" s="306">
        <f t="shared" ca="1" si="288"/>
        <v>1.2740486926539205</v>
      </c>
      <c r="AH595" s="304">
        <f t="shared" ca="1" si="289"/>
        <v>-8.4995256438728806</v>
      </c>
    </row>
    <row r="596" spans="1:34" x14ac:dyDescent="0.2">
      <c r="A596" s="347">
        <f t="shared" ca="1" si="267"/>
        <v>1E-4</v>
      </c>
      <c r="B596" s="304">
        <f t="shared" ca="1" si="268"/>
        <v>29.2210000000001</v>
      </c>
      <c r="D596" s="306">
        <f t="shared" ca="1" si="269"/>
        <v>-0.7317671879628096</v>
      </c>
      <c r="E596" s="307">
        <f t="shared" ca="1" si="270"/>
        <v>-1.3420043228861314</v>
      </c>
      <c r="F596" s="304">
        <f t="shared" ca="1" si="271"/>
        <v>1.5285479449543158</v>
      </c>
      <c r="G596" s="306">
        <f t="shared" ca="1" si="272"/>
        <v>9.2249590027160799</v>
      </c>
      <c r="H596" s="307">
        <f t="shared" ca="1" si="273"/>
        <v>-106.7520272911361</v>
      </c>
      <c r="I596" s="304">
        <f t="shared" ca="1" si="274"/>
        <v>107.14987260547377</v>
      </c>
      <c r="J596" s="306">
        <f t="shared" ca="1" si="275"/>
        <v>746.86410190403069</v>
      </c>
      <c r="K596" s="307">
        <f t="shared" ca="1" si="276"/>
        <v>-4.4887926821136972</v>
      </c>
      <c r="L596" s="304">
        <f t="shared" ca="1" si="261"/>
        <v>746.87759102322605</v>
      </c>
      <c r="M596" s="306">
        <f t="shared" ca="1" si="277"/>
        <v>-1.48459563309065</v>
      </c>
      <c r="N596" s="304">
        <f t="shared" ca="1" si="278"/>
        <v>-85.061064059646739</v>
      </c>
      <c r="P596" s="310">
        <f t="shared" ca="1" si="279"/>
        <v>23</v>
      </c>
      <c r="Q596" s="304">
        <f t="shared" ca="1" si="280"/>
        <v>0</v>
      </c>
      <c r="R596" s="306">
        <f t="shared" ca="1" si="281"/>
        <v>0</v>
      </c>
      <c r="S596" s="307">
        <f t="shared" ca="1" si="282"/>
        <v>5.083000000000002</v>
      </c>
      <c r="T596" s="304">
        <f t="shared" ca="1" si="262"/>
        <v>49.86423000000002</v>
      </c>
      <c r="U596" s="311">
        <f t="shared" ca="1" si="263"/>
        <v>0</v>
      </c>
      <c r="V596" s="306">
        <f t="shared" ca="1" si="264"/>
        <v>1.2255500005454802</v>
      </c>
      <c r="W596" s="304">
        <f t="shared" ca="1" si="265"/>
        <v>43.203386566867557</v>
      </c>
      <c r="Y596" s="314" t="str">
        <f t="shared" ca="1" si="283"/>
        <v/>
      </c>
      <c r="Z596" s="315" t="str">
        <f t="shared" ca="1" si="284"/>
        <v/>
      </c>
      <c r="AA596" s="316" t="str">
        <f t="shared" ca="1" si="285"/>
        <v/>
      </c>
      <c r="AC596" s="310" t="e">
        <f t="shared" ca="1" si="286"/>
        <v>#N/A</v>
      </c>
      <c r="AD596" s="323" t="e">
        <f t="shared" ca="1" si="287"/>
        <v>#N/A</v>
      </c>
      <c r="AE596" s="324" t="e">
        <f t="shared" ca="1" si="266"/>
        <v>#N/A</v>
      </c>
      <c r="AG596" s="306">
        <f t="shared" ca="1" si="288"/>
        <v>1.274020072451064</v>
      </c>
      <c r="AH596" s="304">
        <f t="shared" ca="1" si="289"/>
        <v>-8.4995549298182773</v>
      </c>
    </row>
    <row r="597" spans="1:34" x14ac:dyDescent="0.2">
      <c r="A597" s="347">
        <f t="shared" ca="1" si="267"/>
        <v>1E-4</v>
      </c>
      <c r="B597" s="304">
        <f t="shared" ca="1" si="268"/>
        <v>29.221100000000099</v>
      </c>
      <c r="D597" s="306">
        <f t="shared" ca="1" si="269"/>
        <v>-0.7317630345290097</v>
      </c>
      <c r="E597" s="307">
        <f t="shared" ca="1" si="270"/>
        <v>-1.3419745692435434</v>
      </c>
      <c r="F597" s="304">
        <f t="shared" ca="1" si="271"/>
        <v>1.5285198340877029</v>
      </c>
      <c r="G597" s="306">
        <f t="shared" ca="1" si="272"/>
        <v>9.2248858264126277</v>
      </c>
      <c r="H597" s="307">
        <f t="shared" ca="1" si="273"/>
        <v>-106.75216148859303</v>
      </c>
      <c r="I597" s="304">
        <f t="shared" ca="1" si="274"/>
        <v>107.15000000465233</v>
      </c>
      <c r="J597" s="306">
        <f t="shared" ca="1" si="275"/>
        <v>746.86410190403069</v>
      </c>
      <c r="K597" s="307">
        <f t="shared" ca="1" si="276"/>
        <v>-4.4994678915526833</v>
      </c>
      <c r="L597" s="304">
        <f t="shared" ca="1" si="261"/>
        <v>746.87765525835709</v>
      </c>
      <c r="M597" s="306">
        <f t="shared" ca="1" si="277"/>
        <v>-1.4845964213145837</v>
      </c>
      <c r="N597" s="304">
        <f t="shared" ca="1" si="278"/>
        <v>-85.061109221551462</v>
      </c>
      <c r="P597" s="310">
        <f t="shared" ca="1" si="279"/>
        <v>23</v>
      </c>
      <c r="Q597" s="304">
        <f t="shared" ca="1" si="280"/>
        <v>0</v>
      </c>
      <c r="R597" s="306">
        <f t="shared" ca="1" si="281"/>
        <v>0</v>
      </c>
      <c r="S597" s="307">
        <f t="shared" ca="1" si="282"/>
        <v>5.083000000000002</v>
      </c>
      <c r="T597" s="304">
        <f t="shared" ca="1" si="262"/>
        <v>49.86423000000002</v>
      </c>
      <c r="U597" s="311">
        <f t="shared" ca="1" si="263"/>
        <v>0</v>
      </c>
      <c r="V597" s="306">
        <f t="shared" ca="1" si="264"/>
        <v>1.2255513088465382</v>
      </c>
      <c r="W597" s="304">
        <f t="shared" ca="1" si="265"/>
        <v>43.203535423609587</v>
      </c>
      <c r="Y597" s="314" t="str">
        <f t="shared" ca="1" si="283"/>
        <v/>
      </c>
      <c r="Z597" s="315" t="str">
        <f t="shared" ca="1" si="284"/>
        <v/>
      </c>
      <c r="AA597" s="316" t="str">
        <f t="shared" ca="1" si="285"/>
        <v/>
      </c>
      <c r="AC597" s="310" t="e">
        <f t="shared" ca="1" si="286"/>
        <v>#N/A</v>
      </c>
      <c r="AD597" s="323" t="e">
        <f t="shared" ca="1" si="287"/>
        <v>#N/A</v>
      </c>
      <c r="AE597" s="324" t="e">
        <f t="shared" ca="1" si="266"/>
        <v>#N/A</v>
      </c>
      <c r="AG597" s="306">
        <f t="shared" ca="1" si="288"/>
        <v>1.2739914526010416</v>
      </c>
      <c r="AH597" s="304">
        <f t="shared" ca="1" si="289"/>
        <v>-8.4995842153979027</v>
      </c>
    </row>
    <row r="598" spans="1:34" x14ac:dyDescent="0.2">
      <c r="A598" s="347">
        <f t="shared" ca="1" si="267"/>
        <v>1E-4</v>
      </c>
      <c r="B598" s="304">
        <f t="shared" ca="1" si="268"/>
        <v>29.221200000000099</v>
      </c>
      <c r="D598" s="306">
        <f t="shared" ca="1" si="269"/>
        <v>-0.73175888108608889</v>
      </c>
      <c r="E598" s="307">
        <f t="shared" ca="1" si="270"/>
        <v>-1.3419448159726013</v>
      </c>
      <c r="F598" s="304">
        <f t="shared" ca="1" si="271"/>
        <v>1.5284917236164883</v>
      </c>
      <c r="G598" s="306">
        <f t="shared" ca="1" si="272"/>
        <v>9.2248126505245196</v>
      </c>
      <c r="H598" s="307">
        <f t="shared" ca="1" si="273"/>
        <v>-106.75229568307464</v>
      </c>
      <c r="I598" s="304">
        <f t="shared" ca="1" si="274"/>
        <v>107.15012740096894</v>
      </c>
      <c r="J598" s="306">
        <f t="shared" ca="1" si="275"/>
        <v>746.86410190403069</v>
      </c>
      <c r="K598" s="307">
        <f t="shared" ca="1" si="276"/>
        <v>-4.5101431144112665</v>
      </c>
      <c r="L598" s="304">
        <f t="shared" ca="1" si="261"/>
        <v>746.87771964614581</v>
      </c>
      <c r="M598" s="306">
        <f t="shared" ca="1" si="277"/>
        <v>-1.4845972095303905</v>
      </c>
      <c r="N598" s="304">
        <f t="shared" ca="1" si="278"/>
        <v>-85.061154382990537</v>
      </c>
      <c r="P598" s="310">
        <f t="shared" ca="1" si="279"/>
        <v>23</v>
      </c>
      <c r="Q598" s="304">
        <f t="shared" ca="1" si="280"/>
        <v>0</v>
      </c>
      <c r="R598" s="306">
        <f t="shared" ca="1" si="281"/>
        <v>0</v>
      </c>
      <c r="S598" s="307">
        <f t="shared" ca="1" si="282"/>
        <v>5.083000000000002</v>
      </c>
      <c r="T598" s="304">
        <f t="shared" ca="1" si="262"/>
        <v>49.86423000000002</v>
      </c>
      <c r="U598" s="311">
        <f t="shared" ca="1" si="263"/>
        <v>0</v>
      </c>
      <c r="V598" s="306">
        <f t="shared" ca="1" si="264"/>
        <v>1.2255526171506372</v>
      </c>
      <c r="W598" s="304">
        <f t="shared" ca="1" si="265"/>
        <v>43.203684278492425</v>
      </c>
      <c r="Y598" s="314" t="str">
        <f t="shared" ca="1" si="283"/>
        <v/>
      </c>
      <c r="Z598" s="315" t="str">
        <f t="shared" ca="1" si="284"/>
        <v/>
      </c>
      <c r="AA598" s="316" t="str">
        <f t="shared" ca="1" si="285"/>
        <v/>
      </c>
      <c r="AC598" s="310" t="e">
        <f t="shared" ca="1" si="286"/>
        <v>#N/A</v>
      </c>
      <c r="AD598" s="323" t="e">
        <f t="shared" ca="1" si="287"/>
        <v>#N/A</v>
      </c>
      <c r="AE598" s="324" t="e">
        <f t="shared" ca="1" si="266"/>
        <v>#N/A</v>
      </c>
      <c r="AG598" s="306">
        <f t="shared" ca="1" si="288"/>
        <v>1.2739628331038535</v>
      </c>
      <c r="AH598" s="304">
        <f t="shared" ca="1" si="289"/>
        <v>-8.4996135006117584</v>
      </c>
    </row>
    <row r="599" spans="1:34" x14ac:dyDescent="0.2">
      <c r="A599" s="347">
        <f t="shared" ca="1" si="267"/>
        <v>1E-4</v>
      </c>
      <c r="B599" s="304">
        <f t="shared" ca="1" si="268"/>
        <v>29.221300000000099</v>
      </c>
      <c r="D599" s="306">
        <f t="shared" ca="1" si="269"/>
        <v>-0.73175472763404736</v>
      </c>
      <c r="E599" s="307">
        <f t="shared" ca="1" si="270"/>
        <v>-1.3419150630733014</v>
      </c>
      <c r="F599" s="304">
        <f t="shared" ca="1" si="271"/>
        <v>1.5284636135406695</v>
      </c>
      <c r="G599" s="306">
        <f t="shared" ca="1" si="272"/>
        <v>9.2247394750517557</v>
      </c>
      <c r="H599" s="307">
        <f t="shared" ca="1" si="273"/>
        <v>-106.75242987458094</v>
      </c>
      <c r="I599" s="304">
        <f t="shared" ca="1" si="274"/>
        <v>107.15025479442362</v>
      </c>
      <c r="J599" s="306">
        <f t="shared" ca="1" si="275"/>
        <v>746.86410190403069</v>
      </c>
      <c r="K599" s="307">
        <f t="shared" ca="1" si="276"/>
        <v>-4.5208183506891491</v>
      </c>
      <c r="L599" s="304">
        <f t="shared" ca="1" si="261"/>
        <v>746.87778418659252</v>
      </c>
      <c r="M599" s="306">
        <f t="shared" ca="1" si="277"/>
        <v>-1.4845979977380708</v>
      </c>
      <c r="N599" s="304">
        <f t="shared" ca="1" si="278"/>
        <v>-85.061199543963994</v>
      </c>
      <c r="P599" s="310">
        <f t="shared" ca="1" si="279"/>
        <v>23</v>
      </c>
      <c r="Q599" s="304">
        <f t="shared" ca="1" si="280"/>
        <v>0</v>
      </c>
      <c r="R599" s="306">
        <f t="shared" ca="1" si="281"/>
        <v>0</v>
      </c>
      <c r="S599" s="307">
        <f t="shared" ca="1" si="282"/>
        <v>5.083000000000002</v>
      </c>
      <c r="T599" s="304">
        <f t="shared" ca="1" si="262"/>
        <v>49.86423000000002</v>
      </c>
      <c r="U599" s="311">
        <f t="shared" ca="1" si="263"/>
        <v>0</v>
      </c>
      <c r="V599" s="306">
        <f t="shared" ca="1" si="264"/>
        <v>1.2255539254577779</v>
      </c>
      <c r="W599" s="304">
        <f t="shared" ca="1" si="265"/>
        <v>43.203833131516049</v>
      </c>
      <c r="Y599" s="314" t="str">
        <f t="shared" ca="1" si="283"/>
        <v/>
      </c>
      <c r="Z599" s="315" t="str">
        <f t="shared" ca="1" si="284"/>
        <v/>
      </c>
      <c r="AA599" s="316" t="str">
        <f t="shared" ca="1" si="285"/>
        <v/>
      </c>
      <c r="AC599" s="310" t="e">
        <f t="shared" ca="1" si="286"/>
        <v>#N/A</v>
      </c>
      <c r="AD599" s="323" t="e">
        <f t="shared" ca="1" si="287"/>
        <v>#N/A</v>
      </c>
      <c r="AE599" s="324" t="e">
        <f t="shared" ca="1" si="266"/>
        <v>#N/A</v>
      </c>
      <c r="AG599" s="306">
        <f t="shared" ca="1" si="288"/>
        <v>1.2739342139594942</v>
      </c>
      <c r="AH599" s="304">
        <f t="shared" ca="1" si="289"/>
        <v>-8.499642785459848</v>
      </c>
    </row>
    <row r="600" spans="1:34" x14ac:dyDescent="0.2">
      <c r="A600" s="347">
        <f t="shared" ca="1" si="267"/>
        <v>1E-4</v>
      </c>
      <c r="B600" s="304">
        <f t="shared" ca="1" si="268"/>
        <v>29.221400000000099</v>
      </c>
      <c r="D600" s="306">
        <f t="shared" ca="1" si="269"/>
        <v>-0.73175057417288436</v>
      </c>
      <c r="E600" s="307">
        <f t="shared" ca="1" si="270"/>
        <v>-1.3418853105456474</v>
      </c>
      <c r="F600" s="304">
        <f t="shared" ca="1" si="271"/>
        <v>1.5284355038602495</v>
      </c>
      <c r="G600" s="306">
        <f t="shared" ca="1" si="272"/>
        <v>9.2246662999943378</v>
      </c>
      <c r="H600" s="307">
        <f t="shared" ca="1" si="273"/>
        <v>-106.75256406311199</v>
      </c>
      <c r="I600" s="304">
        <f t="shared" ca="1" si="274"/>
        <v>107.1503821850164</v>
      </c>
      <c r="J600" s="306">
        <f t="shared" ca="1" si="275"/>
        <v>746.86410190403069</v>
      </c>
      <c r="K600" s="307">
        <f t="shared" ca="1" si="276"/>
        <v>-4.5314936003860335</v>
      </c>
      <c r="L600" s="304">
        <f t="shared" ca="1" si="261"/>
        <v>746.87784887969781</v>
      </c>
      <c r="M600" s="306">
        <f t="shared" ca="1" si="277"/>
        <v>-1.4845987859376242</v>
      </c>
      <c r="N600" s="304">
        <f t="shared" ca="1" si="278"/>
        <v>-85.061244704471818</v>
      </c>
      <c r="P600" s="310">
        <f t="shared" ca="1" si="279"/>
        <v>23</v>
      </c>
      <c r="Q600" s="304">
        <f t="shared" ca="1" si="280"/>
        <v>0</v>
      </c>
      <c r="R600" s="306">
        <f t="shared" ca="1" si="281"/>
        <v>0</v>
      </c>
      <c r="S600" s="307">
        <f t="shared" ca="1" si="282"/>
        <v>5.083000000000002</v>
      </c>
      <c r="T600" s="304">
        <f t="shared" ca="1" si="262"/>
        <v>49.86423000000002</v>
      </c>
      <c r="U600" s="311">
        <f t="shared" ca="1" si="263"/>
        <v>0</v>
      </c>
      <c r="V600" s="306">
        <f t="shared" ca="1" si="264"/>
        <v>1.2255552337679605</v>
      </c>
      <c r="W600" s="304">
        <f t="shared" ca="1" si="265"/>
        <v>43.203981982680517</v>
      </c>
      <c r="Y600" s="314" t="str">
        <f t="shared" ca="1" si="283"/>
        <v/>
      </c>
      <c r="Z600" s="315" t="str">
        <f t="shared" ca="1" si="284"/>
        <v/>
      </c>
      <c r="AA600" s="316" t="str">
        <f t="shared" ca="1" si="285"/>
        <v/>
      </c>
      <c r="AC600" s="310" t="e">
        <f t="shared" ca="1" si="286"/>
        <v>#N/A</v>
      </c>
      <c r="AD600" s="323" t="e">
        <f t="shared" ca="1" si="287"/>
        <v>#N/A</v>
      </c>
      <c r="AE600" s="324" t="e">
        <f t="shared" ca="1" si="266"/>
        <v>#N/A</v>
      </c>
      <c r="AG600" s="306">
        <f t="shared" ca="1" si="288"/>
        <v>1.2739055951679727</v>
      </c>
      <c r="AH600" s="304">
        <f t="shared" ca="1" si="289"/>
        <v>-8.4996720699421662</v>
      </c>
    </row>
    <row r="601" spans="1:34" x14ac:dyDescent="0.2">
      <c r="A601" s="347">
        <f t="shared" ca="1" si="267"/>
        <v>1E-4</v>
      </c>
      <c r="B601" s="304">
        <f t="shared" ca="1" si="268"/>
        <v>29.221500000000098</v>
      </c>
      <c r="D601" s="306">
        <f t="shared" ca="1" si="269"/>
        <v>-0.73174642070260409</v>
      </c>
      <c r="E601" s="307">
        <f t="shared" ca="1" si="270"/>
        <v>-1.3418555583896268</v>
      </c>
      <c r="F601" s="304">
        <f t="shared" ca="1" si="271"/>
        <v>1.528407394575219</v>
      </c>
      <c r="G601" s="306">
        <f t="shared" ca="1" si="272"/>
        <v>9.2245931253522677</v>
      </c>
      <c r="H601" s="307">
        <f t="shared" ca="1" si="273"/>
        <v>-106.75269824866783</v>
      </c>
      <c r="I601" s="304">
        <f t="shared" ca="1" si="274"/>
        <v>107.15050957274735</v>
      </c>
      <c r="J601" s="306">
        <f t="shared" ca="1" si="275"/>
        <v>746.86410190403069</v>
      </c>
      <c r="K601" s="307">
        <f t="shared" ca="1" si="276"/>
        <v>-4.5421688635016224</v>
      </c>
      <c r="L601" s="304">
        <f t="shared" ca="1" si="261"/>
        <v>746.87791372546212</v>
      </c>
      <c r="M601" s="306">
        <f t="shared" ca="1" si="277"/>
        <v>-1.4845995741290512</v>
      </c>
      <c r="N601" s="304">
        <f t="shared" ca="1" si="278"/>
        <v>-85.061289864514038</v>
      </c>
      <c r="P601" s="310">
        <f t="shared" ca="1" si="279"/>
        <v>23</v>
      </c>
      <c r="Q601" s="304">
        <f t="shared" ca="1" si="280"/>
        <v>0</v>
      </c>
      <c r="R601" s="306">
        <f t="shared" ca="1" si="281"/>
        <v>0</v>
      </c>
      <c r="S601" s="307">
        <f t="shared" ca="1" si="282"/>
        <v>5.083000000000002</v>
      </c>
      <c r="T601" s="304">
        <f t="shared" ca="1" si="262"/>
        <v>49.86423000000002</v>
      </c>
      <c r="U601" s="311">
        <f t="shared" ca="1" si="263"/>
        <v>0</v>
      </c>
      <c r="V601" s="306">
        <f t="shared" ca="1" si="264"/>
        <v>1.2255565420811847</v>
      </c>
      <c r="W601" s="304">
        <f t="shared" ca="1" si="265"/>
        <v>43.204130831985836</v>
      </c>
      <c r="Y601" s="314" t="str">
        <f t="shared" ca="1" si="283"/>
        <v/>
      </c>
      <c r="Z601" s="315" t="str">
        <f t="shared" ca="1" si="284"/>
        <v/>
      </c>
      <c r="AA601" s="316" t="str">
        <f t="shared" ca="1" si="285"/>
        <v/>
      </c>
      <c r="AC601" s="310" t="e">
        <f t="shared" ca="1" si="286"/>
        <v>#N/A</v>
      </c>
      <c r="AD601" s="323" t="e">
        <f t="shared" ca="1" si="287"/>
        <v>#N/A</v>
      </c>
      <c r="AE601" s="324" t="e">
        <f t="shared" ca="1" si="266"/>
        <v>#N/A</v>
      </c>
      <c r="AG601" s="306">
        <f t="shared" ca="1" si="288"/>
        <v>1.273876976729273</v>
      </c>
      <c r="AH601" s="304">
        <f t="shared" ca="1" si="289"/>
        <v>-8.4997013540587254</v>
      </c>
    </row>
    <row r="602" spans="1:34" x14ac:dyDescent="0.2">
      <c r="A602" s="347">
        <f t="shared" ca="1" si="267"/>
        <v>1E-4</v>
      </c>
      <c r="B602" s="304">
        <f t="shared" ca="1" si="268"/>
        <v>29.221600000000098</v>
      </c>
      <c r="D602" s="306">
        <f t="shared" ca="1" si="269"/>
        <v>-0.73174226722320468</v>
      </c>
      <c r="E602" s="307">
        <f t="shared" ca="1" si="270"/>
        <v>-1.3418258066052413</v>
      </c>
      <c r="F602" s="304">
        <f t="shared" ca="1" si="271"/>
        <v>1.5283792856855796</v>
      </c>
      <c r="G602" s="306">
        <f t="shared" ca="1" si="272"/>
        <v>9.2245199511255453</v>
      </c>
      <c r="H602" s="307">
        <f t="shared" ca="1" si="273"/>
        <v>-106.75283243124849</v>
      </c>
      <c r="I602" s="304">
        <f t="shared" ca="1" si="274"/>
        <v>107.15063695761651</v>
      </c>
      <c r="J602" s="306">
        <f t="shared" ca="1" si="275"/>
        <v>746.86410190403069</v>
      </c>
      <c r="K602" s="307">
        <f t="shared" ca="1" si="276"/>
        <v>-4.5528441400356181</v>
      </c>
      <c r="L602" s="304">
        <f t="shared" ca="1" si="261"/>
        <v>746.87797872388626</v>
      </c>
      <c r="M602" s="306">
        <f t="shared" ca="1" si="277"/>
        <v>-1.4846003623123518</v>
      </c>
      <c r="N602" s="304">
        <f t="shared" ca="1" si="278"/>
        <v>-85.061335024090639</v>
      </c>
      <c r="P602" s="310">
        <f t="shared" ca="1" si="279"/>
        <v>23</v>
      </c>
      <c r="Q602" s="304">
        <f t="shared" ca="1" si="280"/>
        <v>0</v>
      </c>
      <c r="R602" s="306">
        <f t="shared" ca="1" si="281"/>
        <v>0</v>
      </c>
      <c r="S602" s="307">
        <f t="shared" ca="1" si="282"/>
        <v>5.083000000000002</v>
      </c>
      <c r="T602" s="304">
        <f t="shared" ca="1" si="262"/>
        <v>49.86423000000002</v>
      </c>
      <c r="U602" s="311">
        <f t="shared" ca="1" si="263"/>
        <v>0</v>
      </c>
      <c r="V602" s="306">
        <f t="shared" ca="1" si="264"/>
        <v>1.22555785039745</v>
      </c>
      <c r="W602" s="304">
        <f t="shared" ca="1" si="265"/>
        <v>43.20427967943202</v>
      </c>
      <c r="Y602" s="314" t="str">
        <f t="shared" ca="1" si="283"/>
        <v/>
      </c>
      <c r="Z602" s="315" t="str">
        <f t="shared" ca="1" si="284"/>
        <v/>
      </c>
      <c r="AA602" s="316" t="str">
        <f t="shared" ca="1" si="285"/>
        <v/>
      </c>
      <c r="AC602" s="310" t="e">
        <f t="shared" ca="1" si="286"/>
        <v>#N/A</v>
      </c>
      <c r="AD602" s="323" t="e">
        <f t="shared" ca="1" si="287"/>
        <v>#N/A</v>
      </c>
      <c r="AE602" s="324" t="e">
        <f t="shared" ca="1" si="266"/>
        <v>#N/A</v>
      </c>
      <c r="AG602" s="306">
        <f t="shared" ca="1" si="288"/>
        <v>1.2738483586433968</v>
      </c>
      <c r="AH602" s="304">
        <f t="shared" ca="1" si="289"/>
        <v>-8.4997306378095256</v>
      </c>
    </row>
    <row r="603" spans="1:34" x14ac:dyDescent="0.2">
      <c r="A603" s="347">
        <f t="shared" ca="1" si="267"/>
        <v>1E-4</v>
      </c>
      <c r="B603" s="304">
        <f t="shared" ca="1" si="268"/>
        <v>29.221700000000098</v>
      </c>
      <c r="D603" s="306">
        <f t="shared" ca="1" si="269"/>
        <v>-0.731738113734688</v>
      </c>
      <c r="E603" s="307">
        <f t="shared" ca="1" si="270"/>
        <v>-1.3417960551924875</v>
      </c>
      <c r="F603" s="304">
        <f t="shared" ca="1" si="271"/>
        <v>1.5283511771913287</v>
      </c>
      <c r="G603" s="306">
        <f t="shared" ca="1" si="272"/>
        <v>9.2244467773141725</v>
      </c>
      <c r="H603" s="307">
        <f t="shared" ca="1" si="273"/>
        <v>-106.75296661085402</v>
      </c>
      <c r="I603" s="304">
        <f t="shared" ca="1" si="274"/>
        <v>107.15076433962389</v>
      </c>
      <c r="J603" s="306">
        <f t="shared" ca="1" si="275"/>
        <v>746.86410190403069</v>
      </c>
      <c r="K603" s="307">
        <f t="shared" ca="1" si="276"/>
        <v>-4.5635194299877231</v>
      </c>
      <c r="L603" s="304">
        <f t="shared" ca="1" si="261"/>
        <v>746.87804387497044</v>
      </c>
      <c r="M603" s="306">
        <f t="shared" ca="1" si="277"/>
        <v>-1.4846011504875263</v>
      </c>
      <c r="N603" s="304">
        <f t="shared" ca="1" si="278"/>
        <v>-85.061380183201649</v>
      </c>
      <c r="P603" s="310">
        <f t="shared" ca="1" si="279"/>
        <v>23</v>
      </c>
      <c r="Q603" s="304">
        <f t="shared" ca="1" si="280"/>
        <v>0</v>
      </c>
      <c r="R603" s="306">
        <f t="shared" ca="1" si="281"/>
        <v>0</v>
      </c>
      <c r="S603" s="307">
        <f t="shared" ca="1" si="282"/>
        <v>5.083000000000002</v>
      </c>
      <c r="T603" s="304">
        <f t="shared" ca="1" si="262"/>
        <v>49.86423000000002</v>
      </c>
      <c r="U603" s="311">
        <f t="shared" ca="1" si="263"/>
        <v>0</v>
      </c>
      <c r="V603" s="306">
        <f t="shared" ca="1" si="264"/>
        <v>1.2255591587167567</v>
      </c>
      <c r="W603" s="304">
        <f t="shared" ca="1" si="265"/>
        <v>43.204428525019061</v>
      </c>
      <c r="Y603" s="314" t="str">
        <f t="shared" ca="1" si="283"/>
        <v/>
      </c>
      <c r="Z603" s="315" t="str">
        <f t="shared" ca="1" si="284"/>
        <v/>
      </c>
      <c r="AA603" s="316" t="str">
        <f t="shared" ca="1" si="285"/>
        <v/>
      </c>
      <c r="AC603" s="310" t="e">
        <f t="shared" ca="1" si="286"/>
        <v>#N/A</v>
      </c>
      <c r="AD603" s="323" t="e">
        <f t="shared" ca="1" si="287"/>
        <v>#N/A</v>
      </c>
      <c r="AE603" s="324" t="e">
        <f t="shared" ca="1" si="266"/>
        <v>#N/A</v>
      </c>
      <c r="AG603" s="306">
        <f t="shared" ca="1" si="288"/>
        <v>1.2738197409103424</v>
      </c>
      <c r="AH603" s="304">
        <f t="shared" ca="1" si="289"/>
        <v>-8.4997599211945705</v>
      </c>
    </row>
    <row r="604" spans="1:34" x14ac:dyDescent="0.2">
      <c r="A604" s="347">
        <f t="shared" ca="1" si="267"/>
        <v>1E-4</v>
      </c>
      <c r="B604" s="304">
        <f t="shared" ca="1" si="268"/>
        <v>29.221800000000098</v>
      </c>
      <c r="D604" s="306">
        <f t="shared" ca="1" si="269"/>
        <v>-0.73173396023705373</v>
      </c>
      <c r="E604" s="307">
        <f t="shared" ca="1" si="270"/>
        <v>-1.3417663041513652</v>
      </c>
      <c r="F604" s="304">
        <f t="shared" ca="1" si="271"/>
        <v>1.5283230690924665</v>
      </c>
      <c r="G604" s="306">
        <f t="shared" ca="1" si="272"/>
        <v>9.2243736039181492</v>
      </c>
      <c r="H604" s="307">
        <f t="shared" ca="1" si="273"/>
        <v>-106.75310078748443</v>
      </c>
      <c r="I604" s="304">
        <f t="shared" ca="1" si="274"/>
        <v>107.15089171876951</v>
      </c>
      <c r="J604" s="306">
        <f t="shared" ca="1" si="275"/>
        <v>746.86410190403069</v>
      </c>
      <c r="K604" s="307">
        <f t="shared" ca="1" si="276"/>
        <v>-4.5741947333576398</v>
      </c>
      <c r="L604" s="304">
        <f t="shared" ca="1" si="261"/>
        <v>746.87810917871536</v>
      </c>
      <c r="M604" s="306">
        <f t="shared" ca="1" si="277"/>
        <v>-1.4846019386545743</v>
      </c>
      <c r="N604" s="304">
        <f t="shared" ca="1" si="278"/>
        <v>-85.061425341847055</v>
      </c>
      <c r="P604" s="310">
        <f t="shared" ca="1" si="279"/>
        <v>23</v>
      </c>
      <c r="Q604" s="304">
        <f t="shared" ca="1" si="280"/>
        <v>0</v>
      </c>
      <c r="R604" s="306">
        <f t="shared" ca="1" si="281"/>
        <v>0</v>
      </c>
      <c r="S604" s="307">
        <f t="shared" ca="1" si="282"/>
        <v>5.083000000000002</v>
      </c>
      <c r="T604" s="304">
        <f t="shared" ca="1" si="262"/>
        <v>49.86423000000002</v>
      </c>
      <c r="U604" s="311">
        <f t="shared" ca="1" si="263"/>
        <v>0</v>
      </c>
      <c r="V604" s="306">
        <f t="shared" ca="1" si="264"/>
        <v>1.2255604670391056</v>
      </c>
      <c r="W604" s="304">
        <f t="shared" ca="1" si="265"/>
        <v>43.204577368746996</v>
      </c>
      <c r="Y604" s="314" t="str">
        <f t="shared" ca="1" si="283"/>
        <v/>
      </c>
      <c r="Z604" s="315" t="str">
        <f t="shared" ca="1" si="284"/>
        <v/>
      </c>
      <c r="AA604" s="316" t="str">
        <f t="shared" ca="1" si="285"/>
        <v/>
      </c>
      <c r="AC604" s="310" t="e">
        <f t="shared" ca="1" si="286"/>
        <v>#N/A</v>
      </c>
      <c r="AD604" s="323" t="e">
        <f t="shared" ca="1" si="287"/>
        <v>#N/A</v>
      </c>
      <c r="AE604" s="324" t="e">
        <f t="shared" ca="1" si="266"/>
        <v>#N/A</v>
      </c>
      <c r="AG604" s="306">
        <f t="shared" ca="1" si="288"/>
        <v>1.2737911235301098</v>
      </c>
      <c r="AH604" s="304">
        <f t="shared" ca="1" si="289"/>
        <v>-8.4997892042138581</v>
      </c>
    </row>
    <row r="605" spans="1:34" x14ac:dyDescent="0.2">
      <c r="A605" s="347">
        <f t="shared" ca="1" si="267"/>
        <v>1E-4</v>
      </c>
      <c r="B605" s="304">
        <f t="shared" ca="1" si="268"/>
        <v>29.221900000000097</v>
      </c>
      <c r="D605" s="306">
        <f t="shared" ca="1" si="269"/>
        <v>-0.73172980673030574</v>
      </c>
      <c r="E605" s="307">
        <f t="shared" ca="1" si="270"/>
        <v>-1.3417365534818657</v>
      </c>
      <c r="F605" s="304">
        <f t="shared" ca="1" si="271"/>
        <v>1.5282949613889873</v>
      </c>
      <c r="G605" s="306">
        <f t="shared" ca="1" si="272"/>
        <v>9.2243004309374754</v>
      </c>
      <c r="H605" s="307">
        <f t="shared" ca="1" si="273"/>
        <v>-106.75323496113978</v>
      </c>
      <c r="I605" s="304">
        <f t="shared" ca="1" si="274"/>
        <v>107.15101909505344</v>
      </c>
      <c r="J605" s="306">
        <f t="shared" ca="1" si="275"/>
        <v>746.86410190403069</v>
      </c>
      <c r="K605" s="307">
        <f t="shared" ca="1" si="276"/>
        <v>-4.5848700501450708</v>
      </c>
      <c r="L605" s="304">
        <f t="shared" ca="1" si="261"/>
        <v>746.87817463512147</v>
      </c>
      <c r="M605" s="306">
        <f t="shared" ca="1" si="277"/>
        <v>-1.4846027268134965</v>
      </c>
      <c r="N605" s="304">
        <f t="shared" ca="1" si="278"/>
        <v>-85.061470500026886</v>
      </c>
      <c r="P605" s="310">
        <f t="shared" ca="1" si="279"/>
        <v>23</v>
      </c>
      <c r="Q605" s="304">
        <f t="shared" ca="1" si="280"/>
        <v>0</v>
      </c>
      <c r="R605" s="306">
        <f t="shared" ca="1" si="281"/>
        <v>0</v>
      </c>
      <c r="S605" s="307">
        <f t="shared" ca="1" si="282"/>
        <v>5.083000000000002</v>
      </c>
      <c r="T605" s="304">
        <f t="shared" ca="1" si="262"/>
        <v>49.86423000000002</v>
      </c>
      <c r="U605" s="311">
        <f t="shared" ca="1" si="263"/>
        <v>0</v>
      </c>
      <c r="V605" s="306">
        <f t="shared" ca="1" si="264"/>
        <v>1.225561775364495</v>
      </c>
      <c r="W605" s="304">
        <f t="shared" ca="1" si="265"/>
        <v>43.204726210615796</v>
      </c>
      <c r="Y605" s="314" t="str">
        <f t="shared" ca="1" si="283"/>
        <v/>
      </c>
      <c r="Z605" s="315" t="str">
        <f t="shared" ca="1" si="284"/>
        <v/>
      </c>
      <c r="AA605" s="316" t="str">
        <f t="shared" ca="1" si="285"/>
        <v/>
      </c>
      <c r="AC605" s="310" t="e">
        <f t="shared" ca="1" si="286"/>
        <v>#N/A</v>
      </c>
      <c r="AD605" s="323" t="e">
        <f t="shared" ca="1" si="287"/>
        <v>#N/A</v>
      </c>
      <c r="AE605" s="324" t="e">
        <f t="shared" ca="1" si="266"/>
        <v>#N/A</v>
      </c>
      <c r="AG605" s="306">
        <f t="shared" ca="1" si="288"/>
        <v>1.2737625065026918</v>
      </c>
      <c r="AH605" s="304">
        <f t="shared" ca="1" si="289"/>
        <v>-8.4998184868673974</v>
      </c>
    </row>
    <row r="606" spans="1:34" x14ac:dyDescent="0.2">
      <c r="A606" s="347">
        <f t="shared" ca="1" si="267"/>
        <v>1E-4</v>
      </c>
      <c r="B606" s="304">
        <f t="shared" ca="1" si="268"/>
        <v>29.222000000000097</v>
      </c>
      <c r="D606" s="306">
        <f t="shared" ca="1" si="269"/>
        <v>-0.73172565321444138</v>
      </c>
      <c r="E606" s="307">
        <f t="shared" ca="1" si="270"/>
        <v>-1.3417068031839978</v>
      </c>
      <c r="F606" s="304">
        <f t="shared" ca="1" si="271"/>
        <v>1.5282668540808977</v>
      </c>
      <c r="G606" s="306">
        <f t="shared" ca="1" si="272"/>
        <v>9.2242272583721547</v>
      </c>
      <c r="H606" s="307">
        <f t="shared" ca="1" si="273"/>
        <v>-106.75336913182009</v>
      </c>
      <c r="I606" s="304">
        <f t="shared" ca="1" si="274"/>
        <v>107.15114646847572</v>
      </c>
      <c r="J606" s="306">
        <f t="shared" ca="1" si="275"/>
        <v>746.86410190403069</v>
      </c>
      <c r="K606" s="307">
        <f t="shared" ca="1" si="276"/>
        <v>-4.5955453803497184</v>
      </c>
      <c r="L606" s="304">
        <f t="shared" ca="1" si="261"/>
        <v>746.87824024418944</v>
      </c>
      <c r="M606" s="306">
        <f t="shared" ca="1" si="277"/>
        <v>-1.4846035149642927</v>
      </c>
      <c r="N606" s="304">
        <f t="shared" ca="1" si="278"/>
        <v>-85.061515657741126</v>
      </c>
      <c r="P606" s="310">
        <f t="shared" ca="1" si="279"/>
        <v>23</v>
      </c>
      <c r="Q606" s="304">
        <f t="shared" ca="1" si="280"/>
        <v>0</v>
      </c>
      <c r="R606" s="306">
        <f t="shared" ca="1" si="281"/>
        <v>0</v>
      </c>
      <c r="S606" s="307">
        <f t="shared" ca="1" si="282"/>
        <v>5.083000000000002</v>
      </c>
      <c r="T606" s="304">
        <f t="shared" ca="1" si="262"/>
        <v>49.86423000000002</v>
      </c>
      <c r="U606" s="311">
        <f t="shared" ca="1" si="263"/>
        <v>0</v>
      </c>
      <c r="V606" s="306">
        <f t="shared" ca="1" si="264"/>
        <v>1.2255630836929261</v>
      </c>
      <c r="W606" s="304">
        <f t="shared" ca="1" si="265"/>
        <v>43.204875050625539</v>
      </c>
      <c r="Y606" s="314" t="str">
        <f t="shared" ca="1" si="283"/>
        <v/>
      </c>
      <c r="Z606" s="315" t="str">
        <f t="shared" ca="1" si="284"/>
        <v/>
      </c>
      <c r="AA606" s="316" t="str">
        <f t="shared" ca="1" si="285"/>
        <v/>
      </c>
      <c r="AC606" s="310" t="e">
        <f t="shared" ca="1" si="286"/>
        <v>#N/A</v>
      </c>
      <c r="AD606" s="323" t="e">
        <f t="shared" ca="1" si="287"/>
        <v>#N/A</v>
      </c>
      <c r="AE606" s="324" t="e">
        <f t="shared" ca="1" si="266"/>
        <v>#N/A</v>
      </c>
      <c r="AG606" s="306">
        <f t="shared" ca="1" si="288"/>
        <v>1.2737338898280974</v>
      </c>
      <c r="AH606" s="304">
        <f t="shared" ca="1" si="289"/>
        <v>-8.4998477691551795</v>
      </c>
    </row>
    <row r="607" spans="1:34" x14ac:dyDescent="0.2">
      <c r="A607" s="347">
        <f t="shared" ca="1" si="267"/>
        <v>1E-4</v>
      </c>
      <c r="B607" s="304">
        <f t="shared" ca="1" si="268"/>
        <v>29.222100000000097</v>
      </c>
      <c r="D607" s="306">
        <f t="shared" ca="1" si="269"/>
        <v>-0.73172149968946354</v>
      </c>
      <c r="E607" s="307">
        <f t="shared" ca="1" si="270"/>
        <v>-1.3416770532577456</v>
      </c>
      <c r="F607" s="304">
        <f t="shared" ca="1" si="271"/>
        <v>1.5282387471681855</v>
      </c>
      <c r="G607" s="306">
        <f t="shared" ca="1" si="272"/>
        <v>9.2241540862221854</v>
      </c>
      <c r="H607" s="307">
        <f t="shared" ca="1" si="273"/>
        <v>-106.75350329952542</v>
      </c>
      <c r="I607" s="304">
        <f t="shared" ca="1" si="274"/>
        <v>107.15127383903634</v>
      </c>
      <c r="J607" s="306">
        <f t="shared" ca="1" si="275"/>
        <v>746.86410190403069</v>
      </c>
      <c r="K607" s="307">
        <f t="shared" ca="1" si="276"/>
        <v>-4.606220723971286</v>
      </c>
      <c r="L607" s="304">
        <f t="shared" ca="1" si="261"/>
        <v>746.87830600591974</v>
      </c>
      <c r="M607" s="306">
        <f t="shared" ca="1" si="277"/>
        <v>-1.4846043031069629</v>
      </c>
      <c r="N607" s="304">
        <f t="shared" ca="1" si="278"/>
        <v>-85.061560814989789</v>
      </c>
      <c r="P607" s="310">
        <f t="shared" ca="1" si="279"/>
        <v>23</v>
      </c>
      <c r="Q607" s="304">
        <f t="shared" ca="1" si="280"/>
        <v>0</v>
      </c>
      <c r="R607" s="306">
        <f t="shared" ca="1" si="281"/>
        <v>0</v>
      </c>
      <c r="S607" s="307">
        <f t="shared" ca="1" si="282"/>
        <v>5.083000000000002</v>
      </c>
      <c r="T607" s="304">
        <f t="shared" ca="1" si="262"/>
        <v>49.86423000000002</v>
      </c>
      <c r="U607" s="311">
        <f t="shared" ca="1" si="263"/>
        <v>0</v>
      </c>
      <c r="V607" s="306">
        <f t="shared" ca="1" si="264"/>
        <v>1.2255643920243984</v>
      </c>
      <c r="W607" s="304">
        <f t="shared" ca="1" si="265"/>
        <v>43.205023888776168</v>
      </c>
      <c r="Y607" s="314" t="str">
        <f t="shared" ca="1" si="283"/>
        <v/>
      </c>
      <c r="Z607" s="315" t="str">
        <f t="shared" ca="1" si="284"/>
        <v/>
      </c>
      <c r="AA607" s="316" t="str">
        <f t="shared" ca="1" si="285"/>
        <v/>
      </c>
      <c r="AC607" s="310" t="e">
        <f t="shared" ca="1" si="286"/>
        <v>#N/A</v>
      </c>
      <c r="AD607" s="323" t="e">
        <f t="shared" ca="1" si="287"/>
        <v>#N/A</v>
      </c>
      <c r="AE607" s="324" t="e">
        <f t="shared" ca="1" si="266"/>
        <v>#N/A</v>
      </c>
      <c r="AG607" s="306">
        <f t="shared" ca="1" si="288"/>
        <v>1.273705273506307</v>
      </c>
      <c r="AH607" s="304">
        <f t="shared" ca="1" si="289"/>
        <v>-8.4998770510772221</v>
      </c>
    </row>
    <row r="608" spans="1:34" x14ac:dyDescent="0.2">
      <c r="A608" s="347">
        <f t="shared" ca="1" si="267"/>
        <v>1E-4</v>
      </c>
      <c r="B608" s="304">
        <f t="shared" ca="1" si="268"/>
        <v>29.222200000000097</v>
      </c>
      <c r="D608" s="306">
        <f t="shared" ca="1" si="269"/>
        <v>-0.73171734615537309</v>
      </c>
      <c r="E608" s="307">
        <f t="shared" ca="1" si="270"/>
        <v>-1.3416473037031178</v>
      </c>
      <c r="F608" s="304">
        <f t="shared" ca="1" si="271"/>
        <v>1.5282106406508587</v>
      </c>
      <c r="G608" s="306">
        <f t="shared" ca="1" si="272"/>
        <v>9.2240809144875691</v>
      </c>
      <c r="H608" s="307">
        <f t="shared" ca="1" si="273"/>
        <v>-106.75363746425579</v>
      </c>
      <c r="I608" s="304">
        <f t="shared" ca="1" si="274"/>
        <v>107.15140120673537</v>
      </c>
      <c r="J608" s="306">
        <f t="shared" ca="1" si="275"/>
        <v>746.86410190403069</v>
      </c>
      <c r="K608" s="307">
        <f t="shared" ca="1" si="276"/>
        <v>-4.6168960810094752</v>
      </c>
      <c r="L608" s="304">
        <f t="shared" ca="1" si="261"/>
        <v>746.87837192031282</v>
      </c>
      <c r="M608" s="306">
        <f t="shared" ca="1" si="277"/>
        <v>-1.4846050912415076</v>
      </c>
      <c r="N608" s="304">
        <f t="shared" ca="1" si="278"/>
        <v>-85.061605971772892</v>
      </c>
      <c r="P608" s="310">
        <f t="shared" ca="1" si="279"/>
        <v>23</v>
      </c>
      <c r="Q608" s="304">
        <f t="shared" ca="1" si="280"/>
        <v>0</v>
      </c>
      <c r="R608" s="306">
        <f t="shared" ca="1" si="281"/>
        <v>0</v>
      </c>
      <c r="S608" s="307">
        <f t="shared" ca="1" si="282"/>
        <v>5.083000000000002</v>
      </c>
      <c r="T608" s="304">
        <f t="shared" ca="1" si="262"/>
        <v>49.86423000000002</v>
      </c>
      <c r="U608" s="311">
        <f t="shared" ca="1" si="263"/>
        <v>0</v>
      </c>
      <c r="V608" s="306">
        <f t="shared" ca="1" si="264"/>
        <v>1.2255657003589124</v>
      </c>
      <c r="W608" s="304">
        <f t="shared" ca="1" si="265"/>
        <v>43.205172725067769</v>
      </c>
      <c r="Y608" s="314" t="str">
        <f t="shared" ca="1" si="283"/>
        <v/>
      </c>
      <c r="Z608" s="315" t="str">
        <f t="shared" ca="1" si="284"/>
        <v/>
      </c>
      <c r="AA608" s="316" t="str">
        <f t="shared" ca="1" si="285"/>
        <v/>
      </c>
      <c r="AC608" s="310" t="e">
        <f t="shared" ca="1" si="286"/>
        <v>#N/A</v>
      </c>
      <c r="AD608" s="323" t="e">
        <f t="shared" ca="1" si="287"/>
        <v>#N/A</v>
      </c>
      <c r="AE608" s="324" t="e">
        <f t="shared" ca="1" si="266"/>
        <v>#N/A</v>
      </c>
      <c r="AG608" s="306">
        <f t="shared" ca="1" si="288"/>
        <v>1.2736766575373348</v>
      </c>
      <c r="AH608" s="304">
        <f t="shared" ca="1" si="289"/>
        <v>-8.4999063326335147</v>
      </c>
    </row>
    <row r="609" spans="1:34" x14ac:dyDescent="0.2">
      <c r="A609" s="347">
        <f t="shared" ca="1" si="267"/>
        <v>1E-4</v>
      </c>
      <c r="B609" s="304">
        <f t="shared" ca="1" si="268"/>
        <v>29.222300000000097</v>
      </c>
      <c r="D609" s="306">
        <f t="shared" ca="1" si="269"/>
        <v>-0.73171319261216905</v>
      </c>
      <c r="E609" s="307">
        <f t="shared" ca="1" si="270"/>
        <v>-1.3416175545201021</v>
      </c>
      <c r="F609" s="304">
        <f t="shared" ca="1" si="271"/>
        <v>1.5281825345289064</v>
      </c>
      <c r="G609" s="306">
        <f t="shared" ca="1" si="272"/>
        <v>9.2240077431683076</v>
      </c>
      <c r="H609" s="307">
        <f t="shared" ca="1" si="273"/>
        <v>-106.75377162601124</v>
      </c>
      <c r="I609" s="304">
        <f t="shared" ca="1" si="274"/>
        <v>107.15152857157285</v>
      </c>
      <c r="J609" s="306">
        <f t="shared" ca="1" si="275"/>
        <v>746.86410190403069</v>
      </c>
      <c r="K609" s="307">
        <f t="shared" ca="1" si="276"/>
        <v>-4.6275714514639885</v>
      </c>
      <c r="L609" s="304">
        <f t="shared" ca="1" si="261"/>
        <v>746.87843798736935</v>
      </c>
      <c r="M609" s="306">
        <f t="shared" ca="1" si="277"/>
        <v>-1.4846058793679267</v>
      </c>
      <c r="N609" s="304">
        <f t="shared" ca="1" si="278"/>
        <v>-85.061651128090418</v>
      </c>
      <c r="P609" s="310">
        <f t="shared" ca="1" si="279"/>
        <v>23</v>
      </c>
      <c r="Q609" s="304">
        <f t="shared" ca="1" si="280"/>
        <v>0</v>
      </c>
      <c r="R609" s="306">
        <f t="shared" ca="1" si="281"/>
        <v>0</v>
      </c>
      <c r="S609" s="307">
        <f t="shared" ca="1" si="282"/>
        <v>5.083000000000002</v>
      </c>
      <c r="T609" s="304">
        <f t="shared" ca="1" si="262"/>
        <v>49.86423000000002</v>
      </c>
      <c r="U609" s="311">
        <f t="shared" ca="1" si="263"/>
        <v>0</v>
      </c>
      <c r="V609" s="306">
        <f t="shared" ca="1" si="264"/>
        <v>1.2255670086964672</v>
      </c>
      <c r="W609" s="304">
        <f t="shared" ca="1" si="265"/>
        <v>43.205321559500291</v>
      </c>
      <c r="Y609" s="314" t="str">
        <f t="shared" ca="1" si="283"/>
        <v/>
      </c>
      <c r="Z609" s="315" t="str">
        <f t="shared" ca="1" si="284"/>
        <v/>
      </c>
      <c r="AA609" s="316" t="str">
        <f t="shared" ca="1" si="285"/>
        <v/>
      </c>
      <c r="AC609" s="310" t="e">
        <f t="shared" ca="1" si="286"/>
        <v>#N/A</v>
      </c>
      <c r="AD609" s="323" t="e">
        <f t="shared" ca="1" si="287"/>
        <v>#N/A</v>
      </c>
      <c r="AE609" s="324" t="e">
        <f t="shared" ca="1" si="266"/>
        <v>#N/A</v>
      </c>
      <c r="AG609" s="306">
        <f t="shared" ca="1" si="288"/>
        <v>1.2736480419211667</v>
      </c>
      <c r="AH609" s="304">
        <f t="shared" ca="1" si="289"/>
        <v>-8.4999356138240714</v>
      </c>
    </row>
    <row r="610" spans="1:34" x14ac:dyDescent="0.2">
      <c r="A610" s="347">
        <f t="shared" ca="1" si="267"/>
        <v>1E-4</v>
      </c>
      <c r="B610" s="304">
        <f t="shared" ca="1" si="268"/>
        <v>29.222400000000096</v>
      </c>
      <c r="D610" s="306">
        <f t="shared" ca="1" si="269"/>
        <v>-0.73170903905985396</v>
      </c>
      <c r="E610" s="307">
        <f t="shared" ca="1" si="270"/>
        <v>-1.3415878057087056</v>
      </c>
      <c r="F610" s="304">
        <f t="shared" ca="1" si="271"/>
        <v>1.5281544288023363</v>
      </c>
      <c r="G610" s="306">
        <f t="shared" ca="1" si="272"/>
        <v>9.2239345722644011</v>
      </c>
      <c r="H610" s="307">
        <f t="shared" ca="1" si="273"/>
        <v>-106.75390578479181</v>
      </c>
      <c r="I610" s="304">
        <f t="shared" ca="1" si="274"/>
        <v>107.1516559335488</v>
      </c>
      <c r="J610" s="306">
        <f t="shared" ca="1" si="275"/>
        <v>746.86410190403069</v>
      </c>
      <c r="K610" s="307">
        <f t="shared" ca="1" si="276"/>
        <v>-4.6382468353345283</v>
      </c>
      <c r="L610" s="304">
        <f t="shared" ca="1" si="261"/>
        <v>746.8785042070898</v>
      </c>
      <c r="M610" s="306">
        <f t="shared" ca="1" si="277"/>
        <v>-1.4846066674862202</v>
      </c>
      <c r="N610" s="304">
        <f t="shared" ca="1" si="278"/>
        <v>-85.061696283942396</v>
      </c>
      <c r="P610" s="310">
        <f t="shared" ca="1" si="279"/>
        <v>23</v>
      </c>
      <c r="Q610" s="304">
        <f t="shared" ca="1" si="280"/>
        <v>0</v>
      </c>
      <c r="R610" s="306">
        <f t="shared" ca="1" si="281"/>
        <v>0</v>
      </c>
      <c r="S610" s="307">
        <f t="shared" ca="1" si="282"/>
        <v>5.083000000000002</v>
      </c>
      <c r="T610" s="304">
        <f t="shared" ca="1" si="262"/>
        <v>49.86423000000002</v>
      </c>
      <c r="U610" s="311">
        <f t="shared" ca="1" si="263"/>
        <v>0</v>
      </c>
      <c r="V610" s="306">
        <f t="shared" ca="1" si="264"/>
        <v>1.2255683170370633</v>
      </c>
      <c r="W610" s="304">
        <f t="shared" ca="1" si="265"/>
        <v>43.205470392073778</v>
      </c>
      <c r="Y610" s="314" t="str">
        <f t="shared" ca="1" si="283"/>
        <v/>
      </c>
      <c r="Z610" s="315" t="str">
        <f t="shared" ca="1" si="284"/>
        <v/>
      </c>
      <c r="AA610" s="316" t="str">
        <f t="shared" ca="1" si="285"/>
        <v/>
      </c>
      <c r="AC610" s="310" t="e">
        <f t="shared" ca="1" si="286"/>
        <v>#N/A</v>
      </c>
      <c r="AD610" s="323" t="e">
        <f t="shared" ca="1" si="287"/>
        <v>#N/A</v>
      </c>
      <c r="AE610" s="324" t="e">
        <f t="shared" ca="1" si="266"/>
        <v>#N/A</v>
      </c>
      <c r="AG610" s="306">
        <f t="shared" ca="1" si="288"/>
        <v>1.2736194266578078</v>
      </c>
      <c r="AH610" s="304">
        <f t="shared" ca="1" si="289"/>
        <v>-8.4999648946488833</v>
      </c>
    </row>
    <row r="611" spans="1:34" x14ac:dyDescent="0.2">
      <c r="A611" s="347">
        <f t="shared" ca="1" si="267"/>
        <v>1E-4</v>
      </c>
      <c r="B611" s="304">
        <f t="shared" ca="1" si="268"/>
        <v>29.222500000000096</v>
      </c>
      <c r="D611" s="306">
        <f t="shared" ca="1" si="269"/>
        <v>-0.7317048854984286</v>
      </c>
      <c r="E611" s="307">
        <f t="shared" ca="1" si="270"/>
        <v>-1.3415580572689194</v>
      </c>
      <c r="F611" s="304">
        <f t="shared" ca="1" si="271"/>
        <v>1.5281263234711409</v>
      </c>
      <c r="G611" s="306">
        <f t="shared" ca="1" si="272"/>
        <v>9.2238614017758511</v>
      </c>
      <c r="H611" s="307">
        <f t="shared" ca="1" si="273"/>
        <v>-106.75403994059754</v>
      </c>
      <c r="I611" s="304">
        <f t="shared" ca="1" si="274"/>
        <v>107.15178329266324</v>
      </c>
      <c r="J611" s="306">
        <f t="shared" ca="1" si="275"/>
        <v>746.86410190403069</v>
      </c>
      <c r="K611" s="307">
        <f t="shared" ca="1" si="276"/>
        <v>-4.648922232620798</v>
      </c>
      <c r="L611" s="304">
        <f t="shared" ca="1" si="261"/>
        <v>746.87857057947463</v>
      </c>
      <c r="M611" s="306">
        <f t="shared" ca="1" si="277"/>
        <v>-1.4846074555963884</v>
      </c>
      <c r="N611" s="304">
        <f t="shared" ca="1" si="278"/>
        <v>-85.061741439328827</v>
      </c>
      <c r="P611" s="310">
        <f t="shared" ca="1" si="279"/>
        <v>23</v>
      </c>
      <c r="Q611" s="304">
        <f t="shared" ca="1" si="280"/>
        <v>0</v>
      </c>
      <c r="R611" s="306">
        <f t="shared" ca="1" si="281"/>
        <v>0</v>
      </c>
      <c r="S611" s="307">
        <f t="shared" ca="1" si="282"/>
        <v>5.083000000000002</v>
      </c>
      <c r="T611" s="304">
        <f t="shared" ca="1" si="262"/>
        <v>49.86423000000002</v>
      </c>
      <c r="U611" s="311">
        <f t="shared" ca="1" si="263"/>
        <v>0</v>
      </c>
      <c r="V611" s="306">
        <f t="shared" ca="1" si="264"/>
        <v>1.2255696253807009</v>
      </c>
      <c r="W611" s="304">
        <f t="shared" ca="1" si="265"/>
        <v>43.205619222788236</v>
      </c>
      <c r="Y611" s="314" t="str">
        <f t="shared" ca="1" si="283"/>
        <v/>
      </c>
      <c r="Z611" s="315" t="str">
        <f t="shared" ca="1" si="284"/>
        <v/>
      </c>
      <c r="AA611" s="316" t="str">
        <f t="shared" ca="1" si="285"/>
        <v/>
      </c>
      <c r="AC611" s="310" t="e">
        <f t="shared" ca="1" si="286"/>
        <v>#N/A</v>
      </c>
      <c r="AD611" s="323" t="e">
        <f t="shared" ca="1" si="287"/>
        <v>#N/A</v>
      </c>
      <c r="AE611" s="324" t="e">
        <f t="shared" ca="1" si="266"/>
        <v>#N/A</v>
      </c>
      <c r="AG611" s="306">
        <f t="shared" ca="1" si="288"/>
        <v>1.2735908117472547</v>
      </c>
      <c r="AH611" s="304">
        <f t="shared" ca="1" si="289"/>
        <v>-8.4999941751079593</v>
      </c>
    </row>
    <row r="612" spans="1:34" x14ac:dyDescent="0.2">
      <c r="A612" s="347">
        <f t="shared" ca="1" si="267"/>
        <v>1E-4</v>
      </c>
      <c r="B612" s="304">
        <f t="shared" ca="1" si="268"/>
        <v>29.222600000000096</v>
      </c>
      <c r="D612" s="306">
        <f t="shared" ca="1" si="269"/>
        <v>-0.73170073192789253</v>
      </c>
      <c r="E612" s="307">
        <f t="shared" ca="1" si="270"/>
        <v>-1.34152830920074</v>
      </c>
      <c r="F612" s="304">
        <f t="shared" ca="1" si="271"/>
        <v>1.5280982185353171</v>
      </c>
      <c r="G612" s="306">
        <f t="shared" ca="1" si="272"/>
        <v>9.2237882317026578</v>
      </c>
      <c r="H612" s="307">
        <f t="shared" ca="1" si="273"/>
        <v>-106.75417409342846</v>
      </c>
      <c r="I612" s="304">
        <f t="shared" ca="1" si="274"/>
        <v>107.15191064891623</v>
      </c>
      <c r="J612" s="306">
        <f t="shared" ca="1" si="275"/>
        <v>746.86410190403069</v>
      </c>
      <c r="K612" s="307">
        <f t="shared" ca="1" si="276"/>
        <v>-4.659597643322499</v>
      </c>
      <c r="L612" s="304">
        <f t="shared" ca="1" si="261"/>
        <v>746.8786371045245</v>
      </c>
      <c r="M612" s="306">
        <f t="shared" ca="1" si="277"/>
        <v>-1.4846082436984311</v>
      </c>
      <c r="N612" s="304">
        <f t="shared" ca="1" si="278"/>
        <v>-85.061786594249696</v>
      </c>
      <c r="P612" s="310">
        <f t="shared" ca="1" si="279"/>
        <v>23</v>
      </c>
      <c r="Q612" s="304">
        <f t="shared" ca="1" si="280"/>
        <v>0</v>
      </c>
      <c r="R612" s="306">
        <f t="shared" ca="1" si="281"/>
        <v>0</v>
      </c>
      <c r="S612" s="307">
        <f t="shared" ca="1" si="282"/>
        <v>5.083000000000002</v>
      </c>
      <c r="T612" s="304">
        <f t="shared" ca="1" si="262"/>
        <v>49.86423000000002</v>
      </c>
      <c r="U612" s="311">
        <f t="shared" ca="1" si="263"/>
        <v>0</v>
      </c>
      <c r="V612" s="306">
        <f t="shared" ca="1" si="264"/>
        <v>1.2255709337273797</v>
      </c>
      <c r="W612" s="304">
        <f t="shared" ca="1" si="265"/>
        <v>43.20576805164368</v>
      </c>
      <c r="Y612" s="314" t="str">
        <f t="shared" ca="1" si="283"/>
        <v/>
      </c>
      <c r="Z612" s="315" t="str">
        <f t="shared" ca="1" si="284"/>
        <v/>
      </c>
      <c r="AA612" s="316" t="str">
        <f t="shared" ca="1" si="285"/>
        <v/>
      </c>
      <c r="AC612" s="310" t="e">
        <f t="shared" ca="1" si="286"/>
        <v>#N/A</v>
      </c>
      <c r="AD612" s="323" t="e">
        <f t="shared" ca="1" si="287"/>
        <v>#N/A</v>
      </c>
      <c r="AE612" s="324" t="e">
        <f t="shared" ca="1" si="266"/>
        <v>#N/A</v>
      </c>
      <c r="AG612" s="306">
        <f t="shared" ca="1" si="288"/>
        <v>1.2735621971894986</v>
      </c>
      <c r="AH612" s="304">
        <f t="shared" ca="1" si="289"/>
        <v>-8.500023455201303</v>
      </c>
    </row>
    <row r="613" spans="1:34" x14ac:dyDescent="0.2">
      <c r="A613" s="347">
        <f t="shared" ca="1" si="267"/>
        <v>1E-4</v>
      </c>
      <c r="B613" s="304">
        <f t="shared" ca="1" si="268"/>
        <v>29.222700000000096</v>
      </c>
      <c r="D613" s="306">
        <f t="shared" ca="1" si="269"/>
        <v>-0.73169657834824953</v>
      </c>
      <c r="E613" s="307">
        <f t="shared" ca="1" si="270"/>
        <v>-1.3414985615041708</v>
      </c>
      <c r="F613" s="304">
        <f t="shared" ca="1" si="271"/>
        <v>1.52807011399487</v>
      </c>
      <c r="G613" s="306">
        <f t="shared" ca="1" si="272"/>
        <v>9.2237150620448229</v>
      </c>
      <c r="H613" s="307">
        <f t="shared" ca="1" si="273"/>
        <v>-106.75430824328461</v>
      </c>
      <c r="I613" s="304">
        <f t="shared" ca="1" si="274"/>
        <v>107.1520380023078</v>
      </c>
      <c r="J613" s="306">
        <f t="shared" ca="1" si="275"/>
        <v>746.86410190403069</v>
      </c>
      <c r="K613" s="307">
        <f t="shared" ca="1" si="276"/>
        <v>-4.6702730674393349</v>
      </c>
      <c r="L613" s="304">
        <f t="shared" ca="1" si="261"/>
        <v>746.87870378223988</v>
      </c>
      <c r="M613" s="306">
        <f t="shared" ca="1" si="277"/>
        <v>-1.484609031792349</v>
      </c>
      <c r="N613" s="304">
        <f t="shared" ca="1" si="278"/>
        <v>-85.06183174870506</v>
      </c>
      <c r="P613" s="310">
        <f t="shared" ca="1" si="279"/>
        <v>23</v>
      </c>
      <c r="Q613" s="304">
        <f t="shared" ca="1" si="280"/>
        <v>0</v>
      </c>
      <c r="R613" s="306">
        <f t="shared" ca="1" si="281"/>
        <v>0</v>
      </c>
      <c r="S613" s="307">
        <f t="shared" ca="1" si="282"/>
        <v>5.083000000000002</v>
      </c>
      <c r="T613" s="304">
        <f t="shared" ca="1" si="262"/>
        <v>49.86423000000002</v>
      </c>
      <c r="U613" s="311">
        <f t="shared" ca="1" si="263"/>
        <v>0</v>
      </c>
      <c r="V613" s="306">
        <f t="shared" ca="1" si="264"/>
        <v>1.2255722420770996</v>
      </c>
      <c r="W613" s="304">
        <f t="shared" ca="1" si="265"/>
        <v>43.205916878640132</v>
      </c>
      <c r="Y613" s="314" t="str">
        <f t="shared" ca="1" si="283"/>
        <v/>
      </c>
      <c r="Z613" s="315" t="str">
        <f t="shared" ca="1" si="284"/>
        <v/>
      </c>
      <c r="AA613" s="316" t="str">
        <f t="shared" ca="1" si="285"/>
        <v/>
      </c>
      <c r="AC613" s="310" t="e">
        <f t="shared" ca="1" si="286"/>
        <v>#N/A</v>
      </c>
      <c r="AD613" s="323" t="e">
        <f t="shared" ca="1" si="287"/>
        <v>#N/A</v>
      </c>
      <c r="AE613" s="324" t="e">
        <f t="shared" ca="1" si="266"/>
        <v>#N/A</v>
      </c>
      <c r="AG613" s="306">
        <f t="shared" ca="1" si="288"/>
        <v>1.2735335829845447</v>
      </c>
      <c r="AH613" s="304">
        <f t="shared" ca="1" si="289"/>
        <v>-8.5000527349289126</v>
      </c>
    </row>
    <row r="614" spans="1:34" x14ac:dyDescent="0.2">
      <c r="A614" s="347">
        <f t="shared" ca="1" si="267"/>
        <v>1E-4</v>
      </c>
      <c r="B614" s="304">
        <f t="shared" ca="1" si="268"/>
        <v>29.222800000000095</v>
      </c>
      <c r="D614" s="306">
        <f t="shared" ca="1" si="269"/>
        <v>-0.73169242475949592</v>
      </c>
      <c r="E614" s="307">
        <f t="shared" ca="1" si="270"/>
        <v>-1.3414688141792013</v>
      </c>
      <c r="F614" s="304">
        <f t="shared" ca="1" si="271"/>
        <v>1.5280420098497891</v>
      </c>
      <c r="G614" s="306">
        <f t="shared" ca="1" si="272"/>
        <v>9.2236418928023465</v>
      </c>
      <c r="H614" s="307">
        <f t="shared" ca="1" si="273"/>
        <v>-106.75444239016603</v>
      </c>
      <c r="I614" s="304">
        <f t="shared" ca="1" si="274"/>
        <v>107.15216535283801</v>
      </c>
      <c r="J614" s="306">
        <f t="shared" ca="1" si="275"/>
        <v>746.86410190403069</v>
      </c>
      <c r="K614" s="307">
        <f t="shared" ca="1" si="276"/>
        <v>-4.6809485049710071</v>
      </c>
      <c r="L614" s="304">
        <f t="shared" ca="1" si="261"/>
        <v>746.87877061262122</v>
      </c>
      <c r="M614" s="306">
        <f t="shared" ca="1" si="277"/>
        <v>-1.4846098198781417</v>
      </c>
      <c r="N614" s="304">
        <f t="shared" ca="1" si="278"/>
        <v>-85.061876902694863</v>
      </c>
      <c r="P614" s="310">
        <f t="shared" ca="1" si="279"/>
        <v>23</v>
      </c>
      <c r="Q614" s="304">
        <f t="shared" ca="1" si="280"/>
        <v>0</v>
      </c>
      <c r="R614" s="306">
        <f t="shared" ca="1" si="281"/>
        <v>0</v>
      </c>
      <c r="S614" s="307">
        <f t="shared" ca="1" si="282"/>
        <v>5.083000000000002</v>
      </c>
      <c r="T614" s="304">
        <f t="shared" ca="1" si="262"/>
        <v>49.86423000000002</v>
      </c>
      <c r="U614" s="311">
        <f t="shared" ca="1" si="263"/>
        <v>0</v>
      </c>
      <c r="V614" s="306">
        <f t="shared" ca="1" si="264"/>
        <v>1.2255735504298604</v>
      </c>
      <c r="W614" s="304">
        <f t="shared" ca="1" si="265"/>
        <v>43.206065703777597</v>
      </c>
      <c r="Y614" s="314" t="str">
        <f t="shared" ca="1" si="283"/>
        <v/>
      </c>
      <c r="Z614" s="315" t="str">
        <f t="shared" ca="1" si="284"/>
        <v/>
      </c>
      <c r="AA614" s="316" t="str">
        <f t="shared" ca="1" si="285"/>
        <v/>
      </c>
      <c r="AC614" s="310" t="e">
        <f t="shared" ca="1" si="286"/>
        <v>#N/A</v>
      </c>
      <c r="AD614" s="323" t="e">
        <f t="shared" ca="1" si="287"/>
        <v>#N/A</v>
      </c>
      <c r="AE614" s="324" t="e">
        <f t="shared" ca="1" si="266"/>
        <v>#N/A</v>
      </c>
      <c r="AG614" s="306">
        <f t="shared" ca="1" si="288"/>
        <v>1.2735049691323894</v>
      </c>
      <c r="AH614" s="304">
        <f t="shared" ca="1" si="289"/>
        <v>-8.5000820142907951</v>
      </c>
    </row>
    <row r="615" spans="1:34" x14ac:dyDescent="0.2">
      <c r="A615" s="347">
        <f t="shared" ca="1" si="267"/>
        <v>1E-4</v>
      </c>
      <c r="B615" s="304">
        <f t="shared" ca="1" si="268"/>
        <v>29.222900000000095</v>
      </c>
      <c r="D615" s="306">
        <f t="shared" ca="1" si="269"/>
        <v>-0.73168827116163715</v>
      </c>
      <c r="E615" s="307">
        <f t="shared" ca="1" si="270"/>
        <v>-1.3414390672258332</v>
      </c>
      <c r="F615" s="304">
        <f t="shared" ca="1" si="271"/>
        <v>1.5280139061000784</v>
      </c>
      <c r="G615" s="306">
        <f t="shared" ca="1" si="272"/>
        <v>9.2235687239752302</v>
      </c>
      <c r="H615" s="307">
        <f t="shared" ca="1" si="273"/>
        <v>-106.75457653407275</v>
      </c>
      <c r="I615" s="304">
        <f t="shared" ca="1" si="274"/>
        <v>107.15229270050683</v>
      </c>
      <c r="J615" s="306">
        <f t="shared" ca="1" si="275"/>
        <v>746.86410190403069</v>
      </c>
      <c r="K615" s="307">
        <f t="shared" ca="1" si="276"/>
        <v>-4.691623955917219</v>
      </c>
      <c r="L615" s="304">
        <f t="shared" ca="1" si="261"/>
        <v>746.87883759566921</v>
      </c>
      <c r="M615" s="306">
        <f t="shared" ca="1" si="277"/>
        <v>-1.4846106079558095</v>
      </c>
      <c r="N615" s="304">
        <f t="shared" ca="1" si="278"/>
        <v>-85.06192205621916</v>
      </c>
      <c r="P615" s="310">
        <f t="shared" ca="1" si="279"/>
        <v>23</v>
      </c>
      <c r="Q615" s="304">
        <f t="shared" ca="1" si="280"/>
        <v>0</v>
      </c>
      <c r="R615" s="306">
        <f t="shared" ca="1" si="281"/>
        <v>0</v>
      </c>
      <c r="S615" s="307">
        <f t="shared" ca="1" si="282"/>
        <v>5.083000000000002</v>
      </c>
      <c r="T615" s="304">
        <f t="shared" ca="1" si="262"/>
        <v>49.86423000000002</v>
      </c>
      <c r="U615" s="311">
        <f t="shared" ca="1" si="263"/>
        <v>0</v>
      </c>
      <c r="V615" s="306">
        <f t="shared" ca="1" si="264"/>
        <v>1.2255748587856625</v>
      </c>
      <c r="W615" s="304">
        <f t="shared" ca="1" si="265"/>
        <v>43.206214527056062</v>
      </c>
      <c r="Y615" s="314" t="str">
        <f t="shared" ca="1" si="283"/>
        <v/>
      </c>
      <c r="Z615" s="315" t="str">
        <f t="shared" ca="1" si="284"/>
        <v/>
      </c>
      <c r="AA615" s="316" t="str">
        <f t="shared" ca="1" si="285"/>
        <v/>
      </c>
      <c r="AC615" s="310" t="e">
        <f t="shared" ca="1" si="286"/>
        <v>#N/A</v>
      </c>
      <c r="AD615" s="323" t="e">
        <f t="shared" ca="1" si="287"/>
        <v>#N/A</v>
      </c>
      <c r="AE615" s="324" t="e">
        <f t="shared" ca="1" si="266"/>
        <v>#N/A</v>
      </c>
      <c r="AG615" s="306">
        <f t="shared" ca="1" si="288"/>
        <v>1.2734763556330275</v>
      </c>
      <c r="AH615" s="304">
        <f t="shared" ca="1" si="289"/>
        <v>-8.5001112932869525</v>
      </c>
    </row>
    <row r="616" spans="1:34" x14ac:dyDescent="0.2">
      <c r="A616" s="347">
        <f t="shared" ca="1" si="267"/>
        <v>1E-4</v>
      </c>
      <c r="B616" s="304">
        <f t="shared" ca="1" si="268"/>
        <v>29.223000000000095</v>
      </c>
      <c r="D616" s="306">
        <f t="shared" ca="1" si="269"/>
        <v>-0.73168411755467089</v>
      </c>
      <c r="E616" s="307">
        <f t="shared" ca="1" si="270"/>
        <v>-1.3414093206440665</v>
      </c>
      <c r="F616" s="304">
        <f t="shared" ca="1" si="271"/>
        <v>1.5279858027457367</v>
      </c>
      <c r="G616" s="306">
        <f t="shared" ca="1" si="272"/>
        <v>9.2234955555634741</v>
      </c>
      <c r="H616" s="307">
        <f t="shared" ca="1" si="273"/>
        <v>-106.75471067500482</v>
      </c>
      <c r="I616" s="304">
        <f t="shared" ca="1" si="274"/>
        <v>107.15242004531436</v>
      </c>
      <c r="J616" s="306">
        <f t="shared" ca="1" si="275"/>
        <v>746.86410190403069</v>
      </c>
      <c r="K616" s="307">
        <f t="shared" ca="1" si="276"/>
        <v>-4.7022994202776731</v>
      </c>
      <c r="L616" s="304">
        <f t="shared" ca="1" si="261"/>
        <v>746.8789047313843</v>
      </c>
      <c r="M616" s="306">
        <f t="shared" ca="1" si="277"/>
        <v>-1.4846113960253526</v>
      </c>
      <c r="N616" s="304">
        <f t="shared" ca="1" si="278"/>
        <v>-85.061967209277952</v>
      </c>
      <c r="P616" s="310">
        <f t="shared" ca="1" si="279"/>
        <v>23</v>
      </c>
      <c r="Q616" s="304">
        <f t="shared" ca="1" si="280"/>
        <v>0</v>
      </c>
      <c r="R616" s="306">
        <f t="shared" ca="1" si="281"/>
        <v>0</v>
      </c>
      <c r="S616" s="307">
        <f t="shared" ca="1" si="282"/>
        <v>5.083000000000002</v>
      </c>
      <c r="T616" s="304">
        <f t="shared" ca="1" si="262"/>
        <v>49.86423000000002</v>
      </c>
      <c r="U616" s="311">
        <f t="shared" ca="1" si="263"/>
        <v>0</v>
      </c>
      <c r="V616" s="306">
        <f t="shared" ca="1" si="264"/>
        <v>1.2255761671445056</v>
      </c>
      <c r="W616" s="304">
        <f t="shared" ca="1" si="265"/>
        <v>43.206363348475584</v>
      </c>
      <c r="Y616" s="314" t="str">
        <f t="shared" ca="1" si="283"/>
        <v/>
      </c>
      <c r="Z616" s="315" t="str">
        <f t="shared" ca="1" si="284"/>
        <v/>
      </c>
      <c r="AA616" s="316" t="str">
        <f t="shared" ca="1" si="285"/>
        <v/>
      </c>
      <c r="AC616" s="310" t="e">
        <f t="shared" ca="1" si="286"/>
        <v>#N/A</v>
      </c>
      <c r="AD616" s="323" t="e">
        <f t="shared" ca="1" si="287"/>
        <v>#N/A</v>
      </c>
      <c r="AE616" s="324" t="e">
        <f t="shared" ca="1" si="266"/>
        <v>#N/A</v>
      </c>
      <c r="AG616" s="306">
        <f t="shared" ca="1" si="288"/>
        <v>1.2734477424864608</v>
      </c>
      <c r="AH616" s="304">
        <f t="shared" ca="1" si="289"/>
        <v>-8.500140571917381</v>
      </c>
    </row>
    <row r="617" spans="1:34" x14ac:dyDescent="0.2">
      <c r="A617" s="347">
        <f t="shared" ca="1" si="267"/>
        <v>1E-4</v>
      </c>
      <c r="B617" s="304">
        <f t="shared" ca="1" si="268"/>
        <v>29.223100000000095</v>
      </c>
      <c r="D617" s="306">
        <f t="shared" ca="1" si="269"/>
        <v>-0.73167996393859769</v>
      </c>
      <c r="E617" s="307">
        <f t="shared" ca="1" si="270"/>
        <v>-1.3413795744338959</v>
      </c>
      <c r="F617" s="304">
        <f t="shared" ca="1" si="271"/>
        <v>1.5279576997867601</v>
      </c>
      <c r="G617" s="306">
        <f t="shared" ca="1" si="272"/>
        <v>9.22342238756708</v>
      </c>
      <c r="H617" s="307">
        <f t="shared" ca="1" si="273"/>
        <v>-106.75484481296226</v>
      </c>
      <c r="I617" s="304">
        <f t="shared" ca="1" si="274"/>
        <v>107.1525473872606</v>
      </c>
      <c r="J617" s="306">
        <f t="shared" ca="1" si="275"/>
        <v>746.86410190403069</v>
      </c>
      <c r="K617" s="307">
        <f t="shared" ca="1" si="276"/>
        <v>-4.7129748980520718</v>
      </c>
      <c r="L617" s="304">
        <f t="shared" ca="1" si="261"/>
        <v>746.87897201976705</v>
      </c>
      <c r="M617" s="306">
        <f t="shared" ca="1" si="277"/>
        <v>-1.484612184086771</v>
      </c>
      <c r="N617" s="304">
        <f t="shared" ca="1" si="278"/>
        <v>-85.062012361871211</v>
      </c>
      <c r="P617" s="310">
        <f t="shared" ca="1" si="279"/>
        <v>23</v>
      </c>
      <c r="Q617" s="304">
        <f t="shared" ca="1" si="280"/>
        <v>0</v>
      </c>
      <c r="R617" s="306">
        <f t="shared" ca="1" si="281"/>
        <v>0</v>
      </c>
      <c r="S617" s="307">
        <f t="shared" ca="1" si="282"/>
        <v>5.083000000000002</v>
      </c>
      <c r="T617" s="304">
        <f t="shared" ca="1" si="262"/>
        <v>49.86423000000002</v>
      </c>
      <c r="U617" s="311">
        <f t="shared" ca="1" si="263"/>
        <v>0</v>
      </c>
      <c r="V617" s="306">
        <f t="shared" ca="1" si="264"/>
        <v>1.2255774755063897</v>
      </c>
      <c r="W617" s="304">
        <f t="shared" ca="1" si="265"/>
        <v>43.206512168036149</v>
      </c>
      <c r="Y617" s="314" t="str">
        <f t="shared" ca="1" si="283"/>
        <v/>
      </c>
      <c r="Z617" s="315" t="str">
        <f t="shared" ca="1" si="284"/>
        <v/>
      </c>
      <c r="AA617" s="316" t="str">
        <f t="shared" ca="1" si="285"/>
        <v/>
      </c>
      <c r="AC617" s="310" t="e">
        <f t="shared" ca="1" si="286"/>
        <v>#N/A</v>
      </c>
      <c r="AD617" s="323" t="e">
        <f t="shared" ca="1" si="287"/>
        <v>#N/A</v>
      </c>
      <c r="AE617" s="324" t="e">
        <f t="shared" ca="1" si="266"/>
        <v>#N/A</v>
      </c>
      <c r="AG617" s="306">
        <f t="shared" ca="1" si="288"/>
        <v>1.273419129692682</v>
      </c>
      <c r="AH617" s="304">
        <f t="shared" ca="1" si="289"/>
        <v>-8.5001698501820915</v>
      </c>
    </row>
    <row r="618" spans="1:34" x14ac:dyDescent="0.2">
      <c r="A618" s="347">
        <f t="shared" ca="1" si="267"/>
        <v>1E-4</v>
      </c>
      <c r="B618" s="304">
        <f t="shared" ca="1" si="268"/>
        <v>29.223200000000094</v>
      </c>
      <c r="D618" s="306">
        <f t="shared" ca="1" si="269"/>
        <v>-0.73167581031342066</v>
      </c>
      <c r="E618" s="307">
        <f t="shared" ca="1" si="270"/>
        <v>-1.3413498285953178</v>
      </c>
      <c r="F618" s="304">
        <f t="shared" ca="1" si="271"/>
        <v>1.5279295972231473</v>
      </c>
      <c r="G618" s="306">
        <f t="shared" ca="1" si="272"/>
        <v>9.2233492199860478</v>
      </c>
      <c r="H618" s="307">
        <f t="shared" ca="1" si="273"/>
        <v>-106.75497894794512</v>
      </c>
      <c r="I618" s="304">
        <f t="shared" ca="1" si="274"/>
        <v>107.15267472634559</v>
      </c>
      <c r="J618" s="306">
        <f t="shared" ca="1" si="275"/>
        <v>746.86410190403069</v>
      </c>
      <c r="K618" s="307">
        <f t="shared" ca="1" si="276"/>
        <v>-4.7236503892401176</v>
      </c>
      <c r="L618" s="304">
        <f t="shared" ca="1" si="261"/>
        <v>746.87903946081803</v>
      </c>
      <c r="M618" s="306">
        <f t="shared" ca="1" si="277"/>
        <v>-1.4846129721400647</v>
      </c>
      <c r="N618" s="304">
        <f t="shared" ca="1" si="278"/>
        <v>-85.06205751399898</v>
      </c>
      <c r="P618" s="310">
        <f t="shared" ca="1" si="279"/>
        <v>23</v>
      </c>
      <c r="Q618" s="304">
        <f t="shared" ca="1" si="280"/>
        <v>0</v>
      </c>
      <c r="R618" s="306">
        <f t="shared" ca="1" si="281"/>
        <v>0</v>
      </c>
      <c r="S618" s="307">
        <f t="shared" ca="1" si="282"/>
        <v>5.083000000000002</v>
      </c>
      <c r="T618" s="304">
        <f t="shared" ca="1" si="262"/>
        <v>49.86423000000002</v>
      </c>
      <c r="U618" s="311">
        <f t="shared" ca="1" si="263"/>
        <v>0</v>
      </c>
      <c r="V618" s="306">
        <f t="shared" ca="1" si="264"/>
        <v>1.2255787838713152</v>
      </c>
      <c r="W618" s="304">
        <f t="shared" ca="1" si="265"/>
        <v>43.206660985737784</v>
      </c>
      <c r="Y618" s="314" t="str">
        <f t="shared" ca="1" si="283"/>
        <v/>
      </c>
      <c r="Z618" s="315" t="str">
        <f t="shared" ca="1" si="284"/>
        <v/>
      </c>
      <c r="AA618" s="316" t="str">
        <f t="shared" ca="1" si="285"/>
        <v/>
      </c>
      <c r="AC618" s="310" t="e">
        <f t="shared" ca="1" si="286"/>
        <v>#N/A</v>
      </c>
      <c r="AD618" s="323" t="e">
        <f t="shared" ca="1" si="287"/>
        <v>#N/A</v>
      </c>
      <c r="AE618" s="324" t="e">
        <f t="shared" ca="1" si="266"/>
        <v>#N/A</v>
      </c>
      <c r="AG618" s="306">
        <f t="shared" ca="1" si="288"/>
        <v>1.2733905172516966</v>
      </c>
      <c r="AH618" s="304">
        <f t="shared" ca="1" si="289"/>
        <v>-8.5001991280810802</v>
      </c>
    </row>
    <row r="619" spans="1:34" x14ac:dyDescent="0.2">
      <c r="A619" s="347">
        <f t="shared" ca="1" si="267"/>
        <v>1E-4</v>
      </c>
      <c r="B619" s="304">
        <f t="shared" ca="1" si="268"/>
        <v>29.223300000000094</v>
      </c>
      <c r="D619" s="306">
        <f t="shared" ca="1" si="269"/>
        <v>-0.73167165667914025</v>
      </c>
      <c r="E619" s="307">
        <f t="shared" ca="1" si="270"/>
        <v>-1.3413200831283305</v>
      </c>
      <c r="F619" s="304">
        <f t="shared" ca="1" si="271"/>
        <v>1.5279014950548968</v>
      </c>
      <c r="G619" s="306">
        <f t="shared" ca="1" si="272"/>
        <v>9.2232760528203794</v>
      </c>
      <c r="H619" s="307">
        <f t="shared" ca="1" si="273"/>
        <v>-106.75511307995343</v>
      </c>
      <c r="I619" s="304">
        <f t="shared" ca="1" si="274"/>
        <v>107.15280206256939</v>
      </c>
      <c r="J619" s="306">
        <f t="shared" ca="1" si="275"/>
        <v>746.86410190403069</v>
      </c>
      <c r="K619" s="307">
        <f t="shared" ca="1" si="276"/>
        <v>-4.7343258938415129</v>
      </c>
      <c r="L619" s="304">
        <f t="shared" ca="1" si="261"/>
        <v>746.8791070545376</v>
      </c>
      <c r="M619" s="306">
        <f t="shared" ca="1" si="277"/>
        <v>-1.4846137601852338</v>
      </c>
      <c r="N619" s="304">
        <f t="shared" ca="1" si="278"/>
        <v>-85.062102665661229</v>
      </c>
      <c r="P619" s="310">
        <f t="shared" ca="1" si="279"/>
        <v>23</v>
      </c>
      <c r="Q619" s="304">
        <f t="shared" ca="1" si="280"/>
        <v>0</v>
      </c>
      <c r="R619" s="306">
        <f t="shared" ca="1" si="281"/>
        <v>0</v>
      </c>
      <c r="S619" s="307">
        <f t="shared" ca="1" si="282"/>
        <v>5.083000000000002</v>
      </c>
      <c r="T619" s="304">
        <f t="shared" ca="1" si="262"/>
        <v>49.86423000000002</v>
      </c>
      <c r="U619" s="311">
        <f t="shared" ca="1" si="263"/>
        <v>0</v>
      </c>
      <c r="V619" s="306">
        <f t="shared" ca="1" si="264"/>
        <v>1.2255800922392812</v>
      </c>
      <c r="W619" s="304">
        <f t="shared" ca="1" si="265"/>
        <v>43.206809801580498</v>
      </c>
      <c r="Y619" s="314" t="str">
        <f t="shared" ca="1" si="283"/>
        <v/>
      </c>
      <c r="Z619" s="315" t="str">
        <f t="shared" ca="1" si="284"/>
        <v/>
      </c>
      <c r="AA619" s="316" t="str">
        <f t="shared" ca="1" si="285"/>
        <v/>
      </c>
      <c r="AC619" s="310" t="e">
        <f t="shared" ca="1" si="286"/>
        <v>#N/A</v>
      </c>
      <c r="AD619" s="323" t="e">
        <f t="shared" ca="1" si="287"/>
        <v>#N/A</v>
      </c>
      <c r="AE619" s="324" t="e">
        <f t="shared" ca="1" si="266"/>
        <v>#N/A</v>
      </c>
      <c r="AG619" s="306">
        <f t="shared" ca="1" si="288"/>
        <v>1.2733619051634921</v>
      </c>
      <c r="AH619" s="304">
        <f t="shared" ca="1" si="289"/>
        <v>-8.5002284056143544</v>
      </c>
    </row>
    <row r="620" spans="1:34" x14ac:dyDescent="0.2">
      <c r="A620" s="347">
        <f t="shared" ca="1" si="267"/>
        <v>1E-4</v>
      </c>
      <c r="B620" s="304">
        <f t="shared" ca="1" si="268"/>
        <v>29.223400000000094</v>
      </c>
      <c r="D620" s="306">
        <f t="shared" ca="1" si="269"/>
        <v>-0.731667503035758</v>
      </c>
      <c r="E620" s="307">
        <f t="shared" ca="1" si="270"/>
        <v>-1.3412903380329304</v>
      </c>
      <c r="F620" s="304">
        <f t="shared" ca="1" si="271"/>
        <v>1.5278733932820068</v>
      </c>
      <c r="G620" s="306">
        <f t="shared" ca="1" si="272"/>
        <v>9.2232028860700765</v>
      </c>
      <c r="H620" s="307">
        <f t="shared" ca="1" si="273"/>
        <v>-106.75524720898724</v>
      </c>
      <c r="I620" s="304">
        <f t="shared" ca="1" si="274"/>
        <v>107.15292939593201</v>
      </c>
      <c r="J620" s="306">
        <f t="shared" ca="1" si="275"/>
        <v>746.86410190403069</v>
      </c>
      <c r="K620" s="307">
        <f t="shared" ca="1" si="276"/>
        <v>-4.7450014118559602</v>
      </c>
      <c r="L620" s="304">
        <f t="shared" ca="1" si="261"/>
        <v>746.87917480092642</v>
      </c>
      <c r="M620" s="306">
        <f t="shared" ca="1" si="277"/>
        <v>-1.4846145482222788</v>
      </c>
      <c r="N620" s="304">
        <f t="shared" ca="1" si="278"/>
        <v>-85.062147816858015</v>
      </c>
      <c r="P620" s="310">
        <f t="shared" ca="1" si="279"/>
        <v>23</v>
      </c>
      <c r="Q620" s="304">
        <f t="shared" ca="1" si="280"/>
        <v>0</v>
      </c>
      <c r="R620" s="306">
        <f t="shared" ca="1" si="281"/>
        <v>0</v>
      </c>
      <c r="S620" s="307">
        <f t="shared" ca="1" si="282"/>
        <v>5.083000000000002</v>
      </c>
      <c r="T620" s="304">
        <f t="shared" ca="1" si="262"/>
        <v>49.86423000000002</v>
      </c>
      <c r="U620" s="311">
        <f t="shared" ca="1" si="263"/>
        <v>0</v>
      </c>
      <c r="V620" s="306">
        <f t="shared" ca="1" si="264"/>
        <v>1.2255814006102881</v>
      </c>
      <c r="W620" s="304">
        <f t="shared" ca="1" si="265"/>
        <v>43.20695861556429</v>
      </c>
      <c r="Y620" s="314" t="str">
        <f t="shared" ca="1" si="283"/>
        <v/>
      </c>
      <c r="Z620" s="315" t="str">
        <f t="shared" ca="1" si="284"/>
        <v/>
      </c>
      <c r="AA620" s="316" t="str">
        <f t="shared" ca="1" si="285"/>
        <v/>
      </c>
      <c r="AC620" s="310" t="e">
        <f t="shared" ca="1" si="286"/>
        <v>#N/A</v>
      </c>
      <c r="AD620" s="323" t="e">
        <f t="shared" ca="1" si="287"/>
        <v>#N/A</v>
      </c>
      <c r="AE620" s="324" t="e">
        <f t="shared" ca="1" si="266"/>
        <v>#N/A</v>
      </c>
      <c r="AG620" s="306">
        <f t="shared" ca="1" si="288"/>
        <v>1.2733332934280721</v>
      </c>
      <c r="AH620" s="304">
        <f t="shared" ca="1" si="289"/>
        <v>-8.5002576827819158</v>
      </c>
    </row>
    <row r="621" spans="1:34" x14ac:dyDescent="0.2">
      <c r="A621" s="347">
        <f t="shared" ca="1" si="267"/>
        <v>1E-4</v>
      </c>
      <c r="B621" s="304">
        <f t="shared" ca="1" si="268"/>
        <v>29.223500000000094</v>
      </c>
      <c r="D621" s="306">
        <f t="shared" ca="1" si="269"/>
        <v>-0.73166334938327193</v>
      </c>
      <c r="E621" s="307">
        <f t="shared" ca="1" si="270"/>
        <v>-1.3412605933091175</v>
      </c>
      <c r="F621" s="304">
        <f t="shared" ca="1" si="271"/>
        <v>1.527845291904476</v>
      </c>
      <c r="G621" s="306">
        <f t="shared" ca="1" si="272"/>
        <v>9.2231297197351374</v>
      </c>
      <c r="H621" s="307">
        <f t="shared" ca="1" si="273"/>
        <v>-106.75538133504658</v>
      </c>
      <c r="I621" s="304">
        <f t="shared" ca="1" si="274"/>
        <v>107.15305672643349</v>
      </c>
      <c r="J621" s="306">
        <f t="shared" ca="1" si="275"/>
        <v>746.86410190403069</v>
      </c>
      <c r="K621" s="307">
        <f t="shared" ca="1" si="276"/>
        <v>-4.755676943283162</v>
      </c>
      <c r="L621" s="304">
        <f t="shared" ca="1" si="261"/>
        <v>746.87924269998507</v>
      </c>
      <c r="M621" s="306">
        <f t="shared" ca="1" si="277"/>
        <v>-1.4846153362511996</v>
      </c>
      <c r="N621" s="304">
        <f t="shared" ca="1" si="278"/>
        <v>-85.062192967589311</v>
      </c>
      <c r="P621" s="310">
        <f t="shared" ca="1" si="279"/>
        <v>23</v>
      </c>
      <c r="Q621" s="304">
        <f t="shared" ca="1" si="280"/>
        <v>0</v>
      </c>
      <c r="R621" s="306">
        <f t="shared" ca="1" si="281"/>
        <v>0</v>
      </c>
      <c r="S621" s="307">
        <f t="shared" ca="1" si="282"/>
        <v>5.083000000000002</v>
      </c>
      <c r="T621" s="304">
        <f t="shared" ca="1" si="262"/>
        <v>49.86423000000002</v>
      </c>
      <c r="U621" s="311">
        <f t="shared" ca="1" si="263"/>
        <v>0</v>
      </c>
      <c r="V621" s="306">
        <f t="shared" ca="1" si="264"/>
        <v>1.2255827089843365</v>
      </c>
      <c r="W621" s="304">
        <f t="shared" ca="1" si="265"/>
        <v>43.207107427689202</v>
      </c>
      <c r="Y621" s="314" t="str">
        <f t="shared" ca="1" si="283"/>
        <v/>
      </c>
      <c r="Z621" s="315" t="str">
        <f t="shared" ca="1" si="284"/>
        <v/>
      </c>
      <c r="AA621" s="316" t="str">
        <f t="shared" ca="1" si="285"/>
        <v/>
      </c>
      <c r="AC621" s="310" t="e">
        <f t="shared" ca="1" si="286"/>
        <v>#N/A</v>
      </c>
      <c r="AD621" s="323" t="e">
        <f t="shared" ca="1" si="287"/>
        <v>#N/A</v>
      </c>
      <c r="AE621" s="324" t="e">
        <f t="shared" ca="1" si="266"/>
        <v>#N/A</v>
      </c>
      <c r="AG621" s="306">
        <f t="shared" ca="1" si="288"/>
        <v>1.2733046820454348</v>
      </c>
      <c r="AH621" s="304">
        <f t="shared" ca="1" si="289"/>
        <v>-8.5002869595837645</v>
      </c>
    </row>
    <row r="622" spans="1:34" x14ac:dyDescent="0.2">
      <c r="A622" s="347">
        <f t="shared" ca="1" si="267"/>
        <v>1E-4</v>
      </c>
      <c r="B622" s="304">
        <f t="shared" ca="1" si="268"/>
        <v>29.223600000000094</v>
      </c>
      <c r="D622" s="306">
        <f t="shared" ca="1" si="269"/>
        <v>-0.73165919572168414</v>
      </c>
      <c r="E622" s="307">
        <f t="shared" ca="1" si="270"/>
        <v>-1.3412308489568847</v>
      </c>
      <c r="F622" s="304">
        <f t="shared" ca="1" si="271"/>
        <v>1.5278171909223</v>
      </c>
      <c r="G622" s="306">
        <f t="shared" ca="1" si="272"/>
        <v>9.2230565538155656</v>
      </c>
      <c r="H622" s="307">
        <f t="shared" ca="1" si="273"/>
        <v>-106.75551545813147</v>
      </c>
      <c r="I622" s="304">
        <f t="shared" ca="1" si="274"/>
        <v>107.15318405407386</v>
      </c>
      <c r="J622" s="306">
        <f t="shared" ca="1" si="275"/>
        <v>746.86410190403069</v>
      </c>
      <c r="K622" s="307">
        <f t="shared" ca="1" si="276"/>
        <v>-4.7663524881228208</v>
      </c>
      <c r="L622" s="304">
        <f t="shared" ca="1" si="261"/>
        <v>746.879310751714</v>
      </c>
      <c r="M622" s="306">
        <f t="shared" ca="1" si="277"/>
        <v>-1.4846161242719962</v>
      </c>
      <c r="N622" s="304">
        <f t="shared" ca="1" si="278"/>
        <v>-85.062238117855117</v>
      </c>
      <c r="P622" s="310">
        <f t="shared" ca="1" si="279"/>
        <v>23</v>
      </c>
      <c r="Q622" s="304">
        <f t="shared" ca="1" si="280"/>
        <v>0</v>
      </c>
      <c r="R622" s="306">
        <f t="shared" ca="1" si="281"/>
        <v>0</v>
      </c>
      <c r="S622" s="307">
        <f t="shared" ca="1" si="282"/>
        <v>5.083000000000002</v>
      </c>
      <c r="T622" s="304">
        <f t="shared" ca="1" si="262"/>
        <v>49.86423000000002</v>
      </c>
      <c r="U622" s="311">
        <f t="shared" ca="1" si="263"/>
        <v>0</v>
      </c>
      <c r="V622" s="306">
        <f t="shared" ca="1" si="264"/>
        <v>1.2255840173614254</v>
      </c>
      <c r="W622" s="304">
        <f t="shared" ca="1" si="265"/>
        <v>43.207256237955214</v>
      </c>
      <c r="Y622" s="314" t="str">
        <f t="shared" ca="1" si="283"/>
        <v/>
      </c>
      <c r="Z622" s="315" t="str">
        <f t="shared" ca="1" si="284"/>
        <v/>
      </c>
      <c r="AA622" s="316" t="str">
        <f t="shared" ca="1" si="285"/>
        <v/>
      </c>
      <c r="AC622" s="310" t="e">
        <f t="shared" ca="1" si="286"/>
        <v>#N/A</v>
      </c>
      <c r="AD622" s="323" t="e">
        <f t="shared" ca="1" si="287"/>
        <v>#N/A</v>
      </c>
      <c r="AE622" s="324" t="e">
        <f t="shared" ca="1" si="266"/>
        <v>#N/A</v>
      </c>
      <c r="AG622" s="306">
        <f t="shared" ca="1" si="288"/>
        <v>1.2732760710155748</v>
      </c>
      <c r="AH622" s="304">
        <f t="shared" ca="1" si="289"/>
        <v>-8.5003162360199074</v>
      </c>
    </row>
    <row r="623" spans="1:34" x14ac:dyDescent="0.2">
      <c r="A623" s="347">
        <f t="shared" ca="1" si="267"/>
        <v>1E-4</v>
      </c>
      <c r="B623" s="304">
        <f t="shared" ca="1" si="268"/>
        <v>29.223700000000093</v>
      </c>
      <c r="D623" s="306">
        <f t="shared" ca="1" si="269"/>
        <v>-0.73165504205099585</v>
      </c>
      <c r="E623" s="307">
        <f t="shared" ca="1" si="270"/>
        <v>-1.3412011049762356</v>
      </c>
      <c r="F623" s="304">
        <f t="shared" ca="1" si="271"/>
        <v>1.527789090335482</v>
      </c>
      <c r="G623" s="306">
        <f t="shared" ca="1" si="272"/>
        <v>9.222983388311361</v>
      </c>
      <c r="H623" s="307">
        <f t="shared" ca="1" si="273"/>
        <v>-106.75564957824197</v>
      </c>
      <c r="I623" s="304">
        <f t="shared" ca="1" si="274"/>
        <v>107.15331137885316</v>
      </c>
      <c r="J623" s="306">
        <f t="shared" ca="1" si="275"/>
        <v>746.86410190403069</v>
      </c>
      <c r="K623" s="307">
        <f t="shared" ca="1" si="276"/>
        <v>-4.7770280463746397</v>
      </c>
      <c r="L623" s="304">
        <f t="shared" ca="1" si="261"/>
        <v>746.87937895611367</v>
      </c>
      <c r="M623" s="306">
        <f t="shared" ca="1" si="277"/>
        <v>-1.4846169122846686</v>
      </c>
      <c r="N623" s="304">
        <f t="shared" ca="1" si="278"/>
        <v>-85.062283267655459</v>
      </c>
      <c r="P623" s="310">
        <f t="shared" ca="1" si="279"/>
        <v>23</v>
      </c>
      <c r="Q623" s="304">
        <f t="shared" ca="1" si="280"/>
        <v>0</v>
      </c>
      <c r="R623" s="306">
        <f t="shared" ca="1" si="281"/>
        <v>0</v>
      </c>
      <c r="S623" s="307">
        <f t="shared" ca="1" si="282"/>
        <v>5.083000000000002</v>
      </c>
      <c r="T623" s="304">
        <f t="shared" ca="1" si="262"/>
        <v>49.86423000000002</v>
      </c>
      <c r="U623" s="311">
        <f t="shared" ca="1" si="263"/>
        <v>0</v>
      </c>
      <c r="V623" s="306">
        <f t="shared" ca="1" si="264"/>
        <v>1.225585325741555</v>
      </c>
      <c r="W623" s="304">
        <f t="shared" ca="1" si="265"/>
        <v>43.207405046362339</v>
      </c>
      <c r="Y623" s="314" t="str">
        <f t="shared" ca="1" si="283"/>
        <v/>
      </c>
      <c r="Z623" s="315" t="str">
        <f t="shared" ca="1" si="284"/>
        <v/>
      </c>
      <c r="AA623" s="316" t="str">
        <f t="shared" ca="1" si="285"/>
        <v/>
      </c>
      <c r="AC623" s="310" t="e">
        <f t="shared" ca="1" si="286"/>
        <v>#N/A</v>
      </c>
      <c r="AD623" s="323" t="e">
        <f t="shared" ca="1" si="287"/>
        <v>#N/A</v>
      </c>
      <c r="AE623" s="324" t="e">
        <f t="shared" ca="1" si="266"/>
        <v>#N/A</v>
      </c>
      <c r="AG623" s="306">
        <f t="shared" ca="1" si="288"/>
        <v>1.2732474603384958</v>
      </c>
      <c r="AH623" s="304">
        <f t="shared" ca="1" si="289"/>
        <v>-8.5003455120903393</v>
      </c>
    </row>
    <row r="624" spans="1:34" x14ac:dyDescent="0.2">
      <c r="A624" s="347">
        <f t="shared" ca="1" si="267"/>
        <v>1E-4</v>
      </c>
      <c r="B624" s="304">
        <f t="shared" ca="1" si="268"/>
        <v>29.223800000000093</v>
      </c>
      <c r="D624" s="306">
        <f t="shared" ca="1" si="269"/>
        <v>-0.73165088837120906</v>
      </c>
      <c r="E624" s="307">
        <f t="shared" ca="1" si="270"/>
        <v>-1.3411713613671665</v>
      </c>
      <c r="F624" s="304">
        <f t="shared" ca="1" si="271"/>
        <v>1.5277609901440206</v>
      </c>
      <c r="G624" s="306">
        <f t="shared" ca="1" si="272"/>
        <v>9.2229102232225237</v>
      </c>
      <c r="H624" s="307">
        <f t="shared" ca="1" si="273"/>
        <v>-106.75578369537811</v>
      </c>
      <c r="I624" s="304">
        <f t="shared" ca="1" si="274"/>
        <v>107.15343870077143</v>
      </c>
      <c r="J624" s="306">
        <f t="shared" ca="1" si="275"/>
        <v>746.86410190403069</v>
      </c>
      <c r="K624" s="307">
        <f t="shared" ca="1" si="276"/>
        <v>-4.7877036180383206</v>
      </c>
      <c r="L624" s="304">
        <f t="shared" ca="1" si="261"/>
        <v>746.87944731318487</v>
      </c>
      <c r="M624" s="306">
        <f t="shared" ca="1" si="277"/>
        <v>-1.4846177002892174</v>
      </c>
      <c r="N624" s="304">
        <f t="shared" ca="1" si="278"/>
        <v>-85.062328416990326</v>
      </c>
      <c r="P624" s="310">
        <f t="shared" ca="1" si="279"/>
        <v>23</v>
      </c>
      <c r="Q624" s="304">
        <f t="shared" ca="1" si="280"/>
        <v>0</v>
      </c>
      <c r="R624" s="306">
        <f t="shared" ca="1" si="281"/>
        <v>0</v>
      </c>
      <c r="S624" s="307">
        <f t="shared" ca="1" si="282"/>
        <v>5.083000000000002</v>
      </c>
      <c r="T624" s="304">
        <f t="shared" ca="1" si="262"/>
        <v>49.86423000000002</v>
      </c>
      <c r="U624" s="311">
        <f t="shared" ca="1" si="263"/>
        <v>0</v>
      </c>
      <c r="V624" s="306">
        <f t="shared" ca="1" si="264"/>
        <v>1.2255866341247259</v>
      </c>
      <c r="W624" s="304">
        <f t="shared" ca="1" si="265"/>
        <v>43.207553852910635</v>
      </c>
      <c r="Y624" s="314" t="str">
        <f t="shared" ca="1" si="283"/>
        <v/>
      </c>
      <c r="Z624" s="315" t="str">
        <f t="shared" ca="1" si="284"/>
        <v/>
      </c>
      <c r="AA624" s="316" t="str">
        <f t="shared" ca="1" si="285"/>
        <v/>
      </c>
      <c r="AC624" s="310" t="e">
        <f t="shared" ca="1" si="286"/>
        <v>#N/A</v>
      </c>
      <c r="AD624" s="323" t="e">
        <f t="shared" ca="1" si="287"/>
        <v>#N/A</v>
      </c>
      <c r="AE624" s="324" t="e">
        <f t="shared" ca="1" si="266"/>
        <v>#N/A</v>
      </c>
      <c r="AG624" s="306">
        <f t="shared" ca="1" si="288"/>
        <v>1.2732188500141923</v>
      </c>
      <c r="AH624" s="304">
        <f t="shared" ca="1" si="289"/>
        <v>-8.5003747877950673</v>
      </c>
    </row>
    <row r="625" spans="1:34" x14ac:dyDescent="0.2">
      <c r="A625" s="347">
        <f t="shared" ca="1" si="267"/>
        <v>1E-4</v>
      </c>
      <c r="B625" s="304">
        <f t="shared" ca="1" si="268"/>
        <v>29.223900000000093</v>
      </c>
      <c r="D625" s="306">
        <f t="shared" ca="1" si="269"/>
        <v>-0.73164673468232244</v>
      </c>
      <c r="E625" s="307">
        <f t="shared" ca="1" si="270"/>
        <v>-1.3411416181296687</v>
      </c>
      <c r="F625" s="304">
        <f t="shared" ca="1" si="271"/>
        <v>1.5277328903479073</v>
      </c>
      <c r="G625" s="306">
        <f t="shared" ca="1" si="272"/>
        <v>9.2228370585490556</v>
      </c>
      <c r="H625" s="307">
        <f t="shared" ca="1" si="273"/>
        <v>-106.75591780953992</v>
      </c>
      <c r="I625" s="304">
        <f t="shared" ca="1" si="274"/>
        <v>107.15356601982872</v>
      </c>
      <c r="J625" s="306">
        <f t="shared" ca="1" si="275"/>
        <v>746.86410190403069</v>
      </c>
      <c r="K625" s="307">
        <f t="shared" ca="1" si="276"/>
        <v>-4.7983792031135666</v>
      </c>
      <c r="L625" s="304">
        <f t="shared" ca="1" si="261"/>
        <v>746.87951582292794</v>
      </c>
      <c r="M625" s="306">
        <f t="shared" ca="1" si="277"/>
        <v>-1.4846184882856424</v>
      </c>
      <c r="N625" s="304">
        <f t="shared" ca="1" si="278"/>
        <v>-85.062373565859758</v>
      </c>
      <c r="P625" s="310">
        <f t="shared" ca="1" si="279"/>
        <v>23</v>
      </c>
      <c r="Q625" s="304">
        <f t="shared" ca="1" si="280"/>
        <v>0</v>
      </c>
      <c r="R625" s="306">
        <f t="shared" ca="1" si="281"/>
        <v>0</v>
      </c>
      <c r="S625" s="307">
        <f t="shared" ca="1" si="282"/>
        <v>5.083000000000002</v>
      </c>
      <c r="T625" s="304">
        <f t="shared" ca="1" si="262"/>
        <v>49.86423000000002</v>
      </c>
      <c r="U625" s="311">
        <f t="shared" ca="1" si="263"/>
        <v>0</v>
      </c>
      <c r="V625" s="306">
        <f t="shared" ca="1" si="264"/>
        <v>1.2255879425109371</v>
      </c>
      <c r="W625" s="304">
        <f t="shared" ca="1" si="265"/>
        <v>43.20770265760008</v>
      </c>
      <c r="Y625" s="314" t="str">
        <f t="shared" ca="1" si="283"/>
        <v/>
      </c>
      <c r="Z625" s="315" t="str">
        <f t="shared" ca="1" si="284"/>
        <v/>
      </c>
      <c r="AA625" s="316" t="str">
        <f t="shared" ca="1" si="285"/>
        <v/>
      </c>
      <c r="AC625" s="310" t="e">
        <f t="shared" ca="1" si="286"/>
        <v>#N/A</v>
      </c>
      <c r="AD625" s="323" t="e">
        <f t="shared" ca="1" si="287"/>
        <v>#N/A</v>
      </c>
      <c r="AE625" s="324" t="e">
        <f t="shared" ca="1" si="266"/>
        <v>#N/A</v>
      </c>
      <c r="AG625" s="306">
        <f t="shared" ca="1" si="288"/>
        <v>1.2731902400426556</v>
      </c>
      <c r="AH625" s="304">
        <f t="shared" ca="1" si="289"/>
        <v>-8.5004040631340985</v>
      </c>
    </row>
    <row r="626" spans="1:34" x14ac:dyDescent="0.2">
      <c r="A626" s="347">
        <f t="shared" ca="1" si="267"/>
        <v>1E-4</v>
      </c>
      <c r="B626" s="304">
        <f t="shared" ca="1" si="268"/>
        <v>29.224000000000093</v>
      </c>
      <c r="D626" s="306">
        <f t="shared" ca="1" si="269"/>
        <v>-0.73164258098433721</v>
      </c>
      <c r="E626" s="307">
        <f t="shared" ca="1" si="270"/>
        <v>-1.3411118752637439</v>
      </c>
      <c r="F626" s="304">
        <f t="shared" ca="1" si="271"/>
        <v>1.5277047909471444</v>
      </c>
      <c r="G626" s="306">
        <f t="shared" ca="1" si="272"/>
        <v>9.2227638942909564</v>
      </c>
      <c r="H626" s="307">
        <f t="shared" ca="1" si="273"/>
        <v>-106.75605192072744</v>
      </c>
      <c r="I626" s="304">
        <f t="shared" ca="1" si="274"/>
        <v>107.15369333602501</v>
      </c>
      <c r="J626" s="306">
        <f t="shared" ca="1" si="275"/>
        <v>746.86410190403069</v>
      </c>
      <c r="K626" s="307">
        <f t="shared" ca="1" si="276"/>
        <v>-4.8090548016000803</v>
      </c>
      <c r="L626" s="304">
        <f t="shared" ca="1" si="261"/>
        <v>746.87958448534334</v>
      </c>
      <c r="M626" s="306">
        <f t="shared" ca="1" si="277"/>
        <v>-1.4846192762739436</v>
      </c>
      <c r="N626" s="304">
        <f t="shared" ca="1" si="278"/>
        <v>-85.062418714263728</v>
      </c>
      <c r="P626" s="310">
        <f t="shared" ca="1" si="279"/>
        <v>23</v>
      </c>
      <c r="Q626" s="304">
        <f t="shared" ca="1" si="280"/>
        <v>0</v>
      </c>
      <c r="R626" s="306">
        <f t="shared" ca="1" si="281"/>
        <v>0</v>
      </c>
      <c r="S626" s="307">
        <f t="shared" ca="1" si="282"/>
        <v>5.083000000000002</v>
      </c>
      <c r="T626" s="304">
        <f t="shared" ca="1" si="262"/>
        <v>49.86423000000002</v>
      </c>
      <c r="U626" s="311">
        <f t="shared" ca="1" si="263"/>
        <v>0</v>
      </c>
      <c r="V626" s="306">
        <f t="shared" ca="1" si="264"/>
        <v>1.2255892509001898</v>
      </c>
      <c r="W626" s="304">
        <f t="shared" ca="1" si="265"/>
        <v>43.207851460430682</v>
      </c>
      <c r="Y626" s="314" t="str">
        <f t="shared" ca="1" si="283"/>
        <v/>
      </c>
      <c r="Z626" s="315" t="str">
        <f t="shared" ca="1" si="284"/>
        <v/>
      </c>
      <c r="AA626" s="316" t="str">
        <f t="shared" ca="1" si="285"/>
        <v/>
      </c>
      <c r="AC626" s="310" t="e">
        <f t="shared" ca="1" si="286"/>
        <v>#N/A</v>
      </c>
      <c r="AD626" s="323" t="e">
        <f t="shared" ca="1" si="287"/>
        <v>#N/A</v>
      </c>
      <c r="AE626" s="324" t="e">
        <f t="shared" ca="1" si="266"/>
        <v>#N/A</v>
      </c>
      <c r="AG626" s="306">
        <f t="shared" ca="1" si="288"/>
        <v>1.2731616304238926</v>
      </c>
      <c r="AH626" s="304">
        <f t="shared" ca="1" si="289"/>
        <v>-8.5004333381074293</v>
      </c>
    </row>
    <row r="627" spans="1:34" x14ac:dyDescent="0.2">
      <c r="A627" s="347">
        <f t="shared" ca="1" si="267"/>
        <v>1E-4</v>
      </c>
      <c r="B627" s="304">
        <f t="shared" ca="1" si="268"/>
        <v>29.224100000000092</v>
      </c>
      <c r="D627" s="306">
        <f t="shared" ca="1" si="269"/>
        <v>-0.73163842727725503</v>
      </c>
      <c r="E627" s="307">
        <f t="shared" ca="1" si="270"/>
        <v>-1.3410821327693903</v>
      </c>
      <c r="F627" s="304">
        <f t="shared" ca="1" si="271"/>
        <v>1.5276766919417315</v>
      </c>
      <c r="G627" s="306">
        <f t="shared" ca="1" si="272"/>
        <v>9.2226907304482282</v>
      </c>
      <c r="H627" s="307">
        <f t="shared" ca="1" si="273"/>
        <v>-106.75618602894072</v>
      </c>
      <c r="I627" s="304">
        <f t="shared" ca="1" si="274"/>
        <v>107.15382064936038</v>
      </c>
      <c r="J627" s="306">
        <f t="shared" ca="1" si="275"/>
        <v>746.86410190403069</v>
      </c>
      <c r="K627" s="307">
        <f t="shared" ca="1" si="276"/>
        <v>-4.819730413497564</v>
      </c>
      <c r="L627" s="304">
        <f t="shared" ca="1" si="261"/>
        <v>746.87965330043176</v>
      </c>
      <c r="M627" s="306">
        <f t="shared" ca="1" si="277"/>
        <v>-1.4846200642541214</v>
      </c>
      <c r="N627" s="304">
        <f t="shared" ca="1" si="278"/>
        <v>-85.06246386220225</v>
      </c>
      <c r="P627" s="310">
        <f t="shared" ca="1" si="279"/>
        <v>23</v>
      </c>
      <c r="Q627" s="304">
        <f t="shared" ca="1" si="280"/>
        <v>0</v>
      </c>
      <c r="R627" s="306">
        <f t="shared" ca="1" si="281"/>
        <v>0</v>
      </c>
      <c r="S627" s="307">
        <f t="shared" ca="1" si="282"/>
        <v>5.083000000000002</v>
      </c>
      <c r="T627" s="304">
        <f t="shared" ca="1" si="262"/>
        <v>49.86423000000002</v>
      </c>
      <c r="U627" s="311">
        <f t="shared" ca="1" si="263"/>
        <v>0</v>
      </c>
      <c r="V627" s="306">
        <f t="shared" ca="1" si="264"/>
        <v>1.2255905592924827</v>
      </c>
      <c r="W627" s="304">
        <f t="shared" ca="1" si="265"/>
        <v>43.208000261402461</v>
      </c>
      <c r="Y627" s="314" t="str">
        <f t="shared" ca="1" si="283"/>
        <v/>
      </c>
      <c r="Z627" s="315" t="str">
        <f t="shared" ca="1" si="284"/>
        <v/>
      </c>
      <c r="AA627" s="316" t="str">
        <f t="shared" ca="1" si="285"/>
        <v/>
      </c>
      <c r="AC627" s="310" t="e">
        <f t="shared" ca="1" si="286"/>
        <v>#N/A</v>
      </c>
      <c r="AD627" s="323" t="e">
        <f t="shared" ca="1" si="287"/>
        <v>#N/A</v>
      </c>
      <c r="AE627" s="324" t="e">
        <f t="shared" ca="1" si="266"/>
        <v>#N/A</v>
      </c>
      <c r="AG627" s="306">
        <f t="shared" ca="1" si="288"/>
        <v>1.2731330211578982</v>
      </c>
      <c r="AH627" s="304">
        <f t="shared" ca="1" si="289"/>
        <v>-8.5004626127150633</v>
      </c>
    </row>
    <row r="628" spans="1:34" x14ac:dyDescent="0.2">
      <c r="A628" s="347">
        <f t="shared" ca="1" si="267"/>
        <v>1E-4</v>
      </c>
      <c r="B628" s="304">
        <f t="shared" ca="1" si="268"/>
        <v>29.224200000000092</v>
      </c>
      <c r="D628" s="306">
        <f t="shared" ca="1" si="269"/>
        <v>-0.73163427356107613</v>
      </c>
      <c r="E628" s="307">
        <f t="shared" ca="1" si="270"/>
        <v>-1.3410523906466061</v>
      </c>
      <c r="F628" s="304">
        <f t="shared" ca="1" si="271"/>
        <v>1.527648593331667</v>
      </c>
      <c r="G628" s="306">
        <f t="shared" ca="1" si="272"/>
        <v>9.2226175670208725</v>
      </c>
      <c r="H628" s="307">
        <f t="shared" ca="1" si="273"/>
        <v>-106.75632013417979</v>
      </c>
      <c r="I628" s="304">
        <f t="shared" ca="1" si="274"/>
        <v>107.15394795983488</v>
      </c>
      <c r="J628" s="306">
        <f t="shared" ca="1" si="275"/>
        <v>746.86410190403069</v>
      </c>
      <c r="K628" s="307">
        <f t="shared" ca="1" si="276"/>
        <v>-4.8304060388057204</v>
      </c>
      <c r="L628" s="304">
        <f t="shared" ca="1" si="261"/>
        <v>746.87972226819363</v>
      </c>
      <c r="M628" s="306">
        <f t="shared" ca="1" si="277"/>
        <v>-1.4846208522261757</v>
      </c>
      <c r="N628" s="304">
        <f t="shared" ca="1" si="278"/>
        <v>-85.062509009675338</v>
      </c>
      <c r="P628" s="310">
        <f t="shared" ca="1" si="279"/>
        <v>23</v>
      </c>
      <c r="Q628" s="304">
        <f t="shared" ca="1" si="280"/>
        <v>0</v>
      </c>
      <c r="R628" s="306">
        <f t="shared" ca="1" si="281"/>
        <v>0</v>
      </c>
      <c r="S628" s="307">
        <f t="shared" ca="1" si="282"/>
        <v>5.083000000000002</v>
      </c>
      <c r="T628" s="304">
        <f t="shared" ca="1" si="262"/>
        <v>49.86423000000002</v>
      </c>
      <c r="U628" s="311">
        <f t="shared" ca="1" si="263"/>
        <v>0</v>
      </c>
      <c r="V628" s="306">
        <f t="shared" ca="1" si="264"/>
        <v>1.2255918676878166</v>
      </c>
      <c r="W628" s="304">
        <f t="shared" ca="1" si="265"/>
        <v>43.208149060515446</v>
      </c>
      <c r="Y628" s="314" t="str">
        <f t="shared" ca="1" si="283"/>
        <v/>
      </c>
      <c r="Z628" s="315" t="str">
        <f t="shared" ca="1" si="284"/>
        <v/>
      </c>
      <c r="AA628" s="316" t="str">
        <f t="shared" ca="1" si="285"/>
        <v/>
      </c>
      <c r="AC628" s="310" t="e">
        <f t="shared" ca="1" si="286"/>
        <v>#N/A</v>
      </c>
      <c r="AD628" s="323" t="e">
        <f t="shared" ca="1" si="287"/>
        <v>#N/A</v>
      </c>
      <c r="AE628" s="324" t="e">
        <f t="shared" ca="1" si="266"/>
        <v>#N/A</v>
      </c>
      <c r="AG628" s="306">
        <f t="shared" ca="1" si="288"/>
        <v>1.2731044122446704</v>
      </c>
      <c r="AH628" s="304">
        <f t="shared" ca="1" si="289"/>
        <v>-8.5004918869570023</v>
      </c>
    </row>
    <row r="629" spans="1:34" x14ac:dyDescent="0.2">
      <c r="A629" s="347">
        <f t="shared" ca="1" si="267"/>
        <v>1E-4</v>
      </c>
      <c r="B629" s="304">
        <f t="shared" ca="1" si="268"/>
        <v>29.224300000000092</v>
      </c>
      <c r="D629" s="306">
        <f t="shared" ca="1" si="269"/>
        <v>-0.73163011983580228</v>
      </c>
      <c r="E629" s="307">
        <f t="shared" ca="1" si="270"/>
        <v>-1.3410226488953843</v>
      </c>
      <c r="F629" s="304">
        <f t="shared" ca="1" si="271"/>
        <v>1.5276204951169461</v>
      </c>
      <c r="G629" s="306">
        <f t="shared" ca="1" si="272"/>
        <v>9.2225444040088895</v>
      </c>
      <c r="H629" s="307">
        <f t="shared" ca="1" si="273"/>
        <v>-106.75645423644468</v>
      </c>
      <c r="I629" s="304">
        <f t="shared" ca="1" si="274"/>
        <v>107.15407526744852</v>
      </c>
      <c r="J629" s="306">
        <f t="shared" ca="1" si="275"/>
        <v>746.86410190403069</v>
      </c>
      <c r="K629" s="307">
        <f t="shared" ca="1" si="276"/>
        <v>-4.8410816775242518</v>
      </c>
      <c r="L629" s="304">
        <f t="shared" ca="1" si="261"/>
        <v>746.87979138862954</v>
      </c>
      <c r="M629" s="306">
        <f t="shared" ca="1" si="277"/>
        <v>-1.4846216401901065</v>
      </c>
      <c r="N629" s="304">
        <f t="shared" ca="1" si="278"/>
        <v>-85.062554156682978</v>
      </c>
      <c r="P629" s="310">
        <f t="shared" ca="1" si="279"/>
        <v>23</v>
      </c>
      <c r="Q629" s="304">
        <f t="shared" ca="1" si="280"/>
        <v>0</v>
      </c>
      <c r="R629" s="306">
        <f t="shared" ca="1" si="281"/>
        <v>0</v>
      </c>
      <c r="S629" s="307">
        <f t="shared" ca="1" si="282"/>
        <v>5.083000000000002</v>
      </c>
      <c r="T629" s="304">
        <f t="shared" ca="1" si="262"/>
        <v>49.86423000000002</v>
      </c>
      <c r="U629" s="311">
        <f t="shared" ca="1" si="263"/>
        <v>0</v>
      </c>
      <c r="V629" s="306">
        <f t="shared" ca="1" si="264"/>
        <v>1.2255931760861911</v>
      </c>
      <c r="W629" s="304">
        <f t="shared" ca="1" si="265"/>
        <v>43.20829785776963</v>
      </c>
      <c r="Y629" s="314" t="str">
        <f t="shared" ca="1" si="283"/>
        <v/>
      </c>
      <c r="Z629" s="315" t="str">
        <f t="shared" ca="1" si="284"/>
        <v/>
      </c>
      <c r="AA629" s="316" t="str">
        <f t="shared" ca="1" si="285"/>
        <v/>
      </c>
      <c r="AC629" s="310" t="e">
        <f t="shared" ca="1" si="286"/>
        <v>#N/A</v>
      </c>
      <c r="AD629" s="323" t="e">
        <f t="shared" ca="1" si="287"/>
        <v>#N/A</v>
      </c>
      <c r="AE629" s="324" t="e">
        <f t="shared" ca="1" si="266"/>
        <v>#N/A</v>
      </c>
      <c r="AG629" s="306">
        <f t="shared" ca="1" si="288"/>
        <v>1.273075803684204</v>
      </c>
      <c r="AH629" s="304">
        <f t="shared" ca="1" si="289"/>
        <v>-8.5005211608332534</v>
      </c>
    </row>
    <row r="630" spans="1:34" x14ac:dyDescent="0.2">
      <c r="A630" s="347">
        <f t="shared" ca="1" si="267"/>
        <v>1E-4</v>
      </c>
      <c r="B630" s="304">
        <f t="shared" ca="1" si="268"/>
        <v>29.224400000000092</v>
      </c>
      <c r="D630" s="306">
        <f t="shared" ca="1" si="269"/>
        <v>-0.73162596610143538</v>
      </c>
      <c r="E630" s="307">
        <f t="shared" ca="1" si="270"/>
        <v>-1.3409929075157248</v>
      </c>
      <c r="F630" s="304">
        <f t="shared" ca="1" si="271"/>
        <v>1.5275923972975696</v>
      </c>
      <c r="G630" s="306">
        <f t="shared" ca="1" si="272"/>
        <v>9.2224712414122791</v>
      </c>
      <c r="H630" s="307">
        <f t="shared" ca="1" si="273"/>
        <v>-106.75658833573543</v>
      </c>
      <c r="I630" s="304">
        <f t="shared" ca="1" si="274"/>
        <v>107.15420257220133</v>
      </c>
      <c r="J630" s="306">
        <f t="shared" ca="1" si="275"/>
        <v>746.86410190403069</v>
      </c>
      <c r="K630" s="307">
        <f t="shared" ca="1" si="276"/>
        <v>-4.8517573296528607</v>
      </c>
      <c r="L630" s="304">
        <f t="shared" ca="1" si="261"/>
        <v>746.87986066174005</v>
      </c>
      <c r="M630" s="306">
        <f t="shared" ca="1" si="277"/>
        <v>-1.4846224281459142</v>
      </c>
      <c r="N630" s="304">
        <f t="shared" ca="1" si="278"/>
        <v>-85.062599303225198</v>
      </c>
      <c r="P630" s="310">
        <f t="shared" ca="1" si="279"/>
        <v>23</v>
      </c>
      <c r="Q630" s="304">
        <f t="shared" ca="1" si="280"/>
        <v>0</v>
      </c>
      <c r="R630" s="306">
        <f t="shared" ca="1" si="281"/>
        <v>0</v>
      </c>
      <c r="S630" s="307">
        <f t="shared" ca="1" si="282"/>
        <v>5.083000000000002</v>
      </c>
      <c r="T630" s="304">
        <f t="shared" ca="1" si="262"/>
        <v>49.86423000000002</v>
      </c>
      <c r="U630" s="311">
        <f t="shared" ca="1" si="263"/>
        <v>0</v>
      </c>
      <c r="V630" s="306">
        <f t="shared" ca="1" si="264"/>
        <v>1.2255944844876061</v>
      </c>
      <c r="W630" s="304">
        <f t="shared" ca="1" si="265"/>
        <v>43.208446653165026</v>
      </c>
      <c r="Y630" s="314" t="str">
        <f t="shared" ca="1" si="283"/>
        <v/>
      </c>
      <c r="Z630" s="315" t="str">
        <f t="shared" ca="1" si="284"/>
        <v/>
      </c>
      <c r="AA630" s="316" t="str">
        <f t="shared" ca="1" si="285"/>
        <v/>
      </c>
      <c r="AC630" s="310" t="e">
        <f t="shared" ca="1" si="286"/>
        <v>#N/A</v>
      </c>
      <c r="AD630" s="323" t="e">
        <f t="shared" ca="1" si="287"/>
        <v>#N/A</v>
      </c>
      <c r="AE630" s="324" t="e">
        <f t="shared" ca="1" si="266"/>
        <v>#N/A</v>
      </c>
      <c r="AG630" s="306">
        <f t="shared" ca="1" si="288"/>
        <v>1.273047195476499</v>
      </c>
      <c r="AH630" s="304">
        <f t="shared" ca="1" si="289"/>
        <v>-8.5005504343438147</v>
      </c>
    </row>
    <row r="631" spans="1:34" x14ac:dyDescent="0.2">
      <c r="A631" s="347">
        <f t="shared" ca="1" si="267"/>
        <v>1E-4</v>
      </c>
      <c r="B631" s="304">
        <f t="shared" ca="1" si="268"/>
        <v>29.224500000000091</v>
      </c>
      <c r="D631" s="306">
        <f t="shared" ca="1" si="269"/>
        <v>-0.7316218123579733</v>
      </c>
      <c r="E631" s="307">
        <f t="shared" ca="1" si="270"/>
        <v>-1.3409631665076258</v>
      </c>
      <c r="F631" s="304">
        <f t="shared" ca="1" si="271"/>
        <v>1.5275642998735355</v>
      </c>
      <c r="G631" s="306">
        <f t="shared" ca="1" si="272"/>
        <v>9.2223980792310432</v>
      </c>
      <c r="H631" s="307">
        <f t="shared" ca="1" si="273"/>
        <v>-106.75672243205209</v>
      </c>
      <c r="I631" s="304">
        <f t="shared" ca="1" si="274"/>
        <v>107.15432987409336</v>
      </c>
      <c r="J631" s="306">
        <f t="shared" ca="1" si="275"/>
        <v>746.86410190403069</v>
      </c>
      <c r="K631" s="307">
        <f t="shared" ca="1" si="276"/>
        <v>-4.8624329951912504</v>
      </c>
      <c r="L631" s="304">
        <f t="shared" ca="1" si="261"/>
        <v>746.87993008752551</v>
      </c>
      <c r="M631" s="306">
        <f t="shared" ca="1" si="277"/>
        <v>-1.4846232160935988</v>
      </c>
      <c r="N631" s="304">
        <f t="shared" ca="1" si="278"/>
        <v>-85.062644449302013</v>
      </c>
      <c r="P631" s="310">
        <f t="shared" ca="1" si="279"/>
        <v>23</v>
      </c>
      <c r="Q631" s="304">
        <f t="shared" ca="1" si="280"/>
        <v>0</v>
      </c>
      <c r="R631" s="306">
        <f t="shared" ca="1" si="281"/>
        <v>0</v>
      </c>
      <c r="S631" s="307">
        <f t="shared" ca="1" si="282"/>
        <v>5.083000000000002</v>
      </c>
      <c r="T631" s="304">
        <f t="shared" ca="1" si="262"/>
        <v>49.86423000000002</v>
      </c>
      <c r="U631" s="311">
        <f t="shared" ca="1" si="263"/>
        <v>0</v>
      </c>
      <c r="V631" s="306">
        <f t="shared" ca="1" si="264"/>
        <v>1.225595792892062</v>
      </c>
      <c r="W631" s="304">
        <f t="shared" ca="1" si="265"/>
        <v>43.208595446701672</v>
      </c>
      <c r="Y631" s="314" t="str">
        <f t="shared" ca="1" si="283"/>
        <v/>
      </c>
      <c r="Z631" s="315" t="str">
        <f t="shared" ca="1" si="284"/>
        <v/>
      </c>
      <c r="AA631" s="316" t="str">
        <f t="shared" ca="1" si="285"/>
        <v/>
      </c>
      <c r="AC631" s="310" t="e">
        <f t="shared" ca="1" si="286"/>
        <v>#N/A</v>
      </c>
      <c r="AD631" s="323" t="e">
        <f t="shared" ca="1" si="287"/>
        <v>#N/A</v>
      </c>
      <c r="AE631" s="324" t="e">
        <f t="shared" ca="1" si="266"/>
        <v>#N/A</v>
      </c>
      <c r="AG631" s="306">
        <f t="shared" ca="1" si="288"/>
        <v>1.2730185876215536</v>
      </c>
      <c r="AH631" s="304">
        <f t="shared" ca="1" si="289"/>
        <v>-8.50057970748869</v>
      </c>
    </row>
    <row r="632" spans="1:34" x14ac:dyDescent="0.2">
      <c r="A632" s="347">
        <f t="shared" ca="1" si="267"/>
        <v>1E-4</v>
      </c>
      <c r="B632" s="304">
        <f t="shared" ca="1" si="268"/>
        <v>29.224600000000091</v>
      </c>
      <c r="D632" s="306">
        <f t="shared" ca="1" si="269"/>
        <v>-0.73161765860541794</v>
      </c>
      <c r="E632" s="307">
        <f t="shared" ca="1" si="270"/>
        <v>-1.3409334258710821</v>
      </c>
      <c r="F632" s="304">
        <f t="shared" ca="1" si="271"/>
        <v>1.5275362028448396</v>
      </c>
      <c r="G632" s="306">
        <f t="shared" ca="1" si="272"/>
        <v>9.2223249174651833</v>
      </c>
      <c r="H632" s="307">
        <f t="shared" ca="1" si="273"/>
        <v>-106.75685652539467</v>
      </c>
      <c r="I632" s="304">
        <f t="shared" ca="1" si="274"/>
        <v>107.15445717312464</v>
      </c>
      <c r="J632" s="306">
        <f t="shared" ca="1" si="275"/>
        <v>746.86410190403069</v>
      </c>
      <c r="K632" s="307">
        <f t="shared" ca="1" si="276"/>
        <v>-4.8731086741391225</v>
      </c>
      <c r="L632" s="304">
        <f t="shared" ca="1" si="261"/>
        <v>746.8799996659867</v>
      </c>
      <c r="M632" s="306">
        <f t="shared" ca="1" si="277"/>
        <v>-1.4846240040331606</v>
      </c>
      <c r="N632" s="304">
        <f t="shared" ca="1" si="278"/>
        <v>-85.062689594913408</v>
      </c>
      <c r="P632" s="310">
        <f t="shared" ca="1" si="279"/>
        <v>23</v>
      </c>
      <c r="Q632" s="304">
        <f t="shared" ca="1" si="280"/>
        <v>0</v>
      </c>
      <c r="R632" s="306">
        <f t="shared" ca="1" si="281"/>
        <v>0</v>
      </c>
      <c r="S632" s="307">
        <f t="shared" ca="1" si="282"/>
        <v>5.083000000000002</v>
      </c>
      <c r="T632" s="304">
        <f t="shared" ca="1" si="262"/>
        <v>49.86423000000002</v>
      </c>
      <c r="U632" s="311">
        <f t="shared" ca="1" si="263"/>
        <v>0</v>
      </c>
      <c r="V632" s="306">
        <f t="shared" ca="1" si="264"/>
        <v>1.2255971012995583</v>
      </c>
      <c r="W632" s="304">
        <f t="shared" ca="1" si="265"/>
        <v>43.208744238379559</v>
      </c>
      <c r="Y632" s="314" t="str">
        <f t="shared" ca="1" si="283"/>
        <v/>
      </c>
      <c r="Z632" s="315" t="str">
        <f t="shared" ca="1" si="284"/>
        <v/>
      </c>
      <c r="AA632" s="316" t="str">
        <f t="shared" ca="1" si="285"/>
        <v/>
      </c>
      <c r="AC632" s="310" t="e">
        <f t="shared" ca="1" si="286"/>
        <v>#N/A</v>
      </c>
      <c r="AD632" s="323" t="e">
        <f t="shared" ca="1" si="287"/>
        <v>#N/A</v>
      </c>
      <c r="AE632" s="324" t="e">
        <f t="shared" ca="1" si="266"/>
        <v>#N/A</v>
      </c>
      <c r="AG632" s="306">
        <f t="shared" ca="1" si="288"/>
        <v>1.2729899801193625</v>
      </c>
      <c r="AH632" s="304">
        <f t="shared" ca="1" si="289"/>
        <v>-8.5006089802678844</v>
      </c>
    </row>
    <row r="633" spans="1:34" x14ac:dyDescent="0.2">
      <c r="A633" s="347">
        <f t="shared" ca="1" si="267"/>
        <v>1E-4</v>
      </c>
      <c r="B633" s="304">
        <f t="shared" ca="1" si="268"/>
        <v>29.224700000000091</v>
      </c>
      <c r="D633" s="306">
        <f t="shared" ca="1" si="269"/>
        <v>-0.7316135048437693</v>
      </c>
      <c r="E633" s="307">
        <f t="shared" ca="1" si="270"/>
        <v>-1.3409036856060936</v>
      </c>
      <c r="F633" s="304">
        <f t="shared" ca="1" si="271"/>
        <v>1.5275081062114824</v>
      </c>
      <c r="G633" s="306">
        <f t="shared" ca="1" si="272"/>
        <v>9.2222517561146997</v>
      </c>
      <c r="H633" s="307">
        <f t="shared" ca="1" si="273"/>
        <v>-106.75699061576323</v>
      </c>
      <c r="I633" s="304">
        <f t="shared" ca="1" si="274"/>
        <v>107.1545844692952</v>
      </c>
      <c r="J633" s="306">
        <f t="shared" ca="1" si="275"/>
        <v>746.86410190403069</v>
      </c>
      <c r="K633" s="307">
        <f t="shared" ca="1" si="276"/>
        <v>-4.8837843664961804</v>
      </c>
      <c r="L633" s="304">
        <f t="shared" ca="1" si="261"/>
        <v>746.88006939712398</v>
      </c>
      <c r="M633" s="306">
        <f t="shared" ca="1" si="277"/>
        <v>-1.4846247919645994</v>
      </c>
      <c r="N633" s="304">
        <f t="shared" ca="1" si="278"/>
        <v>-85.062734740059398</v>
      </c>
      <c r="P633" s="310">
        <f t="shared" ca="1" si="279"/>
        <v>23</v>
      </c>
      <c r="Q633" s="304">
        <f t="shared" ca="1" si="280"/>
        <v>0</v>
      </c>
      <c r="R633" s="306">
        <f t="shared" ca="1" si="281"/>
        <v>0</v>
      </c>
      <c r="S633" s="307">
        <f t="shared" ca="1" si="282"/>
        <v>5.083000000000002</v>
      </c>
      <c r="T633" s="304">
        <f t="shared" ca="1" si="262"/>
        <v>49.86423000000002</v>
      </c>
      <c r="U633" s="311">
        <f t="shared" ca="1" si="263"/>
        <v>0</v>
      </c>
      <c r="V633" s="306">
        <f t="shared" ca="1" si="264"/>
        <v>1.2255984097100951</v>
      </c>
      <c r="W633" s="304">
        <f t="shared" ca="1" si="265"/>
        <v>43.208893028198688</v>
      </c>
      <c r="Y633" s="314" t="str">
        <f t="shared" ca="1" si="283"/>
        <v/>
      </c>
      <c r="Z633" s="315" t="str">
        <f t="shared" ca="1" si="284"/>
        <v/>
      </c>
      <c r="AA633" s="316" t="str">
        <f t="shared" ca="1" si="285"/>
        <v/>
      </c>
      <c r="AC633" s="310" t="e">
        <f t="shared" ca="1" si="286"/>
        <v>#N/A</v>
      </c>
      <c r="AD633" s="323" t="e">
        <f t="shared" ca="1" si="287"/>
        <v>#N/A</v>
      </c>
      <c r="AE633" s="324" t="e">
        <f t="shared" ca="1" si="266"/>
        <v>#N/A</v>
      </c>
      <c r="AG633" s="306">
        <f t="shared" ca="1" si="288"/>
        <v>1.2729613729699256</v>
      </c>
      <c r="AH633" s="304">
        <f t="shared" ca="1" si="289"/>
        <v>-8.5006382526813979</v>
      </c>
    </row>
    <row r="634" spans="1:34" x14ac:dyDescent="0.2">
      <c r="A634" s="347">
        <f t="shared" ca="1" si="267"/>
        <v>1E-4</v>
      </c>
      <c r="B634" s="304">
        <f t="shared" ca="1" si="268"/>
        <v>29.224800000000091</v>
      </c>
      <c r="D634" s="306">
        <f t="shared" ca="1" si="269"/>
        <v>-0.7316093510730306</v>
      </c>
      <c r="E634" s="307">
        <f t="shared" ca="1" si="270"/>
        <v>-1.3408739457126604</v>
      </c>
      <c r="F634" s="304">
        <f t="shared" ca="1" si="271"/>
        <v>1.527480009973466</v>
      </c>
      <c r="G634" s="306">
        <f t="shared" ca="1" si="272"/>
        <v>9.2221785951795923</v>
      </c>
      <c r="H634" s="307">
        <f t="shared" ca="1" si="273"/>
        <v>-106.7571247031578</v>
      </c>
      <c r="I634" s="304">
        <f t="shared" ca="1" si="274"/>
        <v>107.15471176260507</v>
      </c>
      <c r="J634" s="306">
        <f t="shared" ca="1" si="275"/>
        <v>746.86410190403069</v>
      </c>
      <c r="K634" s="307">
        <f t="shared" ca="1" si="276"/>
        <v>-4.8944600722621265</v>
      </c>
      <c r="L634" s="304">
        <f t="shared" ca="1" si="261"/>
        <v>746.8801392809379</v>
      </c>
      <c r="M634" s="306">
        <f t="shared" ca="1" si="277"/>
        <v>-1.4846255798879153</v>
      </c>
      <c r="N634" s="304">
        <f t="shared" ca="1" si="278"/>
        <v>-85.062779884739982</v>
      </c>
      <c r="P634" s="310">
        <f t="shared" ca="1" si="279"/>
        <v>23</v>
      </c>
      <c r="Q634" s="304">
        <f t="shared" ca="1" si="280"/>
        <v>0</v>
      </c>
      <c r="R634" s="306">
        <f t="shared" ca="1" si="281"/>
        <v>0</v>
      </c>
      <c r="S634" s="307">
        <f t="shared" ca="1" si="282"/>
        <v>5.083000000000002</v>
      </c>
      <c r="T634" s="304">
        <f t="shared" ca="1" si="262"/>
        <v>49.86423000000002</v>
      </c>
      <c r="U634" s="311">
        <f t="shared" ca="1" si="263"/>
        <v>0</v>
      </c>
      <c r="V634" s="306">
        <f t="shared" ca="1" si="264"/>
        <v>1.2255997181236724</v>
      </c>
      <c r="W634" s="304">
        <f t="shared" ca="1" si="265"/>
        <v>43.209041816159086</v>
      </c>
      <c r="Y634" s="314" t="str">
        <f t="shared" ca="1" si="283"/>
        <v/>
      </c>
      <c r="Z634" s="315" t="str">
        <f t="shared" ca="1" si="284"/>
        <v/>
      </c>
      <c r="AA634" s="316" t="str">
        <f t="shared" ca="1" si="285"/>
        <v/>
      </c>
      <c r="AC634" s="310" t="e">
        <f t="shared" ca="1" si="286"/>
        <v>#N/A</v>
      </c>
      <c r="AD634" s="323" t="e">
        <f t="shared" ca="1" si="287"/>
        <v>#N/A</v>
      </c>
      <c r="AE634" s="324" t="e">
        <f t="shared" ca="1" si="266"/>
        <v>#N/A</v>
      </c>
      <c r="AG634" s="306">
        <f t="shared" ca="1" si="288"/>
        <v>1.2729327661732448</v>
      </c>
      <c r="AH634" s="304">
        <f t="shared" ca="1" si="289"/>
        <v>-8.5006675247292289</v>
      </c>
    </row>
    <row r="635" spans="1:34" x14ac:dyDescent="0.2">
      <c r="A635" s="347">
        <f t="shared" ca="1" si="267"/>
        <v>1E-4</v>
      </c>
      <c r="B635" s="304">
        <f t="shared" ca="1" si="268"/>
        <v>29.22490000000009</v>
      </c>
      <c r="D635" s="306">
        <f t="shared" ca="1" si="269"/>
        <v>-0.73160519729320217</v>
      </c>
      <c r="E635" s="307">
        <f t="shared" ca="1" si="270"/>
        <v>-1.340844206190777</v>
      </c>
      <c r="F635" s="304">
        <f t="shared" ca="1" si="271"/>
        <v>1.5274519141307854</v>
      </c>
      <c r="G635" s="306">
        <f t="shared" ca="1" si="272"/>
        <v>9.2221054346598628</v>
      </c>
      <c r="H635" s="307">
        <f t="shared" ca="1" si="273"/>
        <v>-106.75725878757842</v>
      </c>
      <c r="I635" s="304">
        <f t="shared" ca="1" si="274"/>
        <v>107.15483905305432</v>
      </c>
      <c r="J635" s="306">
        <f t="shared" ca="1" si="275"/>
        <v>746.86410190403069</v>
      </c>
      <c r="K635" s="307">
        <f t="shared" ca="1" si="276"/>
        <v>-4.9051357914366633</v>
      </c>
      <c r="L635" s="304">
        <f t="shared" ca="1" si="261"/>
        <v>746.88020931742915</v>
      </c>
      <c r="M635" s="306">
        <f t="shared" ca="1" si="277"/>
        <v>-1.4846263678031089</v>
      </c>
      <c r="N635" s="304">
        <f t="shared" ca="1" si="278"/>
        <v>-85.062825028955189</v>
      </c>
      <c r="P635" s="310">
        <f t="shared" ca="1" si="279"/>
        <v>23</v>
      </c>
      <c r="Q635" s="304">
        <f t="shared" ca="1" si="280"/>
        <v>0</v>
      </c>
      <c r="R635" s="306">
        <f t="shared" ca="1" si="281"/>
        <v>0</v>
      </c>
      <c r="S635" s="307">
        <f t="shared" ca="1" si="282"/>
        <v>5.083000000000002</v>
      </c>
      <c r="T635" s="304">
        <f t="shared" ca="1" si="262"/>
        <v>49.86423000000002</v>
      </c>
      <c r="U635" s="311">
        <f t="shared" ca="1" si="263"/>
        <v>0</v>
      </c>
      <c r="V635" s="306">
        <f t="shared" ca="1" si="264"/>
        <v>1.2256010265402906</v>
      </c>
      <c r="W635" s="304">
        <f t="shared" ca="1" si="265"/>
        <v>43.20919060226079</v>
      </c>
      <c r="Y635" s="314" t="str">
        <f t="shared" ca="1" si="283"/>
        <v/>
      </c>
      <c r="Z635" s="315" t="str">
        <f t="shared" ca="1" si="284"/>
        <v/>
      </c>
      <c r="AA635" s="316" t="str">
        <f t="shared" ca="1" si="285"/>
        <v/>
      </c>
      <c r="AC635" s="310" t="e">
        <f t="shared" ca="1" si="286"/>
        <v>#N/A</v>
      </c>
      <c r="AD635" s="323" t="e">
        <f t="shared" ca="1" si="287"/>
        <v>#N/A</v>
      </c>
      <c r="AE635" s="324" t="e">
        <f t="shared" ca="1" si="266"/>
        <v>#N/A</v>
      </c>
      <c r="AG635" s="306">
        <f t="shared" ca="1" si="288"/>
        <v>1.2729041597293165</v>
      </c>
      <c r="AH635" s="304">
        <f t="shared" ca="1" si="289"/>
        <v>-8.5006967964113844</v>
      </c>
    </row>
    <row r="636" spans="1:34" x14ac:dyDescent="0.2">
      <c r="A636" s="347">
        <f t="shared" ca="1" si="267"/>
        <v>1E-4</v>
      </c>
      <c r="B636" s="304">
        <f t="shared" ca="1" si="268"/>
        <v>29.22500000000009</v>
      </c>
      <c r="D636" s="306">
        <f t="shared" ca="1" si="269"/>
        <v>-0.73160104350428234</v>
      </c>
      <c r="E636" s="307">
        <f t="shared" ca="1" si="270"/>
        <v>-1.3408144670404347</v>
      </c>
      <c r="F636" s="304">
        <f t="shared" ca="1" si="271"/>
        <v>1.5274238186834328</v>
      </c>
      <c r="G636" s="306">
        <f t="shared" ca="1" si="272"/>
        <v>9.222032274555513</v>
      </c>
      <c r="H636" s="307">
        <f t="shared" ca="1" si="273"/>
        <v>-106.75739286902513</v>
      </c>
      <c r="I636" s="304">
        <f t="shared" ca="1" si="274"/>
        <v>107.15496634064293</v>
      </c>
      <c r="J636" s="306">
        <f t="shared" ca="1" si="275"/>
        <v>746.86410190403069</v>
      </c>
      <c r="K636" s="307">
        <f t="shared" ca="1" si="276"/>
        <v>-4.9158115240194933</v>
      </c>
      <c r="L636" s="304">
        <f t="shared" ca="1" si="261"/>
        <v>746.88027950659796</v>
      </c>
      <c r="M636" s="306">
        <f t="shared" ca="1" si="277"/>
        <v>-1.4846271557101798</v>
      </c>
      <c r="N636" s="304">
        <f t="shared" ca="1" si="278"/>
        <v>-85.062870172705004</v>
      </c>
      <c r="P636" s="310">
        <f t="shared" ca="1" si="279"/>
        <v>23</v>
      </c>
      <c r="Q636" s="304">
        <f t="shared" ca="1" si="280"/>
        <v>0</v>
      </c>
      <c r="R636" s="306">
        <f t="shared" ca="1" si="281"/>
        <v>0</v>
      </c>
      <c r="S636" s="307">
        <f t="shared" ca="1" si="282"/>
        <v>5.083000000000002</v>
      </c>
      <c r="T636" s="304">
        <f t="shared" ca="1" si="262"/>
        <v>49.86423000000002</v>
      </c>
      <c r="U636" s="311">
        <f t="shared" ca="1" si="263"/>
        <v>0</v>
      </c>
      <c r="V636" s="306">
        <f t="shared" ca="1" si="264"/>
        <v>1.2256023349599496</v>
      </c>
      <c r="W636" s="304">
        <f t="shared" ca="1" si="265"/>
        <v>43.209339386503785</v>
      </c>
      <c r="Y636" s="314" t="str">
        <f t="shared" ca="1" si="283"/>
        <v/>
      </c>
      <c r="Z636" s="315" t="str">
        <f t="shared" ca="1" si="284"/>
        <v/>
      </c>
      <c r="AA636" s="316" t="str">
        <f t="shared" ca="1" si="285"/>
        <v/>
      </c>
      <c r="AC636" s="310" t="e">
        <f t="shared" ca="1" si="286"/>
        <v>#N/A</v>
      </c>
      <c r="AD636" s="323" t="e">
        <f t="shared" ca="1" si="287"/>
        <v>#N/A</v>
      </c>
      <c r="AE636" s="324" t="e">
        <f t="shared" ca="1" si="266"/>
        <v>#N/A</v>
      </c>
      <c r="AG636" s="306">
        <f t="shared" ca="1" si="288"/>
        <v>1.2728755536381282</v>
      </c>
      <c r="AH636" s="304">
        <f t="shared" ca="1" si="289"/>
        <v>-8.5007260677278715</v>
      </c>
    </row>
    <row r="637" spans="1:34" x14ac:dyDescent="0.2">
      <c r="A637" s="347">
        <f t="shared" ca="1" si="267"/>
        <v>1E-4</v>
      </c>
      <c r="B637" s="304">
        <f t="shared" ca="1" si="268"/>
        <v>29.22510000000009</v>
      </c>
      <c r="D637" s="306">
        <f t="shared" ca="1" si="269"/>
        <v>-0.73159688970627434</v>
      </c>
      <c r="E637" s="307">
        <f t="shared" ca="1" si="270"/>
        <v>-1.3407847282616387</v>
      </c>
      <c r="F637" s="304">
        <f t="shared" ca="1" si="271"/>
        <v>1.527395723631414</v>
      </c>
      <c r="G637" s="306">
        <f t="shared" ca="1" si="272"/>
        <v>9.221959114866543</v>
      </c>
      <c r="H637" s="307">
        <f t="shared" ca="1" si="273"/>
        <v>-106.75752694749795</v>
      </c>
      <c r="I637" s="304">
        <f t="shared" ca="1" si="274"/>
        <v>107.15509362537098</v>
      </c>
      <c r="J637" s="306">
        <f t="shared" ca="1" si="275"/>
        <v>746.86410190403069</v>
      </c>
      <c r="K637" s="307">
        <f t="shared" ca="1" si="276"/>
        <v>-4.9264872700103197</v>
      </c>
      <c r="L637" s="304">
        <f t="shared" ca="1" si="261"/>
        <v>746.88034984844523</v>
      </c>
      <c r="M637" s="306">
        <f t="shared" ca="1" si="277"/>
        <v>-1.4846279436091283</v>
      </c>
      <c r="N637" s="304">
        <f t="shared" ca="1" si="278"/>
        <v>-85.062915315989429</v>
      </c>
      <c r="P637" s="310">
        <f t="shared" ca="1" si="279"/>
        <v>23</v>
      </c>
      <c r="Q637" s="304">
        <f t="shared" ca="1" si="280"/>
        <v>0</v>
      </c>
      <c r="R637" s="306">
        <f t="shared" ca="1" si="281"/>
        <v>0</v>
      </c>
      <c r="S637" s="307">
        <f t="shared" ca="1" si="282"/>
        <v>5.083000000000002</v>
      </c>
      <c r="T637" s="304">
        <f t="shared" ca="1" si="262"/>
        <v>49.86423000000002</v>
      </c>
      <c r="U637" s="311">
        <f t="shared" ca="1" si="263"/>
        <v>0</v>
      </c>
      <c r="V637" s="306">
        <f t="shared" ca="1" si="264"/>
        <v>1.2256036433826485</v>
      </c>
      <c r="W637" s="304">
        <f t="shared" ca="1" si="265"/>
        <v>43.209488168888079</v>
      </c>
      <c r="Y637" s="314" t="str">
        <f t="shared" ca="1" si="283"/>
        <v/>
      </c>
      <c r="Z637" s="315" t="str">
        <f t="shared" ca="1" si="284"/>
        <v/>
      </c>
      <c r="AA637" s="316" t="str">
        <f t="shared" ca="1" si="285"/>
        <v/>
      </c>
      <c r="AC637" s="310" t="e">
        <f t="shared" ca="1" si="286"/>
        <v>#N/A</v>
      </c>
      <c r="AD637" s="323" t="e">
        <f t="shared" ca="1" si="287"/>
        <v>#N/A</v>
      </c>
      <c r="AE637" s="324" t="e">
        <f t="shared" ca="1" si="266"/>
        <v>#N/A</v>
      </c>
      <c r="AG637" s="306">
        <f t="shared" ca="1" si="288"/>
        <v>1.2728469478996889</v>
      </c>
      <c r="AH637" s="304">
        <f t="shared" ca="1" si="289"/>
        <v>-8.5007553386786867</v>
      </c>
    </row>
    <row r="638" spans="1:34" x14ac:dyDescent="0.2">
      <c r="A638" s="347">
        <f t="shared" ca="1" si="267"/>
        <v>1E-4</v>
      </c>
      <c r="B638" s="304">
        <f t="shared" ca="1" si="268"/>
        <v>29.22520000000009</v>
      </c>
      <c r="D638" s="306">
        <f t="shared" ca="1" si="269"/>
        <v>-0.73159273589917817</v>
      </c>
      <c r="E638" s="307">
        <f t="shared" ca="1" si="270"/>
        <v>-1.3407549898543838</v>
      </c>
      <c r="F638" s="304">
        <f t="shared" ca="1" si="271"/>
        <v>1.5273676289747249</v>
      </c>
      <c r="G638" s="306">
        <f t="shared" ca="1" si="272"/>
        <v>9.2218859555929527</v>
      </c>
      <c r="H638" s="307">
        <f t="shared" ca="1" si="273"/>
        <v>-106.75766102299694</v>
      </c>
      <c r="I638" s="304">
        <f t="shared" ca="1" si="274"/>
        <v>107.1552209072385</v>
      </c>
      <c r="J638" s="306">
        <f t="shared" ca="1" si="275"/>
        <v>746.86410190403069</v>
      </c>
      <c r="K638" s="307">
        <f t="shared" ca="1" si="276"/>
        <v>-4.9371630294088442</v>
      </c>
      <c r="L638" s="304">
        <f t="shared" ca="1" si="261"/>
        <v>746.88042034297109</v>
      </c>
      <c r="M638" s="306">
        <f t="shared" ca="1" si="277"/>
        <v>-1.4846287314999544</v>
      </c>
      <c r="N638" s="304">
        <f t="shared" ca="1" si="278"/>
        <v>-85.06296045880849</v>
      </c>
      <c r="P638" s="310">
        <f t="shared" ca="1" si="279"/>
        <v>23</v>
      </c>
      <c r="Q638" s="304">
        <f t="shared" ca="1" si="280"/>
        <v>0</v>
      </c>
      <c r="R638" s="306">
        <f t="shared" ca="1" si="281"/>
        <v>0</v>
      </c>
      <c r="S638" s="307">
        <f t="shared" ca="1" si="282"/>
        <v>5.083000000000002</v>
      </c>
      <c r="T638" s="304">
        <f t="shared" ca="1" si="262"/>
        <v>49.86423000000002</v>
      </c>
      <c r="U638" s="311">
        <f t="shared" ca="1" si="263"/>
        <v>0</v>
      </c>
      <c r="V638" s="306">
        <f t="shared" ca="1" si="264"/>
        <v>1.2256049518083878</v>
      </c>
      <c r="W638" s="304">
        <f t="shared" ca="1" si="265"/>
        <v>43.209636949413714</v>
      </c>
      <c r="Y638" s="314" t="str">
        <f t="shared" ca="1" si="283"/>
        <v/>
      </c>
      <c r="Z638" s="315" t="str">
        <f t="shared" ca="1" si="284"/>
        <v/>
      </c>
      <c r="AA638" s="316" t="str">
        <f t="shared" ca="1" si="285"/>
        <v/>
      </c>
      <c r="AC638" s="310" t="e">
        <f t="shared" ca="1" si="286"/>
        <v>#N/A</v>
      </c>
      <c r="AD638" s="323" t="e">
        <f t="shared" ca="1" si="287"/>
        <v>#N/A</v>
      </c>
      <c r="AE638" s="324" t="e">
        <f t="shared" ca="1" si="266"/>
        <v>#N/A</v>
      </c>
      <c r="AG638" s="306">
        <f t="shared" ca="1" si="288"/>
        <v>1.2728183425139914</v>
      </c>
      <c r="AH638" s="304">
        <f t="shared" ca="1" si="289"/>
        <v>-8.5007846092638335</v>
      </c>
    </row>
    <row r="639" spans="1:34" x14ac:dyDescent="0.2">
      <c r="A639" s="347">
        <f t="shared" ca="1" si="267"/>
        <v>1E-4</v>
      </c>
      <c r="B639" s="304">
        <f t="shared" ca="1" si="268"/>
        <v>29.22530000000009</v>
      </c>
      <c r="D639" s="306">
        <f t="shared" ca="1" si="269"/>
        <v>-0.73158858208299571</v>
      </c>
      <c r="E639" s="307">
        <f t="shared" ca="1" si="270"/>
        <v>-1.3407252518186681</v>
      </c>
      <c r="F639" s="304">
        <f t="shared" ca="1" si="271"/>
        <v>1.5273395347133651</v>
      </c>
      <c r="G639" s="306">
        <f t="shared" ca="1" si="272"/>
        <v>9.2218127967347439</v>
      </c>
      <c r="H639" s="307">
        <f t="shared" ca="1" si="273"/>
        <v>-106.75779509552213</v>
      </c>
      <c r="I639" s="304">
        <f t="shared" ca="1" si="274"/>
        <v>107.1553481862455</v>
      </c>
      <c r="J639" s="306">
        <f t="shared" ca="1" si="275"/>
        <v>746.86410190403069</v>
      </c>
      <c r="K639" s="307">
        <f t="shared" ca="1" si="276"/>
        <v>-4.9478388022147701</v>
      </c>
      <c r="L639" s="304">
        <f t="shared" ca="1" si="261"/>
        <v>746.88049099017644</v>
      </c>
      <c r="M639" s="306">
        <f t="shared" ca="1" si="277"/>
        <v>-1.4846295193826584</v>
      </c>
      <c r="N639" s="304">
        <f t="shared" ca="1" si="278"/>
        <v>-85.063005601162175</v>
      </c>
      <c r="P639" s="310">
        <f t="shared" ca="1" si="279"/>
        <v>23</v>
      </c>
      <c r="Q639" s="304">
        <f t="shared" ca="1" si="280"/>
        <v>0</v>
      </c>
      <c r="R639" s="306">
        <f t="shared" ca="1" si="281"/>
        <v>0</v>
      </c>
      <c r="S639" s="307">
        <f t="shared" ca="1" si="282"/>
        <v>5.083000000000002</v>
      </c>
      <c r="T639" s="304">
        <f t="shared" ca="1" si="262"/>
        <v>49.86423000000002</v>
      </c>
      <c r="U639" s="311">
        <f t="shared" ca="1" si="263"/>
        <v>0</v>
      </c>
      <c r="V639" s="306">
        <f t="shared" ca="1" si="264"/>
        <v>1.2256062602371678</v>
      </c>
      <c r="W639" s="304">
        <f t="shared" ca="1" si="265"/>
        <v>43.209785728080668</v>
      </c>
      <c r="Y639" s="314" t="str">
        <f t="shared" ca="1" si="283"/>
        <v/>
      </c>
      <c r="Z639" s="315" t="str">
        <f t="shared" ca="1" si="284"/>
        <v/>
      </c>
      <c r="AA639" s="316" t="str">
        <f t="shared" ca="1" si="285"/>
        <v/>
      </c>
      <c r="AC639" s="310" t="e">
        <f t="shared" ca="1" si="286"/>
        <v>#N/A</v>
      </c>
      <c r="AD639" s="323" t="e">
        <f t="shared" ca="1" si="287"/>
        <v>#N/A</v>
      </c>
      <c r="AE639" s="324" t="e">
        <f t="shared" ca="1" si="266"/>
        <v>#N/A</v>
      </c>
      <c r="AG639" s="306">
        <f t="shared" ca="1" si="288"/>
        <v>1.2727897374810322</v>
      </c>
      <c r="AH639" s="304">
        <f t="shared" ca="1" si="289"/>
        <v>-8.5008138794833155</v>
      </c>
    </row>
    <row r="640" spans="1:34" x14ac:dyDescent="0.2">
      <c r="A640" s="347">
        <f t="shared" ca="1" si="267"/>
        <v>1E-4</v>
      </c>
      <c r="B640" s="304">
        <f t="shared" ca="1" si="268"/>
        <v>29.225400000000089</v>
      </c>
      <c r="D640" s="306">
        <f t="shared" ca="1" si="269"/>
        <v>-0.73158442825772685</v>
      </c>
      <c r="E640" s="307">
        <f t="shared" ca="1" si="270"/>
        <v>-1.3406955141544898</v>
      </c>
      <c r="F640" s="304">
        <f t="shared" ca="1" si="271"/>
        <v>1.5273114408473332</v>
      </c>
      <c r="G640" s="306">
        <f t="shared" ca="1" si="272"/>
        <v>9.2217396382919183</v>
      </c>
      <c r="H640" s="307">
        <f t="shared" ca="1" si="273"/>
        <v>-106.75792916507355</v>
      </c>
      <c r="I640" s="304">
        <f t="shared" ca="1" si="274"/>
        <v>107.15547546239205</v>
      </c>
      <c r="J640" s="306">
        <f t="shared" ca="1" si="275"/>
        <v>746.86410190403069</v>
      </c>
      <c r="K640" s="307">
        <f t="shared" ca="1" si="276"/>
        <v>-4.9585145884277999</v>
      </c>
      <c r="L640" s="304">
        <f t="shared" ca="1" si="261"/>
        <v>746.88056179006151</v>
      </c>
      <c r="M640" s="306">
        <f t="shared" ca="1" si="277"/>
        <v>-1.4846303072572404</v>
      </c>
      <c r="N640" s="304">
        <f t="shared" ca="1" si="278"/>
        <v>-85.063050743050511</v>
      </c>
      <c r="P640" s="310">
        <f t="shared" ca="1" si="279"/>
        <v>23</v>
      </c>
      <c r="Q640" s="304">
        <f t="shared" ca="1" si="280"/>
        <v>0</v>
      </c>
      <c r="R640" s="306">
        <f t="shared" ca="1" si="281"/>
        <v>0</v>
      </c>
      <c r="S640" s="307">
        <f t="shared" ca="1" si="282"/>
        <v>5.083000000000002</v>
      </c>
      <c r="T640" s="304">
        <f t="shared" ca="1" si="262"/>
        <v>49.86423000000002</v>
      </c>
      <c r="U640" s="311">
        <f t="shared" ca="1" si="263"/>
        <v>0</v>
      </c>
      <c r="V640" s="306">
        <f t="shared" ca="1" si="264"/>
        <v>1.2256075686689878</v>
      </c>
      <c r="W640" s="304">
        <f t="shared" ca="1" si="265"/>
        <v>43.209934504888963</v>
      </c>
      <c r="Y640" s="314" t="str">
        <f t="shared" ca="1" si="283"/>
        <v/>
      </c>
      <c r="Z640" s="315" t="str">
        <f t="shared" ca="1" si="284"/>
        <v/>
      </c>
      <c r="AA640" s="316" t="str">
        <f t="shared" ca="1" si="285"/>
        <v/>
      </c>
      <c r="AC640" s="310" t="e">
        <f t="shared" ca="1" si="286"/>
        <v>#N/A</v>
      </c>
      <c r="AD640" s="323" t="e">
        <f t="shared" ca="1" si="287"/>
        <v>#N/A</v>
      </c>
      <c r="AE640" s="324" t="e">
        <f t="shared" ca="1" si="266"/>
        <v>#N/A</v>
      </c>
      <c r="AG640" s="306">
        <f t="shared" ca="1" si="288"/>
        <v>1.2727611328008148</v>
      </c>
      <c r="AH640" s="304">
        <f t="shared" ca="1" si="289"/>
        <v>-8.5008431493371344</v>
      </c>
    </row>
    <row r="641" spans="1:34" x14ac:dyDescent="0.2">
      <c r="A641" s="347">
        <f t="shared" ca="1" si="267"/>
        <v>1E-4</v>
      </c>
      <c r="B641" s="304">
        <f t="shared" ca="1" si="268"/>
        <v>29.225500000000089</v>
      </c>
      <c r="D641" s="306">
        <f t="shared" ca="1" si="269"/>
        <v>-0.73158027442337137</v>
      </c>
      <c r="E641" s="307">
        <f t="shared" ca="1" si="270"/>
        <v>-1.3406657768618455</v>
      </c>
      <c r="F641" s="304">
        <f t="shared" ca="1" si="271"/>
        <v>1.5272833473766259</v>
      </c>
      <c r="G641" s="306">
        <f t="shared" ca="1" si="272"/>
        <v>9.2216664802644761</v>
      </c>
      <c r="H641" s="307">
        <f t="shared" ca="1" si="273"/>
        <v>-106.75806323165124</v>
      </c>
      <c r="I641" s="304">
        <f t="shared" ca="1" si="274"/>
        <v>107.15560273567816</v>
      </c>
      <c r="J641" s="306">
        <f t="shared" ca="1" si="275"/>
        <v>746.86410190403069</v>
      </c>
      <c r="K641" s="307">
        <f t="shared" ca="1" si="276"/>
        <v>-4.969190388047636</v>
      </c>
      <c r="L641" s="304">
        <f t="shared" ca="1" si="261"/>
        <v>746.88063274262709</v>
      </c>
      <c r="M641" s="306">
        <f t="shared" ca="1" si="277"/>
        <v>-1.4846310951237003</v>
      </c>
      <c r="N641" s="304">
        <f t="shared" ca="1" si="278"/>
        <v>-85.063095884473483</v>
      </c>
      <c r="P641" s="310">
        <f t="shared" ca="1" si="279"/>
        <v>23</v>
      </c>
      <c r="Q641" s="304">
        <f t="shared" ca="1" si="280"/>
        <v>0</v>
      </c>
      <c r="R641" s="306">
        <f t="shared" ca="1" si="281"/>
        <v>0</v>
      </c>
      <c r="S641" s="307">
        <f t="shared" ca="1" si="282"/>
        <v>5.083000000000002</v>
      </c>
      <c r="T641" s="304">
        <f t="shared" ca="1" si="262"/>
        <v>49.86423000000002</v>
      </c>
      <c r="U641" s="311">
        <f t="shared" ca="1" si="263"/>
        <v>0</v>
      </c>
      <c r="V641" s="306">
        <f t="shared" ca="1" si="264"/>
        <v>1.2256088771038487</v>
      </c>
      <c r="W641" s="304">
        <f t="shared" ca="1" si="265"/>
        <v>43.210083279838649</v>
      </c>
      <c r="Y641" s="314" t="str">
        <f t="shared" ca="1" si="283"/>
        <v/>
      </c>
      <c r="Z641" s="315" t="str">
        <f t="shared" ca="1" si="284"/>
        <v/>
      </c>
      <c r="AA641" s="316" t="str">
        <f t="shared" ca="1" si="285"/>
        <v/>
      </c>
      <c r="AC641" s="310" t="e">
        <f t="shared" ca="1" si="286"/>
        <v>#N/A</v>
      </c>
      <c r="AD641" s="323" t="e">
        <f t="shared" ca="1" si="287"/>
        <v>#N/A</v>
      </c>
      <c r="AE641" s="324" t="e">
        <f t="shared" ca="1" si="266"/>
        <v>#N/A</v>
      </c>
      <c r="AG641" s="306">
        <f t="shared" ca="1" si="288"/>
        <v>1.2727325284733357</v>
      </c>
      <c r="AH641" s="304">
        <f t="shared" ca="1" si="289"/>
        <v>-8.5008724188252902</v>
      </c>
    </row>
    <row r="642" spans="1:34" x14ac:dyDescent="0.2">
      <c r="A642" s="347">
        <f t="shared" ca="1" si="267"/>
        <v>1E-4</v>
      </c>
      <c r="B642" s="304">
        <f t="shared" ca="1" si="268"/>
        <v>29.225600000000089</v>
      </c>
      <c r="D642" s="306">
        <f t="shared" ca="1" si="269"/>
        <v>-0.73157612057993338</v>
      </c>
      <c r="E642" s="307">
        <f t="shared" ca="1" si="270"/>
        <v>-1.3406360399407298</v>
      </c>
      <c r="F642" s="304">
        <f t="shared" ca="1" si="271"/>
        <v>1.5272552543012405</v>
      </c>
      <c r="G642" s="306">
        <f t="shared" ca="1" si="272"/>
        <v>9.2215933226524189</v>
      </c>
      <c r="H642" s="307">
        <f t="shared" ca="1" si="273"/>
        <v>-106.75819729525523</v>
      </c>
      <c r="I642" s="304">
        <f t="shared" ca="1" si="274"/>
        <v>107.15573000610387</v>
      </c>
      <c r="J642" s="306">
        <f t="shared" ca="1" si="275"/>
        <v>746.86410190403069</v>
      </c>
      <c r="K642" s="307">
        <f t="shared" ca="1" si="276"/>
        <v>-4.9798662010739809</v>
      </c>
      <c r="L642" s="304">
        <f t="shared" ca="1" si="261"/>
        <v>746.88070384787352</v>
      </c>
      <c r="M642" s="306">
        <f t="shared" ca="1" si="277"/>
        <v>-1.4846318829820384</v>
      </c>
      <c r="N642" s="304">
        <f t="shared" ca="1" si="278"/>
        <v>-85.063141025431108</v>
      </c>
      <c r="P642" s="310">
        <f t="shared" ca="1" si="279"/>
        <v>23</v>
      </c>
      <c r="Q642" s="304">
        <f t="shared" ca="1" si="280"/>
        <v>0</v>
      </c>
      <c r="R642" s="306">
        <f t="shared" ca="1" si="281"/>
        <v>0</v>
      </c>
      <c r="S642" s="307">
        <f t="shared" ca="1" si="282"/>
        <v>5.083000000000002</v>
      </c>
      <c r="T642" s="304">
        <f t="shared" ca="1" si="262"/>
        <v>49.86423000000002</v>
      </c>
      <c r="U642" s="311">
        <f t="shared" ca="1" si="263"/>
        <v>0</v>
      </c>
      <c r="V642" s="306">
        <f t="shared" ca="1" si="264"/>
        <v>1.2256101855417492</v>
      </c>
      <c r="W642" s="304">
        <f t="shared" ca="1" si="265"/>
        <v>43.210232052929676</v>
      </c>
      <c r="Y642" s="314" t="str">
        <f t="shared" ca="1" si="283"/>
        <v/>
      </c>
      <c r="Z642" s="315" t="str">
        <f t="shared" ca="1" si="284"/>
        <v/>
      </c>
      <c r="AA642" s="316" t="str">
        <f t="shared" ca="1" si="285"/>
        <v/>
      </c>
      <c r="AC642" s="310" t="e">
        <f t="shared" ca="1" si="286"/>
        <v>#N/A</v>
      </c>
      <c r="AD642" s="323" t="e">
        <f t="shared" ca="1" si="287"/>
        <v>#N/A</v>
      </c>
      <c r="AE642" s="324" t="e">
        <f t="shared" ca="1" si="266"/>
        <v>#N/A</v>
      </c>
      <c r="AG642" s="306">
        <f t="shared" ca="1" si="288"/>
        <v>1.272703924498586</v>
      </c>
      <c r="AH642" s="304">
        <f t="shared" ca="1" si="289"/>
        <v>-8.5009016879477937</v>
      </c>
    </row>
    <row r="643" spans="1:34" x14ac:dyDescent="0.2">
      <c r="A643" s="347">
        <f t="shared" ca="1" si="267"/>
        <v>1E-4</v>
      </c>
      <c r="B643" s="304">
        <f t="shared" ca="1" si="268"/>
        <v>29.225700000000089</v>
      </c>
      <c r="D643" s="306">
        <f t="shared" ca="1" si="269"/>
        <v>-0.73157196672741021</v>
      </c>
      <c r="E643" s="307">
        <f t="shared" ca="1" si="270"/>
        <v>-1.3406063033911462</v>
      </c>
      <c r="F643" s="304">
        <f t="shared" ca="1" si="271"/>
        <v>1.5272271616211797</v>
      </c>
      <c r="G643" s="306">
        <f t="shared" ca="1" si="272"/>
        <v>9.2215201654557468</v>
      </c>
      <c r="H643" s="307">
        <f t="shared" ca="1" si="273"/>
        <v>-106.75833135588557</v>
      </c>
      <c r="I643" s="304">
        <f t="shared" ca="1" si="274"/>
        <v>107.15585727366923</v>
      </c>
      <c r="J643" s="306">
        <f t="shared" ca="1" si="275"/>
        <v>746.86410190403069</v>
      </c>
      <c r="K643" s="307">
        <f t="shared" ca="1" si="276"/>
        <v>-4.990542027506538</v>
      </c>
      <c r="L643" s="304">
        <f t="shared" ca="1" si="261"/>
        <v>746.88077510580138</v>
      </c>
      <c r="M643" s="306">
        <f t="shared" ca="1" si="277"/>
        <v>-1.4846326708322548</v>
      </c>
      <c r="N643" s="304">
        <f t="shared" ca="1" si="278"/>
        <v>-85.063186165923398</v>
      </c>
      <c r="P643" s="310">
        <f t="shared" ca="1" si="279"/>
        <v>23</v>
      </c>
      <c r="Q643" s="304">
        <f t="shared" ca="1" si="280"/>
        <v>0</v>
      </c>
      <c r="R643" s="306">
        <f t="shared" ca="1" si="281"/>
        <v>0</v>
      </c>
      <c r="S643" s="307">
        <f t="shared" ca="1" si="282"/>
        <v>5.083000000000002</v>
      </c>
      <c r="T643" s="304">
        <f t="shared" ca="1" si="262"/>
        <v>49.86423000000002</v>
      </c>
      <c r="U643" s="311">
        <f t="shared" ca="1" si="263"/>
        <v>0</v>
      </c>
      <c r="V643" s="306">
        <f t="shared" ca="1" si="264"/>
        <v>1.2256114939826908</v>
      </c>
      <c r="W643" s="304">
        <f t="shared" ca="1" si="265"/>
        <v>43.210380824162144</v>
      </c>
      <c r="Y643" s="314" t="str">
        <f t="shared" ca="1" si="283"/>
        <v/>
      </c>
      <c r="Z643" s="315" t="str">
        <f t="shared" ca="1" si="284"/>
        <v/>
      </c>
      <c r="AA643" s="316" t="str">
        <f t="shared" ca="1" si="285"/>
        <v/>
      </c>
      <c r="AC643" s="310" t="e">
        <f t="shared" ca="1" si="286"/>
        <v>#N/A</v>
      </c>
      <c r="AD643" s="323" t="e">
        <f t="shared" ca="1" si="287"/>
        <v>#N/A</v>
      </c>
      <c r="AE643" s="324" t="e">
        <f t="shared" ca="1" si="266"/>
        <v>#N/A</v>
      </c>
      <c r="AG643" s="306">
        <f t="shared" ca="1" si="288"/>
        <v>1.2726753208765729</v>
      </c>
      <c r="AH643" s="304">
        <f t="shared" ca="1" si="289"/>
        <v>-8.5009309567046358</v>
      </c>
    </row>
    <row r="644" spans="1:34" x14ac:dyDescent="0.2">
      <c r="A644" s="347">
        <f t="shared" ca="1" si="267"/>
        <v>1E-4</v>
      </c>
      <c r="B644" s="304">
        <f t="shared" ca="1" si="268"/>
        <v>29.225800000000088</v>
      </c>
      <c r="D644" s="306">
        <f t="shared" ca="1" si="269"/>
        <v>-0.73156781286580497</v>
      </c>
      <c r="E644" s="307">
        <f t="shared" ca="1" si="270"/>
        <v>-1.3405765672130805</v>
      </c>
      <c r="F644" s="304">
        <f t="shared" ca="1" si="271"/>
        <v>1.5271990693364321</v>
      </c>
      <c r="G644" s="306">
        <f t="shared" ca="1" si="272"/>
        <v>9.2214470086744598</v>
      </c>
      <c r="H644" s="307">
        <f t="shared" ca="1" si="273"/>
        <v>-106.7584654135423</v>
      </c>
      <c r="I644" s="304">
        <f t="shared" ca="1" si="274"/>
        <v>107.15598453837424</v>
      </c>
      <c r="J644" s="306">
        <f t="shared" ca="1" si="275"/>
        <v>746.86410190403069</v>
      </c>
      <c r="K644" s="307">
        <f t="shared" ca="1" si="276"/>
        <v>-5.0012178673450096</v>
      </c>
      <c r="L644" s="304">
        <f t="shared" ref="L644:L707" ca="1" si="290">SQRT(pos_x^2+pos_z^2)</f>
        <v>746.88084651641122</v>
      </c>
      <c r="M644" s="306">
        <f t="shared" ca="1" si="277"/>
        <v>-1.4846334586743497</v>
      </c>
      <c r="N644" s="304">
        <f t="shared" ca="1" si="278"/>
        <v>-85.063231305950353</v>
      </c>
      <c r="P644" s="310">
        <f t="shared" ca="1" si="279"/>
        <v>23</v>
      </c>
      <c r="Q644" s="304">
        <f t="shared" ca="1" si="280"/>
        <v>0</v>
      </c>
      <c r="R644" s="306">
        <f t="shared" ca="1" si="281"/>
        <v>0</v>
      </c>
      <c r="S644" s="307">
        <f t="shared" ca="1" si="282"/>
        <v>5.083000000000002</v>
      </c>
      <c r="T644" s="304">
        <f t="shared" ref="T644:T707" ca="1" si="291">m*g</f>
        <v>49.86423000000002</v>
      </c>
      <c r="U644" s="311">
        <f t="shared" ref="U644:U707" ca="1" si="292">IF(pos_xz&lt;L_rampe,Poids*COS(Beta),0)</f>
        <v>0</v>
      </c>
      <c r="V644" s="306">
        <f t="shared" ref="V644:V707" ca="1" si="293">Rho_moyen*(20000-Alt_rampe-pos_z)/(20000+Alt_rampe+pos_z)</f>
        <v>1.2256128024266724</v>
      </c>
      <c r="W644" s="304">
        <f t="shared" ref="W644:W707" ca="1" si="294">1/2*Rho*Sref*Cx*vit_xz^2</f>
        <v>43.210529593535973</v>
      </c>
      <c r="Y644" s="314" t="str">
        <f t="shared" ca="1" si="283"/>
        <v/>
      </c>
      <c r="Z644" s="315" t="str">
        <f t="shared" ca="1" si="284"/>
        <v/>
      </c>
      <c r="AA644" s="316" t="str">
        <f t="shared" ca="1" si="285"/>
        <v/>
      </c>
      <c r="AC644" s="310" t="e">
        <f t="shared" ca="1" si="286"/>
        <v>#N/A</v>
      </c>
      <c r="AD644" s="323" t="e">
        <f t="shared" ca="1" si="287"/>
        <v>#N/A</v>
      </c>
      <c r="AE644" s="324" t="e">
        <f t="shared" ref="AE644:AE707" ca="1" si="295">IF(t&lt;T_para, pos_z, NA())</f>
        <v>#N/A</v>
      </c>
      <c r="AG644" s="306">
        <f t="shared" ca="1" si="288"/>
        <v>1.2726467176072802</v>
      </c>
      <c r="AH644" s="304">
        <f t="shared" ca="1" si="289"/>
        <v>-8.5009602250958345</v>
      </c>
    </row>
    <row r="645" spans="1:34" x14ac:dyDescent="0.2">
      <c r="A645" s="347">
        <f t="shared" ref="A645:A708" ca="1" si="296">IF(B644+0.01&lt;=T_ini+ROUNDUP(Temps_fin_propu,0), 0.01, IF(K644&gt;0, 0.1, 0.0001))</f>
        <v>1E-4</v>
      </c>
      <c r="B645" s="304">
        <f t="shared" ref="B645:B708" ca="1" si="297">B644+pas</f>
        <v>29.225900000000088</v>
      </c>
      <c r="D645" s="306">
        <f t="shared" ref="D645:D708" ca="1" si="298">IF(AND(L644&lt;L_rampe,Poussee&lt;Poids*SIN(M644)),0,(-W644+Poussee)/m*COS(M644)-U644/m*SIN(M644))</f>
        <v>-0.73156365899511611</v>
      </c>
      <c r="E645" s="307">
        <f t="shared" ref="E645:E708" ca="1" si="299">IF(AND(L644&lt;L_rampe,Poussee&lt;Poids*SIN(M644)),0,(-W644+Poussee)/m*SIN(M644)+U644/m*COS(M644)-Poids/m)</f>
        <v>-1.3405468314065452</v>
      </c>
      <c r="F645" s="304">
        <f t="shared" ref="F645:F708" ca="1" si="300">SQRT(acc_x^2+acc_z^2)</f>
        <v>1.5271709774470084</v>
      </c>
      <c r="G645" s="306">
        <f t="shared" ref="G645:G708" ca="1" si="301">G644+acc_x*pas</f>
        <v>9.2213738523085595</v>
      </c>
      <c r="H645" s="307">
        <f t="shared" ref="H645:H708" ca="1" si="302">H644+acc_z*pas</f>
        <v>-106.75859946822544</v>
      </c>
      <c r="I645" s="304">
        <f t="shared" ref="I645:I708" ca="1" si="303">SQRT(vit_x^2+vit_z^2)</f>
        <v>107.15611180021897</v>
      </c>
      <c r="J645" s="306">
        <f t="shared" ref="J645:J708" ca="1" si="304">J644+0.5*(vit_x+G644)*pas*(K644&gt;=0)</f>
        <v>746.86410190403069</v>
      </c>
      <c r="K645" s="307">
        <f t="shared" ref="K645:K708" ca="1" si="305">K644+0.5*(vit_z+H644)*pas</f>
        <v>-5.0118937205890983</v>
      </c>
      <c r="L645" s="304">
        <f t="shared" ca="1" si="290"/>
        <v>746.88091807970352</v>
      </c>
      <c r="M645" s="306">
        <f t="shared" ref="M645:M708" ca="1" si="306">IF(AND(L644&gt;L_rampe,G645&gt;0),ATAN2(G645,H645),$M$4)</f>
        <v>-1.4846342465083231</v>
      </c>
      <c r="N645" s="304">
        <f t="shared" ref="N645:N708" ca="1" si="307">DEGREES(Beta)</f>
        <v>-85.063276445511988</v>
      </c>
      <c r="P645" s="310">
        <f t="shared" ref="P645:P708" ca="1" si="308">MATCH(t-pas/2-T_ini,CdP_t)</f>
        <v>23</v>
      </c>
      <c r="Q645" s="304">
        <f t="shared" ref="Q645:Q708" ca="1" si="309">(INDEX(CdP,2,i_P+1)-INDEX(CdP,2,i_P+0))/(INDEX(CdP,1,i_P+1)-INDEX(CdP,1,i_P+0))*(t-pas/2-T_ini-INDEX(CdP,1,i_P+0))+INDEX(CdP,2,i_P+0)</f>
        <v>0</v>
      </c>
      <c r="R645" s="306">
        <f t="shared" ref="R645:R708" ca="1" si="310">Poussee/(g*ISP)</f>
        <v>0</v>
      </c>
      <c r="S645" s="307">
        <f t="shared" ref="S645:S708" ca="1" si="311">S644-Débit*pas</f>
        <v>5.083000000000002</v>
      </c>
      <c r="T645" s="304">
        <f t="shared" ca="1" si="291"/>
        <v>49.86423000000002</v>
      </c>
      <c r="U645" s="311">
        <f t="shared" ca="1" si="292"/>
        <v>0</v>
      </c>
      <c r="V645" s="306">
        <f t="shared" ca="1" si="293"/>
        <v>1.2256141108736938</v>
      </c>
      <c r="W645" s="304">
        <f t="shared" ca="1" si="294"/>
        <v>43.210678361051208</v>
      </c>
      <c r="Y645" s="314" t="str">
        <f t="shared" ref="Y645:Y708" ca="1" si="312">IF(AND(pos_z&lt;=0,K644&gt;0),"Impact balistique","") &amp; IF(AND(H646&lt;0,vit_z&gt;=0),"Apogée","") &amp; IF(AND(Poussee=0,Q644&gt;0),"Fin de propulsion","") &amp; IF(AND(L646&gt;L_rampe,pos_xz&lt;=L_rampe),"Sortie de rampe","")</f>
        <v/>
      </c>
      <c r="Z645" s="315" t="str">
        <f t="shared" ref="Z645:Z708" ca="1" si="313">IF(ABS(t-T_para)&lt;pas/2,"Para","")</f>
        <v/>
      </c>
      <c r="AA645" s="316" t="str">
        <f t="shared" ref="AA645:AA708" ca="1" si="314">IF(ABS(t-T_satellite)&lt;pas/2,"Satellite","")</f>
        <v/>
      </c>
      <c r="AC645" s="310" t="e">
        <f t="shared" ref="AC645:AC708" ca="1" si="315">IF(ABS(t-ROUND(t,0))&lt;0.001,t,NA())</f>
        <v>#N/A</v>
      </c>
      <c r="AD645" s="323" t="e">
        <f t="shared" ref="AD645:AD708" ca="1" si="316">IF(ABS(t-ROUND(t,0))&lt;0.001,pos_x,NA())</f>
        <v>#N/A</v>
      </c>
      <c r="AE645" s="324" t="e">
        <f t="shared" ca="1" si="295"/>
        <v>#N/A</v>
      </c>
      <c r="AG645" s="306">
        <f t="shared" ref="AG645:AG708" ca="1" si="317">IF(AND(L644&lt;L_rampe,Poussee&lt;Poids*SIN(M644)),0,(-W644+Poussee)/m-Poids*SIN(M644)/m)</f>
        <v>1.2726181146907223</v>
      </c>
      <c r="AH645" s="304">
        <f t="shared" ref="AH645:AH708" ca="1" si="318">IF(AND(L644&lt;L_rampe,Poussee&lt;Poids*SIN(M644)), g*SIN(M644), (-W644+Poussee)/m)</f>
        <v>-8.5009894931213772</v>
      </c>
    </row>
    <row r="646" spans="1:34" x14ac:dyDescent="0.2">
      <c r="A646" s="347">
        <f t="shared" ca="1" si="296"/>
        <v>1E-4</v>
      </c>
      <c r="B646" s="304">
        <f t="shared" ca="1" si="297"/>
        <v>29.226000000000088</v>
      </c>
      <c r="D646" s="306">
        <f t="shared" ca="1" si="298"/>
        <v>-0.73155950511534584</v>
      </c>
      <c r="E646" s="307">
        <f t="shared" ca="1" si="299"/>
        <v>-1.3405170959715331</v>
      </c>
      <c r="F646" s="304">
        <f t="shared" ca="1" si="300"/>
        <v>1.5271428859529033</v>
      </c>
      <c r="G646" s="306">
        <f t="shared" ca="1" si="301"/>
        <v>9.2213006963580479</v>
      </c>
      <c r="H646" s="307">
        <f t="shared" ca="1" si="302"/>
        <v>-106.75873351993503</v>
      </c>
      <c r="I646" s="304">
        <f t="shared" ca="1" si="303"/>
        <v>107.15623905920343</v>
      </c>
      <c r="J646" s="306">
        <f t="shared" ca="1" si="304"/>
        <v>746.86410190403069</v>
      </c>
      <c r="K646" s="307">
        <f t="shared" ca="1" si="305"/>
        <v>-5.0225695872385065</v>
      </c>
      <c r="L646" s="304">
        <f t="shared" ca="1" si="290"/>
        <v>746.88098979567883</v>
      </c>
      <c r="M646" s="306">
        <f t="shared" ca="1" si="306"/>
        <v>-1.484635034334175</v>
      </c>
      <c r="N646" s="304">
        <f t="shared" ca="1" si="307"/>
        <v>-85.063321584608289</v>
      </c>
      <c r="P646" s="310">
        <f t="shared" ca="1" si="308"/>
        <v>23</v>
      </c>
      <c r="Q646" s="304">
        <f t="shared" ca="1" si="309"/>
        <v>0</v>
      </c>
      <c r="R646" s="306">
        <f t="shared" ca="1" si="310"/>
        <v>0</v>
      </c>
      <c r="S646" s="307">
        <f t="shared" ca="1" si="311"/>
        <v>5.083000000000002</v>
      </c>
      <c r="T646" s="304">
        <f t="shared" ca="1" si="291"/>
        <v>49.86423000000002</v>
      </c>
      <c r="U646" s="311">
        <f t="shared" ca="1" si="292"/>
        <v>0</v>
      </c>
      <c r="V646" s="306">
        <f t="shared" ca="1" si="293"/>
        <v>1.2256154193237558</v>
      </c>
      <c r="W646" s="304">
        <f t="shared" ca="1" si="294"/>
        <v>43.210827126707876</v>
      </c>
      <c r="Y646" s="314" t="str">
        <f t="shared" ca="1" si="312"/>
        <v/>
      </c>
      <c r="Z646" s="315" t="str">
        <f t="shared" ca="1" si="313"/>
        <v/>
      </c>
      <c r="AA646" s="316" t="str">
        <f t="shared" ca="1" si="314"/>
        <v/>
      </c>
      <c r="AC646" s="310" t="e">
        <f t="shared" ca="1" si="315"/>
        <v>#N/A</v>
      </c>
      <c r="AD646" s="323" t="e">
        <f t="shared" ca="1" si="316"/>
        <v>#N/A</v>
      </c>
      <c r="AE646" s="324" t="e">
        <f t="shared" ca="1" si="295"/>
        <v>#N/A</v>
      </c>
      <c r="AG646" s="306">
        <f t="shared" ca="1" si="317"/>
        <v>1.2725895121268884</v>
      </c>
      <c r="AH646" s="304">
        <f t="shared" ca="1" si="318"/>
        <v>-8.5010187607812693</v>
      </c>
    </row>
    <row r="647" spans="1:34" x14ac:dyDescent="0.2">
      <c r="A647" s="347">
        <f t="shared" ca="1" si="296"/>
        <v>1E-4</v>
      </c>
      <c r="B647" s="304">
        <f t="shared" ca="1" si="297"/>
        <v>29.226100000000088</v>
      </c>
      <c r="D647" s="306">
        <f t="shared" ca="1" si="298"/>
        <v>-0.73155535122649618</v>
      </c>
      <c r="E647" s="307">
        <f t="shared" ca="1" si="299"/>
        <v>-1.3404873609080354</v>
      </c>
      <c r="F647" s="304">
        <f t="shared" ca="1" si="300"/>
        <v>1.5271147948541104</v>
      </c>
      <c r="G647" s="306">
        <f t="shared" ca="1" si="301"/>
        <v>9.221227540822925</v>
      </c>
      <c r="H647" s="307">
        <f t="shared" ca="1" si="302"/>
        <v>-106.75886756867112</v>
      </c>
      <c r="I647" s="304">
        <f t="shared" ca="1" si="303"/>
        <v>107.15636631532766</v>
      </c>
      <c r="J647" s="306">
        <f t="shared" ca="1" si="304"/>
        <v>746.86410190403069</v>
      </c>
      <c r="K647" s="307">
        <f t="shared" ca="1" si="305"/>
        <v>-5.0332454672929368</v>
      </c>
      <c r="L647" s="304">
        <f t="shared" ca="1" si="290"/>
        <v>746.88106166433784</v>
      </c>
      <c r="M647" s="306">
        <f t="shared" ca="1" si="306"/>
        <v>-1.4846358221519056</v>
      </c>
      <c r="N647" s="304">
        <f t="shared" ca="1" si="307"/>
        <v>-85.063366723239284</v>
      </c>
      <c r="P647" s="310">
        <f t="shared" ca="1" si="308"/>
        <v>23</v>
      </c>
      <c r="Q647" s="304">
        <f t="shared" ca="1" si="309"/>
        <v>0</v>
      </c>
      <c r="R647" s="306">
        <f t="shared" ca="1" si="310"/>
        <v>0</v>
      </c>
      <c r="S647" s="307">
        <f t="shared" ca="1" si="311"/>
        <v>5.083000000000002</v>
      </c>
      <c r="T647" s="304">
        <f t="shared" ca="1" si="291"/>
        <v>49.86423000000002</v>
      </c>
      <c r="U647" s="311">
        <f t="shared" ca="1" si="292"/>
        <v>0</v>
      </c>
      <c r="V647" s="306">
        <f t="shared" ca="1" si="293"/>
        <v>1.2256167277768579</v>
      </c>
      <c r="W647" s="304">
        <f t="shared" ca="1" si="294"/>
        <v>43.210975890505978</v>
      </c>
      <c r="Y647" s="314" t="str">
        <f t="shared" ca="1" si="312"/>
        <v/>
      </c>
      <c r="Z647" s="315" t="str">
        <f t="shared" ca="1" si="313"/>
        <v/>
      </c>
      <c r="AA647" s="316" t="str">
        <f t="shared" ca="1" si="314"/>
        <v/>
      </c>
      <c r="AC647" s="310" t="e">
        <f t="shared" ca="1" si="315"/>
        <v>#N/A</v>
      </c>
      <c r="AD647" s="323" t="e">
        <f t="shared" ca="1" si="316"/>
        <v>#N/A</v>
      </c>
      <c r="AE647" s="324" t="e">
        <f t="shared" ca="1" si="295"/>
        <v>#N/A</v>
      </c>
      <c r="AG647" s="306">
        <f t="shared" ca="1" si="317"/>
        <v>1.2725609099157804</v>
      </c>
      <c r="AH647" s="304">
        <f t="shared" ca="1" si="318"/>
        <v>-8.5010480280755178</v>
      </c>
    </row>
    <row r="648" spans="1:34" x14ac:dyDescent="0.2">
      <c r="A648" s="347">
        <f t="shared" ca="1" si="296"/>
        <v>1E-4</v>
      </c>
      <c r="B648" s="304">
        <f t="shared" ca="1" si="297"/>
        <v>29.226200000000087</v>
      </c>
      <c r="D648" s="306">
        <f t="shared" ca="1" si="298"/>
        <v>-0.73155119732856699</v>
      </c>
      <c r="E648" s="307">
        <f t="shared" ca="1" si="299"/>
        <v>-1.3404576262160575</v>
      </c>
      <c r="F648" s="304">
        <f t="shared" ca="1" si="300"/>
        <v>1.5270867041506346</v>
      </c>
      <c r="G648" s="306">
        <f t="shared" ca="1" si="301"/>
        <v>9.2211543857031923</v>
      </c>
      <c r="H648" s="307">
        <f t="shared" ca="1" si="302"/>
        <v>-106.75900161443374</v>
      </c>
      <c r="I648" s="304">
        <f t="shared" ca="1" si="303"/>
        <v>107.15649356859173</v>
      </c>
      <c r="J648" s="306">
        <f t="shared" ca="1" si="304"/>
        <v>746.86410190403069</v>
      </c>
      <c r="K648" s="307">
        <f t="shared" ca="1" si="305"/>
        <v>-5.0439213607520923</v>
      </c>
      <c r="L648" s="304">
        <f t="shared" ca="1" si="290"/>
        <v>746.88113368568077</v>
      </c>
      <c r="M648" s="306">
        <f t="shared" ca="1" si="306"/>
        <v>-1.4846366099615151</v>
      </c>
      <c r="N648" s="304">
        <f t="shared" ca="1" si="307"/>
        <v>-85.063411861404973</v>
      </c>
      <c r="P648" s="310">
        <f t="shared" ca="1" si="308"/>
        <v>23</v>
      </c>
      <c r="Q648" s="304">
        <f t="shared" ca="1" si="309"/>
        <v>0</v>
      </c>
      <c r="R648" s="306">
        <f t="shared" ca="1" si="310"/>
        <v>0</v>
      </c>
      <c r="S648" s="307">
        <f t="shared" ca="1" si="311"/>
        <v>5.083000000000002</v>
      </c>
      <c r="T648" s="304">
        <f t="shared" ca="1" si="291"/>
        <v>49.86423000000002</v>
      </c>
      <c r="U648" s="311">
        <f t="shared" ca="1" si="292"/>
        <v>0</v>
      </c>
      <c r="V648" s="306">
        <f t="shared" ca="1" si="293"/>
        <v>1.2256180362330003</v>
      </c>
      <c r="W648" s="304">
        <f t="shared" ca="1" si="294"/>
        <v>43.211124652445555</v>
      </c>
      <c r="Y648" s="314" t="str">
        <f t="shared" ca="1" si="312"/>
        <v/>
      </c>
      <c r="Z648" s="315" t="str">
        <f t="shared" ca="1" si="313"/>
        <v/>
      </c>
      <c r="AA648" s="316" t="str">
        <f t="shared" ca="1" si="314"/>
        <v/>
      </c>
      <c r="AC648" s="310" t="e">
        <f t="shared" ca="1" si="315"/>
        <v>#N/A</v>
      </c>
      <c r="AD648" s="323" t="e">
        <f t="shared" ca="1" si="316"/>
        <v>#N/A</v>
      </c>
      <c r="AE648" s="324" t="e">
        <f t="shared" ca="1" si="295"/>
        <v>#N/A</v>
      </c>
      <c r="AG648" s="306">
        <f t="shared" ca="1" si="317"/>
        <v>1.2725323080573894</v>
      </c>
      <c r="AH648" s="304">
        <f t="shared" ca="1" si="318"/>
        <v>-8.5010772950041229</v>
      </c>
    </row>
    <row r="649" spans="1:34" x14ac:dyDescent="0.2">
      <c r="A649" s="347">
        <f t="shared" ca="1" si="296"/>
        <v>1E-4</v>
      </c>
      <c r="B649" s="304">
        <f t="shared" ca="1" si="297"/>
        <v>29.226300000000087</v>
      </c>
      <c r="D649" s="306">
        <f t="shared" ca="1" si="298"/>
        <v>-0.73154704342155874</v>
      </c>
      <c r="E649" s="307">
        <f t="shared" ca="1" si="299"/>
        <v>-1.340427891895585</v>
      </c>
      <c r="F649" s="304">
        <f t="shared" ca="1" si="300"/>
        <v>1.5270586138424636</v>
      </c>
      <c r="G649" s="306">
        <f t="shared" ca="1" si="301"/>
        <v>9.2210812309988501</v>
      </c>
      <c r="H649" s="307">
        <f t="shared" ca="1" si="302"/>
        <v>-106.75913565722293</v>
      </c>
      <c r="I649" s="304">
        <f t="shared" ca="1" si="303"/>
        <v>107.15662081899563</v>
      </c>
      <c r="J649" s="306">
        <f t="shared" ca="1" si="304"/>
        <v>746.86410190403069</v>
      </c>
      <c r="K649" s="307">
        <f t="shared" ca="1" si="305"/>
        <v>-5.0545972676156747</v>
      </c>
      <c r="L649" s="304">
        <f t="shared" ca="1" si="290"/>
        <v>746.88120585970842</v>
      </c>
      <c r="M649" s="306">
        <f t="shared" ca="1" si="306"/>
        <v>-1.4846373977630036</v>
      </c>
      <c r="N649" s="304">
        <f t="shared" ca="1" si="307"/>
        <v>-85.063456999105355</v>
      </c>
      <c r="P649" s="310">
        <f t="shared" ca="1" si="308"/>
        <v>23</v>
      </c>
      <c r="Q649" s="304">
        <f t="shared" ca="1" si="309"/>
        <v>0</v>
      </c>
      <c r="R649" s="306">
        <f t="shared" ca="1" si="310"/>
        <v>0</v>
      </c>
      <c r="S649" s="307">
        <f t="shared" ca="1" si="311"/>
        <v>5.083000000000002</v>
      </c>
      <c r="T649" s="304">
        <f t="shared" ca="1" si="291"/>
        <v>49.86423000000002</v>
      </c>
      <c r="U649" s="311">
        <f t="shared" ca="1" si="292"/>
        <v>0</v>
      </c>
      <c r="V649" s="306">
        <f t="shared" ca="1" si="293"/>
        <v>1.2256193446921824</v>
      </c>
      <c r="W649" s="304">
        <f t="shared" ca="1" si="294"/>
        <v>43.211273412526573</v>
      </c>
      <c r="Y649" s="314" t="str">
        <f t="shared" ca="1" si="312"/>
        <v/>
      </c>
      <c r="Z649" s="315" t="str">
        <f t="shared" ca="1" si="313"/>
        <v/>
      </c>
      <c r="AA649" s="316" t="str">
        <f t="shared" ca="1" si="314"/>
        <v/>
      </c>
      <c r="AC649" s="310" t="e">
        <f t="shared" ca="1" si="315"/>
        <v>#N/A</v>
      </c>
      <c r="AD649" s="323" t="e">
        <f t="shared" ca="1" si="316"/>
        <v>#N/A</v>
      </c>
      <c r="AE649" s="324" t="e">
        <f t="shared" ca="1" si="295"/>
        <v>#N/A</v>
      </c>
      <c r="AG649" s="306">
        <f t="shared" ca="1" si="317"/>
        <v>1.2725037065517153</v>
      </c>
      <c r="AH649" s="304">
        <f t="shared" ca="1" si="318"/>
        <v>-8.5011065615670933</v>
      </c>
    </row>
    <row r="650" spans="1:34" x14ac:dyDescent="0.2">
      <c r="A650" s="347">
        <f t="shared" ca="1" si="296"/>
        <v>1E-4</v>
      </c>
      <c r="B650" s="304">
        <f t="shared" ca="1" si="297"/>
        <v>29.226400000000087</v>
      </c>
      <c r="D650" s="306">
        <f t="shared" ca="1" si="298"/>
        <v>-0.7315428895054723</v>
      </c>
      <c r="E650" s="307">
        <f t="shared" ca="1" si="299"/>
        <v>-1.3403981579466286</v>
      </c>
      <c r="F650" s="304">
        <f t="shared" ca="1" si="300"/>
        <v>1.5270305239296071</v>
      </c>
      <c r="G650" s="306">
        <f t="shared" ca="1" si="301"/>
        <v>9.2210080767099001</v>
      </c>
      <c r="H650" s="307">
        <f t="shared" ca="1" si="302"/>
        <v>-106.75926969703872</v>
      </c>
      <c r="I650" s="304">
        <f t="shared" ca="1" si="303"/>
        <v>107.15674806653942</v>
      </c>
      <c r="J650" s="306">
        <f t="shared" ca="1" si="304"/>
        <v>746.86410190403069</v>
      </c>
      <c r="K650" s="307">
        <f t="shared" ca="1" si="305"/>
        <v>-5.0652731878833874</v>
      </c>
      <c r="L650" s="304">
        <f t="shared" ca="1" si="290"/>
        <v>746.88127818642113</v>
      </c>
      <c r="M650" s="306">
        <f t="shared" ca="1" si="306"/>
        <v>-1.4846381855563711</v>
      </c>
      <c r="N650" s="304">
        <f t="shared" ca="1" si="307"/>
        <v>-85.063502136340432</v>
      </c>
      <c r="P650" s="310">
        <f t="shared" ca="1" si="308"/>
        <v>23</v>
      </c>
      <c r="Q650" s="304">
        <f t="shared" ca="1" si="309"/>
        <v>0</v>
      </c>
      <c r="R650" s="306">
        <f t="shared" ca="1" si="310"/>
        <v>0</v>
      </c>
      <c r="S650" s="307">
        <f t="shared" ca="1" si="311"/>
        <v>5.083000000000002</v>
      </c>
      <c r="T650" s="304">
        <f t="shared" ca="1" si="291"/>
        <v>49.86423000000002</v>
      </c>
      <c r="U650" s="311">
        <f t="shared" ca="1" si="292"/>
        <v>0</v>
      </c>
      <c r="V650" s="306">
        <f t="shared" ca="1" si="293"/>
        <v>1.2256206531544049</v>
      </c>
      <c r="W650" s="304">
        <f t="shared" ca="1" si="294"/>
        <v>43.211422170749074</v>
      </c>
      <c r="Y650" s="314" t="str">
        <f t="shared" ca="1" si="312"/>
        <v/>
      </c>
      <c r="Z650" s="315" t="str">
        <f t="shared" ca="1" si="313"/>
        <v/>
      </c>
      <c r="AA650" s="316" t="str">
        <f t="shared" ca="1" si="314"/>
        <v/>
      </c>
      <c r="AC650" s="310" t="e">
        <f t="shared" ca="1" si="315"/>
        <v>#N/A</v>
      </c>
      <c r="AD650" s="323" t="e">
        <f t="shared" ca="1" si="316"/>
        <v>#N/A</v>
      </c>
      <c r="AE650" s="324" t="e">
        <f t="shared" ca="1" si="295"/>
        <v>#N/A</v>
      </c>
      <c r="AG650" s="306">
        <f t="shared" ca="1" si="317"/>
        <v>1.2724751053987582</v>
      </c>
      <c r="AH650" s="304">
        <f t="shared" ca="1" si="318"/>
        <v>-8.501135827764422</v>
      </c>
    </row>
    <row r="651" spans="1:34" x14ac:dyDescent="0.2">
      <c r="A651" s="347">
        <f t="shared" ca="1" si="296"/>
        <v>1E-4</v>
      </c>
      <c r="B651" s="304">
        <f t="shared" ca="1" si="297"/>
        <v>29.226500000000087</v>
      </c>
      <c r="D651" s="306">
        <f t="shared" ca="1" si="298"/>
        <v>-0.73153873558030991</v>
      </c>
      <c r="E651" s="307">
        <f t="shared" ca="1" si="299"/>
        <v>-1.3403684243691796</v>
      </c>
      <c r="F651" s="304">
        <f t="shared" ca="1" si="300"/>
        <v>1.5270024344120594</v>
      </c>
      <c r="G651" s="306">
        <f t="shared" ca="1" si="301"/>
        <v>9.2209349228363422</v>
      </c>
      <c r="H651" s="307">
        <f t="shared" ca="1" si="302"/>
        <v>-106.75940373388116</v>
      </c>
      <c r="I651" s="304">
        <f t="shared" ca="1" si="303"/>
        <v>107.15687531122313</v>
      </c>
      <c r="J651" s="306">
        <f t="shared" ca="1" si="304"/>
        <v>746.86410190403069</v>
      </c>
      <c r="K651" s="307">
        <f t="shared" ca="1" si="305"/>
        <v>-5.0759491215549337</v>
      </c>
      <c r="L651" s="304">
        <f t="shared" ca="1" si="290"/>
        <v>746.88135066581958</v>
      </c>
      <c r="M651" s="306">
        <f t="shared" ca="1" si="306"/>
        <v>-1.4846389733416179</v>
      </c>
      <c r="N651" s="304">
        <f t="shared" ca="1" si="307"/>
        <v>-85.063547273110245</v>
      </c>
      <c r="P651" s="310">
        <f t="shared" ca="1" si="308"/>
        <v>23</v>
      </c>
      <c r="Q651" s="304">
        <f t="shared" ca="1" si="309"/>
        <v>0</v>
      </c>
      <c r="R651" s="306">
        <f t="shared" ca="1" si="310"/>
        <v>0</v>
      </c>
      <c r="S651" s="307">
        <f t="shared" ca="1" si="311"/>
        <v>5.083000000000002</v>
      </c>
      <c r="T651" s="304">
        <f t="shared" ca="1" si="291"/>
        <v>49.86423000000002</v>
      </c>
      <c r="U651" s="311">
        <f t="shared" ca="1" si="292"/>
        <v>0</v>
      </c>
      <c r="V651" s="306">
        <f t="shared" ca="1" si="293"/>
        <v>1.2256219616196673</v>
      </c>
      <c r="W651" s="304">
        <f t="shared" ca="1" si="294"/>
        <v>43.211570927113073</v>
      </c>
      <c r="Y651" s="314" t="str">
        <f t="shared" ca="1" si="312"/>
        <v/>
      </c>
      <c r="Z651" s="315" t="str">
        <f t="shared" ca="1" si="313"/>
        <v/>
      </c>
      <c r="AA651" s="316" t="str">
        <f t="shared" ca="1" si="314"/>
        <v/>
      </c>
      <c r="AC651" s="310" t="e">
        <f t="shared" ca="1" si="315"/>
        <v>#N/A</v>
      </c>
      <c r="AD651" s="323" t="e">
        <f t="shared" ca="1" si="316"/>
        <v>#N/A</v>
      </c>
      <c r="AE651" s="324" t="e">
        <f t="shared" ca="1" si="295"/>
        <v>#N/A</v>
      </c>
      <c r="AG651" s="306">
        <f t="shared" ca="1" si="317"/>
        <v>1.2724465045985163</v>
      </c>
      <c r="AH651" s="304">
        <f t="shared" ca="1" si="318"/>
        <v>-8.5011650935961161</v>
      </c>
    </row>
    <row r="652" spans="1:34" x14ac:dyDescent="0.2">
      <c r="A652" s="347">
        <f t="shared" ca="1" si="296"/>
        <v>1E-4</v>
      </c>
      <c r="B652" s="304">
        <f t="shared" ca="1" si="297"/>
        <v>29.226600000000087</v>
      </c>
      <c r="D652" s="306">
        <f t="shared" ca="1" si="298"/>
        <v>-0.73153458164606977</v>
      </c>
      <c r="E652" s="307">
        <f t="shared" ca="1" si="299"/>
        <v>-1.3403386911632342</v>
      </c>
      <c r="F652" s="304">
        <f t="shared" ca="1" si="300"/>
        <v>1.5269743452898159</v>
      </c>
      <c r="G652" s="306">
        <f t="shared" ca="1" si="301"/>
        <v>9.2208617693781783</v>
      </c>
      <c r="H652" s="307">
        <f t="shared" ca="1" si="302"/>
        <v>-106.75953776775027</v>
      </c>
      <c r="I652" s="304">
        <f t="shared" ca="1" si="303"/>
        <v>107.15700255304679</v>
      </c>
      <c r="J652" s="306">
        <f t="shared" ca="1" si="304"/>
        <v>746.86410190403069</v>
      </c>
      <c r="K652" s="307">
        <f t="shared" ca="1" si="305"/>
        <v>-5.0866250686300152</v>
      </c>
      <c r="L652" s="304">
        <f t="shared" ca="1" si="290"/>
        <v>746.88142329790412</v>
      </c>
      <c r="M652" s="306">
        <f t="shared" ca="1" si="306"/>
        <v>-1.4846397611187439</v>
      </c>
      <c r="N652" s="304">
        <f t="shared" ca="1" si="307"/>
        <v>-85.063592409414753</v>
      </c>
      <c r="P652" s="310">
        <f t="shared" ca="1" si="308"/>
        <v>23</v>
      </c>
      <c r="Q652" s="304">
        <f t="shared" ca="1" si="309"/>
        <v>0</v>
      </c>
      <c r="R652" s="306">
        <f t="shared" ca="1" si="310"/>
        <v>0</v>
      </c>
      <c r="S652" s="307">
        <f t="shared" ca="1" si="311"/>
        <v>5.083000000000002</v>
      </c>
      <c r="T652" s="304">
        <f t="shared" ca="1" si="291"/>
        <v>49.86423000000002</v>
      </c>
      <c r="U652" s="311">
        <f t="shared" ca="1" si="292"/>
        <v>0</v>
      </c>
      <c r="V652" s="306">
        <f t="shared" ca="1" si="293"/>
        <v>1.2256232700879699</v>
      </c>
      <c r="W652" s="304">
        <f t="shared" ca="1" si="294"/>
        <v>43.211719681618582</v>
      </c>
      <c r="Y652" s="314" t="str">
        <f t="shared" ca="1" si="312"/>
        <v/>
      </c>
      <c r="Z652" s="315" t="str">
        <f t="shared" ca="1" si="313"/>
        <v/>
      </c>
      <c r="AA652" s="316" t="str">
        <f t="shared" ca="1" si="314"/>
        <v/>
      </c>
      <c r="AC652" s="310" t="e">
        <f t="shared" ca="1" si="315"/>
        <v>#N/A</v>
      </c>
      <c r="AD652" s="323" t="e">
        <f t="shared" ca="1" si="316"/>
        <v>#N/A</v>
      </c>
      <c r="AE652" s="324" t="e">
        <f t="shared" ca="1" si="295"/>
        <v>#N/A</v>
      </c>
      <c r="AG652" s="306">
        <f t="shared" ca="1" si="317"/>
        <v>1.2724179041509824</v>
      </c>
      <c r="AH652" s="304">
        <f t="shared" ca="1" si="318"/>
        <v>-8.501194359062179</v>
      </c>
    </row>
    <row r="653" spans="1:34" x14ac:dyDescent="0.2">
      <c r="A653" s="347">
        <f t="shared" ca="1" si="296"/>
        <v>1E-4</v>
      </c>
      <c r="B653" s="304">
        <f t="shared" ca="1" si="297"/>
        <v>29.226700000000086</v>
      </c>
      <c r="D653" s="306">
        <f t="shared" ca="1" si="298"/>
        <v>-0.73153042770275556</v>
      </c>
      <c r="E653" s="307">
        <f t="shared" ca="1" si="299"/>
        <v>-1.3403089583287908</v>
      </c>
      <c r="F653" s="304">
        <f t="shared" ca="1" si="300"/>
        <v>1.5269462565628775</v>
      </c>
      <c r="G653" s="306">
        <f t="shared" ca="1" si="301"/>
        <v>9.2207886163354082</v>
      </c>
      <c r="H653" s="307">
        <f t="shared" ca="1" si="302"/>
        <v>-106.75967179864611</v>
      </c>
      <c r="I653" s="304">
        <f t="shared" ca="1" si="303"/>
        <v>107.15712979201045</v>
      </c>
      <c r="J653" s="306">
        <f t="shared" ca="1" si="304"/>
        <v>746.86410190403069</v>
      </c>
      <c r="K653" s="307">
        <f t="shared" ca="1" si="305"/>
        <v>-5.0973010291083352</v>
      </c>
      <c r="L653" s="304">
        <f t="shared" ca="1" si="290"/>
        <v>746.88149608267554</v>
      </c>
      <c r="M653" s="306">
        <f t="shared" ca="1" si="306"/>
        <v>-1.4846405488877492</v>
      </c>
      <c r="N653" s="304">
        <f t="shared" ca="1" si="307"/>
        <v>-85.063637545253997</v>
      </c>
      <c r="P653" s="310">
        <f t="shared" ca="1" si="308"/>
        <v>23</v>
      </c>
      <c r="Q653" s="304">
        <f t="shared" ca="1" si="309"/>
        <v>0</v>
      </c>
      <c r="R653" s="306">
        <f t="shared" ca="1" si="310"/>
        <v>0</v>
      </c>
      <c r="S653" s="307">
        <f t="shared" ca="1" si="311"/>
        <v>5.083000000000002</v>
      </c>
      <c r="T653" s="304">
        <f t="shared" ca="1" si="291"/>
        <v>49.86423000000002</v>
      </c>
      <c r="U653" s="311">
        <f t="shared" ca="1" si="292"/>
        <v>0</v>
      </c>
      <c r="V653" s="306">
        <f t="shared" ca="1" si="293"/>
        <v>1.2256245785593125</v>
      </c>
      <c r="W653" s="304">
        <f t="shared" ca="1" si="294"/>
        <v>43.211868434265597</v>
      </c>
      <c r="Y653" s="314" t="str">
        <f t="shared" ca="1" si="312"/>
        <v/>
      </c>
      <c r="Z653" s="315" t="str">
        <f t="shared" ca="1" si="313"/>
        <v/>
      </c>
      <c r="AA653" s="316" t="str">
        <f t="shared" ca="1" si="314"/>
        <v/>
      </c>
      <c r="AC653" s="310" t="e">
        <f t="shared" ca="1" si="315"/>
        <v>#N/A</v>
      </c>
      <c r="AD653" s="323" t="e">
        <f t="shared" ca="1" si="316"/>
        <v>#N/A</v>
      </c>
      <c r="AE653" s="324" t="e">
        <f t="shared" ca="1" si="295"/>
        <v>#N/A</v>
      </c>
      <c r="AG653" s="306">
        <f t="shared" ca="1" si="317"/>
        <v>1.2723893040561585</v>
      </c>
      <c r="AH653" s="304">
        <f t="shared" ca="1" si="318"/>
        <v>-8.5012236241626145</v>
      </c>
    </row>
    <row r="654" spans="1:34" x14ac:dyDescent="0.2">
      <c r="A654" s="347">
        <f t="shared" ca="1" si="296"/>
        <v>1E-4</v>
      </c>
      <c r="B654" s="304">
        <f t="shared" ca="1" si="297"/>
        <v>29.226800000000086</v>
      </c>
      <c r="D654" s="306">
        <f t="shared" ca="1" si="298"/>
        <v>-0.73152627375036672</v>
      </c>
      <c r="E654" s="307">
        <f t="shared" ca="1" si="299"/>
        <v>-1.3402792258658494</v>
      </c>
      <c r="F654" s="304">
        <f t="shared" ca="1" si="300"/>
        <v>1.5269181682312438</v>
      </c>
      <c r="G654" s="306">
        <f t="shared" ca="1" si="301"/>
        <v>9.220715463708034</v>
      </c>
      <c r="H654" s="307">
        <f t="shared" ca="1" si="302"/>
        <v>-106.75980582656869</v>
      </c>
      <c r="I654" s="304">
        <f t="shared" ca="1" si="303"/>
        <v>107.15725702811413</v>
      </c>
      <c r="J654" s="306">
        <f t="shared" ca="1" si="304"/>
        <v>746.86410190403069</v>
      </c>
      <c r="K654" s="307">
        <f t="shared" ca="1" si="305"/>
        <v>-5.1079770029895961</v>
      </c>
      <c r="L654" s="304">
        <f t="shared" ca="1" si="290"/>
        <v>746.88156902013418</v>
      </c>
      <c r="M654" s="306">
        <f t="shared" ca="1" si="306"/>
        <v>-1.4846413366486342</v>
      </c>
      <c r="N654" s="304">
        <f t="shared" ca="1" si="307"/>
        <v>-85.063682680627977</v>
      </c>
      <c r="P654" s="310">
        <f t="shared" ca="1" si="308"/>
        <v>23</v>
      </c>
      <c r="Q654" s="304">
        <f t="shared" ca="1" si="309"/>
        <v>0</v>
      </c>
      <c r="R654" s="306">
        <f t="shared" ca="1" si="310"/>
        <v>0</v>
      </c>
      <c r="S654" s="307">
        <f t="shared" ca="1" si="311"/>
        <v>5.083000000000002</v>
      </c>
      <c r="T654" s="304">
        <f t="shared" ca="1" si="291"/>
        <v>49.86423000000002</v>
      </c>
      <c r="U654" s="311">
        <f t="shared" ca="1" si="292"/>
        <v>0</v>
      </c>
      <c r="V654" s="306">
        <f t="shared" ca="1" si="293"/>
        <v>1.2256258870336951</v>
      </c>
      <c r="W654" s="304">
        <f t="shared" ca="1" si="294"/>
        <v>43.212017185054151</v>
      </c>
      <c r="Y654" s="314" t="str">
        <f t="shared" ca="1" si="312"/>
        <v/>
      </c>
      <c r="Z654" s="315" t="str">
        <f t="shared" ca="1" si="313"/>
        <v/>
      </c>
      <c r="AA654" s="316" t="str">
        <f t="shared" ca="1" si="314"/>
        <v/>
      </c>
      <c r="AC654" s="310" t="e">
        <f t="shared" ca="1" si="315"/>
        <v>#N/A</v>
      </c>
      <c r="AD654" s="323" t="e">
        <f t="shared" ca="1" si="316"/>
        <v>#N/A</v>
      </c>
      <c r="AE654" s="324" t="e">
        <f t="shared" ca="1" si="295"/>
        <v>#N/A</v>
      </c>
      <c r="AG654" s="306">
        <f t="shared" ca="1" si="317"/>
        <v>1.2723607043140444</v>
      </c>
      <c r="AH654" s="304">
        <f t="shared" ca="1" si="318"/>
        <v>-8.5012528888974188</v>
      </c>
    </row>
    <row r="655" spans="1:34" x14ac:dyDescent="0.2">
      <c r="A655" s="347">
        <f t="shared" ca="1" si="296"/>
        <v>1E-4</v>
      </c>
      <c r="B655" s="304">
        <f t="shared" ca="1" si="297"/>
        <v>29.226900000000086</v>
      </c>
      <c r="D655" s="306">
        <f t="shared" ca="1" si="298"/>
        <v>-0.73152211978890369</v>
      </c>
      <c r="E655" s="307">
        <f t="shared" ca="1" si="299"/>
        <v>-1.3402494937744027</v>
      </c>
      <c r="F655" s="304">
        <f t="shared" ca="1" si="300"/>
        <v>1.526890080294909</v>
      </c>
      <c r="G655" s="306">
        <f t="shared" ca="1" si="301"/>
        <v>9.2206423114960554</v>
      </c>
      <c r="H655" s="307">
        <f t="shared" ca="1" si="302"/>
        <v>-106.75993985151807</v>
      </c>
      <c r="I655" s="304">
        <f t="shared" ca="1" si="303"/>
        <v>107.15738426135788</v>
      </c>
      <c r="J655" s="306">
        <f t="shared" ca="1" si="304"/>
        <v>746.86410190403069</v>
      </c>
      <c r="K655" s="307">
        <f t="shared" ca="1" si="305"/>
        <v>-5.1186529902735005</v>
      </c>
      <c r="L655" s="304">
        <f t="shared" ca="1" si="290"/>
        <v>746.8816421102805</v>
      </c>
      <c r="M655" s="306">
        <f t="shared" ca="1" si="306"/>
        <v>-1.4846421244013988</v>
      </c>
      <c r="N655" s="304">
        <f t="shared" ca="1" si="307"/>
        <v>-85.06372781553668</v>
      </c>
      <c r="P655" s="310">
        <f t="shared" ca="1" si="308"/>
        <v>23</v>
      </c>
      <c r="Q655" s="304">
        <f t="shared" ca="1" si="309"/>
        <v>0</v>
      </c>
      <c r="R655" s="306">
        <f t="shared" ca="1" si="310"/>
        <v>0</v>
      </c>
      <c r="S655" s="307">
        <f t="shared" ca="1" si="311"/>
        <v>5.083000000000002</v>
      </c>
      <c r="T655" s="304">
        <f t="shared" ca="1" si="291"/>
        <v>49.86423000000002</v>
      </c>
      <c r="U655" s="311">
        <f t="shared" ca="1" si="292"/>
        <v>0</v>
      </c>
      <c r="V655" s="306">
        <f t="shared" ca="1" si="293"/>
        <v>1.2256271955111175</v>
      </c>
      <c r="W655" s="304">
        <f t="shared" ca="1" si="294"/>
        <v>43.212165933984252</v>
      </c>
      <c r="Y655" s="314" t="str">
        <f t="shared" ca="1" si="312"/>
        <v/>
      </c>
      <c r="Z655" s="315" t="str">
        <f t="shared" ca="1" si="313"/>
        <v/>
      </c>
      <c r="AA655" s="316" t="str">
        <f t="shared" ca="1" si="314"/>
        <v/>
      </c>
      <c r="AC655" s="310" t="e">
        <f t="shared" ca="1" si="315"/>
        <v>#N/A</v>
      </c>
      <c r="AD655" s="323" t="e">
        <f t="shared" ca="1" si="316"/>
        <v>#N/A</v>
      </c>
      <c r="AE655" s="324" t="e">
        <f t="shared" ca="1" si="295"/>
        <v>#N/A</v>
      </c>
      <c r="AG655" s="306">
        <f t="shared" ca="1" si="317"/>
        <v>1.2723321049246312</v>
      </c>
      <c r="AH655" s="304">
        <f t="shared" ca="1" si="318"/>
        <v>-8.501282153266601</v>
      </c>
    </row>
    <row r="656" spans="1:34" x14ac:dyDescent="0.2">
      <c r="A656" s="347">
        <f t="shared" ca="1" si="296"/>
        <v>1E-4</v>
      </c>
      <c r="B656" s="304">
        <f t="shared" ca="1" si="297"/>
        <v>29.227000000000086</v>
      </c>
      <c r="D656" s="306">
        <f t="shared" ca="1" si="298"/>
        <v>-0.73151796581836825</v>
      </c>
      <c r="E656" s="307">
        <f t="shared" ca="1" si="299"/>
        <v>-1.3402197620544509</v>
      </c>
      <c r="F656" s="304">
        <f t="shared" ca="1" si="300"/>
        <v>1.5268619927538745</v>
      </c>
      <c r="G656" s="306">
        <f t="shared" ca="1" si="301"/>
        <v>9.2205691596994743</v>
      </c>
      <c r="H656" s="307">
        <f t="shared" ca="1" si="302"/>
        <v>-106.76007387349428</v>
      </c>
      <c r="I656" s="304">
        <f t="shared" ca="1" si="303"/>
        <v>107.15751149174172</v>
      </c>
      <c r="J656" s="306">
        <f t="shared" ca="1" si="304"/>
        <v>746.86410190403069</v>
      </c>
      <c r="K656" s="307">
        <f t="shared" ca="1" si="305"/>
        <v>-5.1293289909597508</v>
      </c>
      <c r="L656" s="304">
        <f t="shared" ca="1" si="290"/>
        <v>746.88171535311517</v>
      </c>
      <c r="M656" s="306">
        <f t="shared" ca="1" si="306"/>
        <v>-1.4846429121460432</v>
      </c>
      <c r="N656" s="304">
        <f t="shared" ca="1" si="307"/>
        <v>-85.063772949980134</v>
      </c>
      <c r="P656" s="310">
        <f t="shared" ca="1" si="308"/>
        <v>23</v>
      </c>
      <c r="Q656" s="304">
        <f t="shared" ca="1" si="309"/>
        <v>0</v>
      </c>
      <c r="R656" s="306">
        <f t="shared" ca="1" si="310"/>
        <v>0</v>
      </c>
      <c r="S656" s="307">
        <f t="shared" ca="1" si="311"/>
        <v>5.083000000000002</v>
      </c>
      <c r="T656" s="304">
        <f t="shared" ca="1" si="291"/>
        <v>49.86423000000002</v>
      </c>
      <c r="U656" s="311">
        <f t="shared" ca="1" si="292"/>
        <v>0</v>
      </c>
      <c r="V656" s="306">
        <f t="shared" ca="1" si="293"/>
        <v>1.2256285039915797</v>
      </c>
      <c r="W656" s="304">
        <f t="shared" ca="1" si="294"/>
        <v>43.212314681055901</v>
      </c>
      <c r="Y656" s="314" t="str">
        <f t="shared" ca="1" si="312"/>
        <v/>
      </c>
      <c r="Z656" s="315" t="str">
        <f t="shared" ca="1" si="313"/>
        <v/>
      </c>
      <c r="AA656" s="316" t="str">
        <f t="shared" ca="1" si="314"/>
        <v/>
      </c>
      <c r="AC656" s="310" t="e">
        <f t="shared" ca="1" si="315"/>
        <v>#N/A</v>
      </c>
      <c r="AD656" s="323" t="e">
        <f t="shared" ca="1" si="316"/>
        <v>#N/A</v>
      </c>
      <c r="AE656" s="324" t="e">
        <f t="shared" ca="1" si="295"/>
        <v>#N/A</v>
      </c>
      <c r="AG656" s="306">
        <f t="shared" ca="1" si="317"/>
        <v>1.2723035058879191</v>
      </c>
      <c r="AH656" s="304">
        <f t="shared" ca="1" si="318"/>
        <v>-8.5013114172701627</v>
      </c>
    </row>
    <row r="657" spans="1:34" x14ac:dyDescent="0.2">
      <c r="A657" s="347">
        <f t="shared" ca="1" si="296"/>
        <v>1E-4</v>
      </c>
      <c r="B657" s="304">
        <f t="shared" ca="1" si="297"/>
        <v>29.227100000000085</v>
      </c>
      <c r="D657" s="306">
        <f t="shared" ca="1" si="298"/>
        <v>-0.73151381183875996</v>
      </c>
      <c r="E657" s="307">
        <f t="shared" ca="1" si="299"/>
        <v>-1.3401900307059922</v>
      </c>
      <c r="F657" s="304">
        <f t="shared" ca="1" si="300"/>
        <v>1.5268339056081381</v>
      </c>
      <c r="G657" s="306">
        <f t="shared" ca="1" si="301"/>
        <v>9.2204960083182907</v>
      </c>
      <c r="H657" s="307">
        <f t="shared" ca="1" si="302"/>
        <v>-106.76020789249735</v>
      </c>
      <c r="I657" s="304">
        <f t="shared" ca="1" si="303"/>
        <v>107.15763871926568</v>
      </c>
      <c r="J657" s="306">
        <f t="shared" ca="1" si="304"/>
        <v>746.86410190403069</v>
      </c>
      <c r="K657" s="307">
        <f t="shared" ca="1" si="305"/>
        <v>-5.1400050050480504</v>
      </c>
      <c r="L657" s="304">
        <f t="shared" ca="1" si="290"/>
        <v>746.88178874863866</v>
      </c>
      <c r="M657" s="306">
        <f t="shared" ca="1" si="306"/>
        <v>-1.4846436998825674</v>
      </c>
      <c r="N657" s="304">
        <f t="shared" ca="1" si="307"/>
        <v>-85.063818083958338</v>
      </c>
      <c r="P657" s="310">
        <f t="shared" ca="1" si="308"/>
        <v>23</v>
      </c>
      <c r="Q657" s="304">
        <f t="shared" ca="1" si="309"/>
        <v>0</v>
      </c>
      <c r="R657" s="306">
        <f t="shared" ca="1" si="310"/>
        <v>0</v>
      </c>
      <c r="S657" s="307">
        <f t="shared" ca="1" si="311"/>
        <v>5.083000000000002</v>
      </c>
      <c r="T657" s="304">
        <f t="shared" ca="1" si="291"/>
        <v>49.86423000000002</v>
      </c>
      <c r="U657" s="311">
        <f t="shared" ca="1" si="292"/>
        <v>0</v>
      </c>
      <c r="V657" s="306">
        <f t="shared" ca="1" si="293"/>
        <v>1.225629812475082</v>
      </c>
      <c r="W657" s="304">
        <f t="shared" ca="1" si="294"/>
        <v>43.21246342626911</v>
      </c>
      <c r="Y657" s="314" t="str">
        <f t="shared" ca="1" si="312"/>
        <v/>
      </c>
      <c r="Z657" s="315" t="str">
        <f t="shared" ca="1" si="313"/>
        <v/>
      </c>
      <c r="AA657" s="316" t="str">
        <f t="shared" ca="1" si="314"/>
        <v/>
      </c>
      <c r="AC657" s="310" t="e">
        <f t="shared" ca="1" si="315"/>
        <v>#N/A</v>
      </c>
      <c r="AD657" s="323" t="e">
        <f t="shared" ca="1" si="316"/>
        <v>#N/A</v>
      </c>
      <c r="AE657" s="324" t="e">
        <f t="shared" ca="1" si="295"/>
        <v>#N/A</v>
      </c>
      <c r="AG657" s="306">
        <f t="shared" ca="1" si="317"/>
        <v>1.2722749072039097</v>
      </c>
      <c r="AH657" s="304">
        <f t="shared" ca="1" si="318"/>
        <v>-8.5013406809081022</v>
      </c>
    </row>
    <row r="658" spans="1:34" x14ac:dyDescent="0.2">
      <c r="A658" s="347">
        <f t="shared" ca="1" si="296"/>
        <v>1E-4</v>
      </c>
      <c r="B658" s="304">
        <f t="shared" ca="1" si="297"/>
        <v>29.227200000000085</v>
      </c>
      <c r="D658" s="306">
        <f t="shared" ca="1" si="298"/>
        <v>-0.73150965785008071</v>
      </c>
      <c r="E658" s="307">
        <f t="shared" ca="1" si="299"/>
        <v>-1.3401602997290265</v>
      </c>
      <c r="F658" s="304">
        <f t="shared" ca="1" si="300"/>
        <v>1.5268058188577014</v>
      </c>
      <c r="G658" s="306">
        <f t="shared" ca="1" si="301"/>
        <v>9.2204228573525064</v>
      </c>
      <c r="H658" s="307">
        <f t="shared" ca="1" si="302"/>
        <v>-106.76034190852732</v>
      </c>
      <c r="I658" s="304">
        <f t="shared" ca="1" si="303"/>
        <v>107.15776594392982</v>
      </c>
      <c r="J658" s="306">
        <f t="shared" ca="1" si="304"/>
        <v>746.86410190403069</v>
      </c>
      <c r="K658" s="307">
        <f t="shared" ca="1" si="305"/>
        <v>-5.1506810325381016</v>
      </c>
      <c r="L658" s="304">
        <f t="shared" ca="1" si="290"/>
        <v>746.88186229685164</v>
      </c>
      <c r="M658" s="306">
        <f t="shared" ca="1" si="306"/>
        <v>-1.4846444876109715</v>
      </c>
      <c r="N658" s="304">
        <f t="shared" ca="1" si="307"/>
        <v>-85.063863217471294</v>
      </c>
      <c r="P658" s="310">
        <f t="shared" ca="1" si="308"/>
        <v>23</v>
      </c>
      <c r="Q658" s="304">
        <f t="shared" ca="1" si="309"/>
        <v>0</v>
      </c>
      <c r="R658" s="306">
        <f t="shared" ca="1" si="310"/>
        <v>0</v>
      </c>
      <c r="S658" s="307">
        <f t="shared" ca="1" si="311"/>
        <v>5.083000000000002</v>
      </c>
      <c r="T658" s="304">
        <f t="shared" ca="1" si="291"/>
        <v>49.86423000000002</v>
      </c>
      <c r="U658" s="311">
        <f t="shared" ca="1" si="292"/>
        <v>0</v>
      </c>
      <c r="V658" s="306">
        <f t="shared" ca="1" si="293"/>
        <v>1.2256311209616242</v>
      </c>
      <c r="W658" s="304">
        <f t="shared" ca="1" si="294"/>
        <v>43.212612169623917</v>
      </c>
      <c r="Y658" s="314" t="str">
        <f t="shared" ca="1" si="312"/>
        <v/>
      </c>
      <c r="Z658" s="315" t="str">
        <f t="shared" ca="1" si="313"/>
        <v/>
      </c>
      <c r="AA658" s="316" t="str">
        <f t="shared" ca="1" si="314"/>
        <v/>
      </c>
      <c r="AC658" s="310" t="e">
        <f t="shared" ca="1" si="315"/>
        <v>#N/A</v>
      </c>
      <c r="AD658" s="323" t="e">
        <f t="shared" ca="1" si="316"/>
        <v>#N/A</v>
      </c>
      <c r="AE658" s="324" t="e">
        <f t="shared" ca="1" si="295"/>
        <v>#N/A</v>
      </c>
      <c r="AG658" s="306">
        <f t="shared" ca="1" si="317"/>
        <v>1.2722463088726013</v>
      </c>
      <c r="AH658" s="304">
        <f t="shared" ca="1" si="318"/>
        <v>-8.5013699441804231</v>
      </c>
    </row>
    <row r="659" spans="1:34" x14ac:dyDescent="0.2">
      <c r="A659" s="347">
        <f t="shared" ca="1" si="296"/>
        <v>1E-4</v>
      </c>
      <c r="B659" s="304">
        <f t="shared" ca="1" si="297"/>
        <v>29.227300000000085</v>
      </c>
      <c r="D659" s="306">
        <f t="shared" ca="1" si="298"/>
        <v>-0.73150550385233259</v>
      </c>
      <c r="E659" s="307">
        <f t="shared" ca="1" si="299"/>
        <v>-1.3401305691235414</v>
      </c>
      <c r="F659" s="304">
        <f t="shared" ca="1" si="300"/>
        <v>1.5267777325025547</v>
      </c>
      <c r="G659" s="306">
        <f t="shared" ca="1" si="301"/>
        <v>9.2203497068021214</v>
      </c>
      <c r="H659" s="307">
        <f t="shared" ca="1" si="302"/>
        <v>-106.76047592158423</v>
      </c>
      <c r="I659" s="304">
        <f t="shared" ca="1" si="303"/>
        <v>107.15789316573414</v>
      </c>
      <c r="J659" s="306">
        <f t="shared" ca="1" si="304"/>
        <v>746.86410190403069</v>
      </c>
      <c r="K659" s="307">
        <f t="shared" ca="1" si="305"/>
        <v>-5.161357073429607</v>
      </c>
      <c r="L659" s="304">
        <f t="shared" ca="1" si="290"/>
        <v>746.88193599775445</v>
      </c>
      <c r="M659" s="306">
        <f t="shared" ca="1" si="306"/>
        <v>-1.4846452753312558</v>
      </c>
      <c r="N659" s="304">
        <f t="shared" ca="1" si="307"/>
        <v>-85.063908350519029</v>
      </c>
      <c r="P659" s="310">
        <f t="shared" ca="1" si="308"/>
        <v>23</v>
      </c>
      <c r="Q659" s="304">
        <f t="shared" ca="1" si="309"/>
        <v>0</v>
      </c>
      <c r="R659" s="306">
        <f t="shared" ca="1" si="310"/>
        <v>0</v>
      </c>
      <c r="S659" s="307">
        <f t="shared" ca="1" si="311"/>
        <v>5.083000000000002</v>
      </c>
      <c r="T659" s="304">
        <f t="shared" ca="1" si="291"/>
        <v>49.86423000000002</v>
      </c>
      <c r="U659" s="311">
        <f t="shared" ca="1" si="292"/>
        <v>0</v>
      </c>
      <c r="V659" s="306">
        <f t="shared" ca="1" si="293"/>
        <v>1.2256324294512064</v>
      </c>
      <c r="W659" s="304">
        <f t="shared" ca="1" si="294"/>
        <v>43.212760911120313</v>
      </c>
      <c r="Y659" s="314" t="str">
        <f t="shared" ca="1" si="312"/>
        <v/>
      </c>
      <c r="Z659" s="315" t="str">
        <f t="shared" ca="1" si="313"/>
        <v/>
      </c>
      <c r="AA659" s="316" t="str">
        <f t="shared" ca="1" si="314"/>
        <v/>
      </c>
      <c r="AC659" s="310" t="e">
        <f t="shared" ca="1" si="315"/>
        <v>#N/A</v>
      </c>
      <c r="AD659" s="323" t="e">
        <f t="shared" ca="1" si="316"/>
        <v>#N/A</v>
      </c>
      <c r="AE659" s="324" t="e">
        <f t="shared" ca="1" si="295"/>
        <v>#N/A</v>
      </c>
      <c r="AG659" s="306">
        <f t="shared" ca="1" si="317"/>
        <v>1.2722177108939814</v>
      </c>
      <c r="AH659" s="304">
        <f t="shared" ca="1" si="318"/>
        <v>-8.5013992070871343</v>
      </c>
    </row>
    <row r="660" spans="1:34" x14ac:dyDescent="0.2">
      <c r="A660" s="347">
        <f t="shared" ca="1" si="296"/>
        <v>1E-4</v>
      </c>
      <c r="B660" s="304">
        <f t="shared" ca="1" si="297"/>
        <v>29.227400000000085</v>
      </c>
      <c r="D660" s="306">
        <f t="shared" ca="1" si="298"/>
        <v>-0.7315013498455134</v>
      </c>
      <c r="E660" s="307">
        <f t="shared" ca="1" si="299"/>
        <v>-1.3401008388895459</v>
      </c>
      <c r="F660" s="304">
        <f t="shared" ca="1" si="300"/>
        <v>1.5267496465427044</v>
      </c>
      <c r="G660" s="306">
        <f t="shared" ca="1" si="301"/>
        <v>9.2202765566671374</v>
      </c>
      <c r="H660" s="307">
        <f t="shared" ca="1" si="302"/>
        <v>-106.76060993166811</v>
      </c>
      <c r="I660" s="304">
        <f t="shared" ca="1" si="303"/>
        <v>107.15802038467871</v>
      </c>
      <c r="J660" s="306">
        <f t="shared" ca="1" si="304"/>
        <v>746.86410190403069</v>
      </c>
      <c r="K660" s="307">
        <f t="shared" ca="1" si="305"/>
        <v>-5.17203312772227</v>
      </c>
      <c r="L660" s="304">
        <f t="shared" ca="1" si="290"/>
        <v>746.88200985134768</v>
      </c>
      <c r="M660" s="306">
        <f t="shared" ca="1" si="306"/>
        <v>-1.4846460630434202</v>
      </c>
      <c r="N660" s="304">
        <f t="shared" ca="1" si="307"/>
        <v>-85.063953483101514</v>
      </c>
      <c r="P660" s="310">
        <f t="shared" ca="1" si="308"/>
        <v>23</v>
      </c>
      <c r="Q660" s="304">
        <f t="shared" ca="1" si="309"/>
        <v>0</v>
      </c>
      <c r="R660" s="306">
        <f t="shared" ca="1" si="310"/>
        <v>0</v>
      </c>
      <c r="S660" s="307">
        <f t="shared" ca="1" si="311"/>
        <v>5.083000000000002</v>
      </c>
      <c r="T660" s="304">
        <f t="shared" ca="1" si="291"/>
        <v>49.86423000000002</v>
      </c>
      <c r="U660" s="311">
        <f t="shared" ca="1" si="292"/>
        <v>0</v>
      </c>
      <c r="V660" s="306">
        <f t="shared" ca="1" si="293"/>
        <v>1.225633737943828</v>
      </c>
      <c r="W660" s="304">
        <f t="shared" ca="1" si="294"/>
        <v>43.212909650758313</v>
      </c>
      <c r="Y660" s="314" t="str">
        <f t="shared" ca="1" si="312"/>
        <v/>
      </c>
      <c r="Z660" s="315" t="str">
        <f t="shared" ca="1" si="313"/>
        <v/>
      </c>
      <c r="AA660" s="316" t="str">
        <f t="shared" ca="1" si="314"/>
        <v/>
      </c>
      <c r="AC660" s="310" t="e">
        <f t="shared" ca="1" si="315"/>
        <v>#N/A</v>
      </c>
      <c r="AD660" s="323" t="e">
        <f t="shared" ca="1" si="316"/>
        <v>#N/A</v>
      </c>
      <c r="AE660" s="324" t="e">
        <f t="shared" ca="1" si="295"/>
        <v>#N/A</v>
      </c>
      <c r="AG660" s="306">
        <f t="shared" ca="1" si="317"/>
        <v>1.2721891132680589</v>
      </c>
      <c r="AH660" s="304">
        <f t="shared" ca="1" si="318"/>
        <v>-8.5014284696282303</v>
      </c>
    </row>
    <row r="661" spans="1:34" x14ac:dyDescent="0.2">
      <c r="A661" s="347">
        <f t="shared" ca="1" si="296"/>
        <v>1E-4</v>
      </c>
      <c r="B661" s="304">
        <f t="shared" ca="1" si="297"/>
        <v>29.227500000000084</v>
      </c>
      <c r="D661" s="306">
        <f t="shared" ca="1" si="298"/>
        <v>-0.73149719582962702</v>
      </c>
      <c r="E661" s="307">
        <f t="shared" ca="1" si="299"/>
        <v>-1.3400711090270292</v>
      </c>
      <c r="F661" s="304">
        <f t="shared" ca="1" si="300"/>
        <v>1.5267215609781437</v>
      </c>
      <c r="G661" s="306">
        <f t="shared" ca="1" si="301"/>
        <v>9.2202034069475545</v>
      </c>
      <c r="H661" s="307">
        <f t="shared" ca="1" si="302"/>
        <v>-106.76074393877902</v>
      </c>
      <c r="I661" s="304">
        <f t="shared" ca="1" si="303"/>
        <v>107.15814760076356</v>
      </c>
      <c r="J661" s="306">
        <f t="shared" ca="1" si="304"/>
        <v>746.86410190403069</v>
      </c>
      <c r="K661" s="307">
        <f t="shared" ca="1" si="305"/>
        <v>-5.182709195415792</v>
      </c>
      <c r="L661" s="304">
        <f t="shared" ca="1" si="290"/>
        <v>746.88208385763187</v>
      </c>
      <c r="M661" s="306">
        <f t="shared" ca="1" si="306"/>
        <v>-1.4846468507474651</v>
      </c>
      <c r="N661" s="304">
        <f t="shared" ca="1" si="307"/>
        <v>-85.063998615218793</v>
      </c>
      <c r="P661" s="310">
        <f t="shared" ca="1" si="308"/>
        <v>23</v>
      </c>
      <c r="Q661" s="304">
        <f t="shared" ca="1" si="309"/>
        <v>0</v>
      </c>
      <c r="R661" s="306">
        <f t="shared" ca="1" si="310"/>
        <v>0</v>
      </c>
      <c r="S661" s="307">
        <f t="shared" ca="1" si="311"/>
        <v>5.083000000000002</v>
      </c>
      <c r="T661" s="304">
        <f t="shared" ca="1" si="291"/>
        <v>49.86423000000002</v>
      </c>
      <c r="U661" s="311">
        <f t="shared" ca="1" si="292"/>
        <v>0</v>
      </c>
      <c r="V661" s="306">
        <f t="shared" ca="1" si="293"/>
        <v>1.2256350464394894</v>
      </c>
      <c r="W661" s="304">
        <f t="shared" ca="1" si="294"/>
        <v>43.213058388537945</v>
      </c>
      <c r="Y661" s="314" t="str">
        <f t="shared" ca="1" si="312"/>
        <v/>
      </c>
      <c r="Z661" s="315" t="str">
        <f t="shared" ca="1" si="313"/>
        <v/>
      </c>
      <c r="AA661" s="316" t="str">
        <f t="shared" ca="1" si="314"/>
        <v/>
      </c>
      <c r="AC661" s="310" t="e">
        <f t="shared" ca="1" si="315"/>
        <v>#N/A</v>
      </c>
      <c r="AD661" s="323" t="e">
        <f t="shared" ca="1" si="316"/>
        <v>#N/A</v>
      </c>
      <c r="AE661" s="324" t="e">
        <f t="shared" ca="1" si="295"/>
        <v>#N/A</v>
      </c>
      <c r="AG661" s="306">
        <f t="shared" ca="1" si="317"/>
        <v>1.2721605159948268</v>
      </c>
      <c r="AH661" s="304">
        <f t="shared" ca="1" si="318"/>
        <v>-8.5014577318037183</v>
      </c>
    </row>
    <row r="662" spans="1:34" x14ac:dyDescent="0.2">
      <c r="A662" s="347">
        <f t="shared" ca="1" si="296"/>
        <v>1E-4</v>
      </c>
      <c r="B662" s="304">
        <f t="shared" ca="1" si="297"/>
        <v>29.227600000000084</v>
      </c>
      <c r="D662" s="306">
        <f t="shared" ca="1" si="298"/>
        <v>-0.73149304180467134</v>
      </c>
      <c r="E662" s="307">
        <f t="shared" ca="1" si="299"/>
        <v>-1.3400413795359931</v>
      </c>
      <c r="F662" s="304">
        <f t="shared" ca="1" si="300"/>
        <v>1.526693475808873</v>
      </c>
      <c r="G662" s="306">
        <f t="shared" ca="1" si="301"/>
        <v>9.2201302576433743</v>
      </c>
      <c r="H662" s="307">
        <f t="shared" ca="1" si="302"/>
        <v>-106.76087794291696</v>
      </c>
      <c r="I662" s="304">
        <f t="shared" ca="1" si="303"/>
        <v>107.1582748139887</v>
      </c>
      <c r="J662" s="306">
        <f t="shared" ca="1" si="304"/>
        <v>746.86410190403069</v>
      </c>
      <c r="K662" s="307">
        <f t="shared" ca="1" si="305"/>
        <v>-5.1933852765098765</v>
      </c>
      <c r="L662" s="304">
        <f t="shared" ca="1" si="290"/>
        <v>746.88215801660738</v>
      </c>
      <c r="M662" s="306">
        <f t="shared" ca="1" si="306"/>
        <v>-1.4846476384433904</v>
      </c>
      <c r="N662" s="304">
        <f t="shared" ca="1" si="307"/>
        <v>-85.064043746870865</v>
      </c>
      <c r="P662" s="310">
        <f t="shared" ca="1" si="308"/>
        <v>23</v>
      </c>
      <c r="Q662" s="304">
        <f t="shared" ca="1" si="309"/>
        <v>0</v>
      </c>
      <c r="R662" s="306">
        <f t="shared" ca="1" si="310"/>
        <v>0</v>
      </c>
      <c r="S662" s="307">
        <f t="shared" ca="1" si="311"/>
        <v>5.083000000000002</v>
      </c>
      <c r="T662" s="304">
        <f t="shared" ca="1" si="291"/>
        <v>49.86423000000002</v>
      </c>
      <c r="U662" s="311">
        <f t="shared" ca="1" si="292"/>
        <v>0</v>
      </c>
      <c r="V662" s="306">
        <f t="shared" ca="1" si="293"/>
        <v>1.225636354938191</v>
      </c>
      <c r="W662" s="304">
        <f t="shared" ca="1" si="294"/>
        <v>43.213207124459203</v>
      </c>
      <c r="Y662" s="314" t="str">
        <f t="shared" ca="1" si="312"/>
        <v/>
      </c>
      <c r="Z662" s="315" t="str">
        <f t="shared" ca="1" si="313"/>
        <v/>
      </c>
      <c r="AA662" s="316" t="str">
        <f t="shared" ca="1" si="314"/>
        <v/>
      </c>
      <c r="AC662" s="310" t="e">
        <f t="shared" ca="1" si="315"/>
        <v>#N/A</v>
      </c>
      <c r="AD662" s="323" t="e">
        <f t="shared" ca="1" si="316"/>
        <v>#N/A</v>
      </c>
      <c r="AE662" s="324" t="e">
        <f t="shared" ca="1" si="295"/>
        <v>#N/A</v>
      </c>
      <c r="AG662" s="306">
        <f t="shared" ca="1" si="317"/>
        <v>1.2721319190742815</v>
      </c>
      <c r="AH662" s="304">
        <f t="shared" ca="1" si="318"/>
        <v>-8.5014869936136002</v>
      </c>
    </row>
    <row r="663" spans="1:34" x14ac:dyDescent="0.2">
      <c r="A663" s="347">
        <f t="shared" ca="1" si="296"/>
        <v>1E-4</v>
      </c>
      <c r="B663" s="304">
        <f t="shared" ca="1" si="297"/>
        <v>29.227700000000084</v>
      </c>
      <c r="D663" s="306">
        <f t="shared" ca="1" si="298"/>
        <v>-0.73148888777064802</v>
      </c>
      <c r="E663" s="307">
        <f t="shared" ca="1" si="299"/>
        <v>-1.3400116504164341</v>
      </c>
      <c r="F663" s="304">
        <f t="shared" ca="1" si="300"/>
        <v>1.5266653910348906</v>
      </c>
      <c r="G663" s="306">
        <f t="shared" ca="1" si="301"/>
        <v>9.2200571087545971</v>
      </c>
      <c r="H663" s="307">
        <f t="shared" ca="1" si="302"/>
        <v>-106.761011944082</v>
      </c>
      <c r="I663" s="304">
        <f t="shared" ca="1" si="303"/>
        <v>107.15840202435419</v>
      </c>
      <c r="J663" s="306">
        <f t="shared" ca="1" si="304"/>
        <v>746.86410190403069</v>
      </c>
      <c r="K663" s="307">
        <f t="shared" ca="1" si="305"/>
        <v>-5.2040613710042267</v>
      </c>
      <c r="L663" s="304">
        <f t="shared" ca="1" si="290"/>
        <v>746.88223232827511</v>
      </c>
      <c r="M663" s="306">
        <f t="shared" ca="1" si="306"/>
        <v>-1.4846484261311961</v>
      </c>
      <c r="N663" s="304">
        <f t="shared" ca="1" si="307"/>
        <v>-85.064088878057703</v>
      </c>
      <c r="P663" s="310">
        <f t="shared" ca="1" si="308"/>
        <v>23</v>
      </c>
      <c r="Q663" s="304">
        <f t="shared" ca="1" si="309"/>
        <v>0</v>
      </c>
      <c r="R663" s="306">
        <f t="shared" ca="1" si="310"/>
        <v>0</v>
      </c>
      <c r="S663" s="307">
        <f t="shared" ca="1" si="311"/>
        <v>5.083000000000002</v>
      </c>
      <c r="T663" s="304">
        <f t="shared" ca="1" si="291"/>
        <v>49.86423000000002</v>
      </c>
      <c r="U663" s="311">
        <f t="shared" ca="1" si="292"/>
        <v>0</v>
      </c>
      <c r="V663" s="306">
        <f t="shared" ca="1" si="293"/>
        <v>1.225637663439932</v>
      </c>
      <c r="W663" s="304">
        <f t="shared" ca="1" si="294"/>
        <v>43.213355858522107</v>
      </c>
      <c r="Y663" s="314" t="str">
        <f t="shared" ca="1" si="312"/>
        <v/>
      </c>
      <c r="Z663" s="315" t="str">
        <f t="shared" ca="1" si="313"/>
        <v/>
      </c>
      <c r="AA663" s="316" t="str">
        <f t="shared" ca="1" si="314"/>
        <v/>
      </c>
      <c r="AC663" s="310" t="e">
        <f t="shared" ca="1" si="315"/>
        <v>#N/A</v>
      </c>
      <c r="AD663" s="323" t="e">
        <f t="shared" ca="1" si="316"/>
        <v>#N/A</v>
      </c>
      <c r="AE663" s="324" t="e">
        <f t="shared" ca="1" si="295"/>
        <v>#N/A</v>
      </c>
      <c r="AG663" s="306">
        <f t="shared" ca="1" si="317"/>
        <v>1.2721033225064229</v>
      </c>
      <c r="AH663" s="304">
        <f t="shared" ca="1" si="318"/>
        <v>-8.5015162550578758</v>
      </c>
    </row>
    <row r="664" spans="1:34" x14ac:dyDescent="0.2">
      <c r="A664" s="347">
        <f t="shared" ca="1" si="296"/>
        <v>1E-4</v>
      </c>
      <c r="B664" s="304">
        <f t="shared" ca="1" si="297"/>
        <v>29.227800000000084</v>
      </c>
      <c r="D664" s="306">
        <f t="shared" ca="1" si="298"/>
        <v>-0.73148473372756095</v>
      </c>
      <c r="E664" s="307">
        <f t="shared" ca="1" si="299"/>
        <v>-1.3399819216683486</v>
      </c>
      <c r="F664" s="304">
        <f t="shared" ca="1" si="300"/>
        <v>1.5266373066561949</v>
      </c>
      <c r="G664" s="306">
        <f t="shared" ca="1" si="301"/>
        <v>9.2199839602812244</v>
      </c>
      <c r="H664" s="307">
        <f t="shared" ca="1" si="302"/>
        <v>-106.76114594227417</v>
      </c>
      <c r="I664" s="304">
        <f t="shared" ca="1" si="303"/>
        <v>107.15852923186007</v>
      </c>
      <c r="J664" s="306">
        <f t="shared" ca="1" si="304"/>
        <v>746.86410190403069</v>
      </c>
      <c r="K664" s="307">
        <f t="shared" ca="1" si="305"/>
        <v>-5.2147374788985443</v>
      </c>
      <c r="L664" s="304">
        <f t="shared" ca="1" si="290"/>
        <v>746.88230679263529</v>
      </c>
      <c r="M664" s="306">
        <f t="shared" ca="1" si="306"/>
        <v>-1.4846492138108827</v>
      </c>
      <c r="N664" s="304">
        <f t="shared" ca="1" si="307"/>
        <v>-85.064134008779348</v>
      </c>
      <c r="P664" s="310">
        <f t="shared" ca="1" si="308"/>
        <v>23</v>
      </c>
      <c r="Q664" s="304">
        <f t="shared" ca="1" si="309"/>
        <v>0</v>
      </c>
      <c r="R664" s="306">
        <f t="shared" ca="1" si="310"/>
        <v>0</v>
      </c>
      <c r="S664" s="307">
        <f t="shared" ca="1" si="311"/>
        <v>5.083000000000002</v>
      </c>
      <c r="T664" s="304">
        <f t="shared" ca="1" si="291"/>
        <v>49.86423000000002</v>
      </c>
      <c r="U664" s="311">
        <f t="shared" ca="1" si="292"/>
        <v>0</v>
      </c>
      <c r="V664" s="306">
        <f t="shared" ca="1" si="293"/>
        <v>1.2256389719447125</v>
      </c>
      <c r="W664" s="304">
        <f t="shared" ca="1" si="294"/>
        <v>43.213504590726679</v>
      </c>
      <c r="Y664" s="314" t="str">
        <f t="shared" ca="1" si="312"/>
        <v/>
      </c>
      <c r="Z664" s="315" t="str">
        <f t="shared" ca="1" si="313"/>
        <v/>
      </c>
      <c r="AA664" s="316" t="str">
        <f t="shared" ca="1" si="314"/>
        <v/>
      </c>
      <c r="AC664" s="310" t="e">
        <f t="shared" ca="1" si="315"/>
        <v>#N/A</v>
      </c>
      <c r="AD664" s="323" t="e">
        <f t="shared" ca="1" si="316"/>
        <v>#N/A</v>
      </c>
      <c r="AE664" s="324" t="e">
        <f t="shared" ca="1" si="295"/>
        <v>#N/A</v>
      </c>
      <c r="AG664" s="306">
        <f t="shared" ca="1" si="317"/>
        <v>1.2720747262912511</v>
      </c>
      <c r="AH664" s="304">
        <f t="shared" ca="1" si="318"/>
        <v>-8.5015455161365505</v>
      </c>
    </row>
    <row r="665" spans="1:34" x14ac:dyDescent="0.2">
      <c r="A665" s="347">
        <f t="shared" ca="1" si="296"/>
        <v>1E-4</v>
      </c>
      <c r="B665" s="304">
        <f t="shared" ca="1" si="297"/>
        <v>29.227900000000083</v>
      </c>
      <c r="D665" s="306">
        <f t="shared" ca="1" si="298"/>
        <v>-0.73148057967540647</v>
      </c>
      <c r="E665" s="307">
        <f t="shared" ca="1" si="299"/>
        <v>-1.3399521932917331</v>
      </c>
      <c r="F665" s="304">
        <f t="shared" ca="1" si="300"/>
        <v>1.5266092226727817</v>
      </c>
      <c r="G665" s="306">
        <f t="shared" ca="1" si="301"/>
        <v>9.2199108122232563</v>
      </c>
      <c r="H665" s="307">
        <f t="shared" ca="1" si="302"/>
        <v>-106.7612799374935</v>
      </c>
      <c r="I665" s="304">
        <f t="shared" ca="1" si="303"/>
        <v>107.15865643650635</v>
      </c>
      <c r="J665" s="306">
        <f t="shared" ca="1" si="304"/>
        <v>746.86410190403069</v>
      </c>
      <c r="K665" s="307">
        <f t="shared" ca="1" si="305"/>
        <v>-5.2254136001925326</v>
      </c>
      <c r="L665" s="304">
        <f t="shared" ca="1" si="290"/>
        <v>746.88238140968849</v>
      </c>
      <c r="M665" s="306">
        <f t="shared" ca="1" si="306"/>
        <v>-1.48465000148245</v>
      </c>
      <c r="N665" s="304">
        <f t="shared" ca="1" si="307"/>
        <v>-85.064179139035801</v>
      </c>
      <c r="P665" s="310">
        <f t="shared" ca="1" si="308"/>
        <v>23</v>
      </c>
      <c r="Q665" s="304">
        <f t="shared" ca="1" si="309"/>
        <v>0</v>
      </c>
      <c r="R665" s="306">
        <f t="shared" ca="1" si="310"/>
        <v>0</v>
      </c>
      <c r="S665" s="307">
        <f t="shared" ca="1" si="311"/>
        <v>5.083000000000002</v>
      </c>
      <c r="T665" s="304">
        <f t="shared" ca="1" si="291"/>
        <v>49.86423000000002</v>
      </c>
      <c r="U665" s="311">
        <f t="shared" ca="1" si="292"/>
        <v>0</v>
      </c>
      <c r="V665" s="306">
        <f t="shared" ca="1" si="293"/>
        <v>1.2256402804525333</v>
      </c>
      <c r="W665" s="304">
        <f t="shared" ca="1" si="294"/>
        <v>43.213653321072933</v>
      </c>
      <c r="Y665" s="314" t="str">
        <f t="shared" ca="1" si="312"/>
        <v/>
      </c>
      <c r="Z665" s="315" t="str">
        <f t="shared" ca="1" si="313"/>
        <v/>
      </c>
      <c r="AA665" s="316" t="str">
        <f t="shared" ca="1" si="314"/>
        <v/>
      </c>
      <c r="AC665" s="310" t="e">
        <f t="shared" ca="1" si="315"/>
        <v>#N/A</v>
      </c>
      <c r="AD665" s="323" t="e">
        <f t="shared" ca="1" si="316"/>
        <v>#N/A</v>
      </c>
      <c r="AE665" s="324" t="e">
        <f t="shared" ca="1" si="295"/>
        <v>#N/A</v>
      </c>
      <c r="AG665" s="306">
        <f t="shared" ca="1" si="317"/>
        <v>1.2720461304287589</v>
      </c>
      <c r="AH665" s="304">
        <f t="shared" ca="1" si="318"/>
        <v>-8.5015747768496279</v>
      </c>
    </row>
    <row r="666" spans="1:34" x14ac:dyDescent="0.2">
      <c r="A666" s="347">
        <f t="shared" ca="1" si="296"/>
        <v>1E-4</v>
      </c>
      <c r="B666" s="304">
        <f t="shared" ca="1" si="297"/>
        <v>29.228000000000083</v>
      </c>
      <c r="D666" s="306">
        <f t="shared" ca="1" si="298"/>
        <v>-0.73147642561418824</v>
      </c>
      <c r="E666" s="307">
        <f t="shared" ca="1" si="299"/>
        <v>-1.339922465286584</v>
      </c>
      <c r="F666" s="304">
        <f t="shared" ca="1" si="300"/>
        <v>1.5265811390846495</v>
      </c>
      <c r="G666" s="306">
        <f t="shared" ca="1" si="301"/>
        <v>9.2198376645806945</v>
      </c>
      <c r="H666" s="307">
        <f t="shared" ca="1" si="302"/>
        <v>-106.76141392974003</v>
      </c>
      <c r="I666" s="304">
        <f t="shared" ca="1" si="303"/>
        <v>107.15878363829307</v>
      </c>
      <c r="J666" s="306">
        <f t="shared" ca="1" si="304"/>
        <v>746.86410190403069</v>
      </c>
      <c r="K666" s="307">
        <f t="shared" ca="1" si="305"/>
        <v>-5.2360897348858941</v>
      </c>
      <c r="L666" s="304">
        <f t="shared" ca="1" si="290"/>
        <v>746.88245617943528</v>
      </c>
      <c r="M666" s="306">
        <f t="shared" ca="1" si="306"/>
        <v>-1.484650789145898</v>
      </c>
      <c r="N666" s="304">
        <f t="shared" ca="1" si="307"/>
        <v>-85.064224268827047</v>
      </c>
      <c r="P666" s="310">
        <f t="shared" ca="1" si="308"/>
        <v>23</v>
      </c>
      <c r="Q666" s="304">
        <f t="shared" ca="1" si="309"/>
        <v>0</v>
      </c>
      <c r="R666" s="306">
        <f t="shared" ca="1" si="310"/>
        <v>0</v>
      </c>
      <c r="S666" s="307">
        <f t="shared" ca="1" si="311"/>
        <v>5.083000000000002</v>
      </c>
      <c r="T666" s="304">
        <f t="shared" ca="1" si="291"/>
        <v>49.86423000000002</v>
      </c>
      <c r="U666" s="311">
        <f t="shared" ca="1" si="292"/>
        <v>0</v>
      </c>
      <c r="V666" s="306">
        <f t="shared" ca="1" si="293"/>
        <v>1.2256415889633927</v>
      </c>
      <c r="W666" s="304">
        <f t="shared" ca="1" si="294"/>
        <v>43.213802049560833</v>
      </c>
      <c r="Y666" s="314" t="str">
        <f t="shared" ca="1" si="312"/>
        <v/>
      </c>
      <c r="Z666" s="315" t="str">
        <f t="shared" ca="1" si="313"/>
        <v/>
      </c>
      <c r="AA666" s="316" t="str">
        <f t="shared" ca="1" si="314"/>
        <v/>
      </c>
      <c r="AC666" s="310" t="e">
        <f t="shared" ca="1" si="315"/>
        <v>#N/A</v>
      </c>
      <c r="AD666" s="323" t="e">
        <f t="shared" ca="1" si="316"/>
        <v>#N/A</v>
      </c>
      <c r="AE666" s="324" t="e">
        <f t="shared" ca="1" si="295"/>
        <v>#N/A</v>
      </c>
      <c r="AG666" s="306">
        <f t="shared" ca="1" si="317"/>
        <v>1.2720175349189411</v>
      </c>
      <c r="AH666" s="304">
        <f t="shared" ca="1" si="318"/>
        <v>-8.5016040371971116</v>
      </c>
    </row>
    <row r="667" spans="1:34" x14ac:dyDescent="0.2">
      <c r="A667" s="347">
        <f t="shared" ca="1" si="296"/>
        <v>1E-4</v>
      </c>
      <c r="B667" s="304">
        <f t="shared" ca="1" si="297"/>
        <v>29.228100000000083</v>
      </c>
      <c r="D667" s="306">
        <f t="shared" ca="1" si="298"/>
        <v>-0.73147227154390715</v>
      </c>
      <c r="E667" s="307">
        <f t="shared" ca="1" si="299"/>
        <v>-1.3398927376529084</v>
      </c>
      <c r="F667" s="304">
        <f t="shared" ca="1" si="300"/>
        <v>1.5265530558918052</v>
      </c>
      <c r="G667" s="306">
        <f t="shared" ca="1" si="301"/>
        <v>9.219764517353541</v>
      </c>
      <c r="H667" s="307">
        <f t="shared" ca="1" si="302"/>
        <v>-106.76154791901379</v>
      </c>
      <c r="I667" s="304">
        <f t="shared" ca="1" si="303"/>
        <v>107.1589108372203</v>
      </c>
      <c r="J667" s="306">
        <f t="shared" ca="1" si="304"/>
        <v>746.86410190403069</v>
      </c>
      <c r="K667" s="307">
        <f t="shared" ca="1" si="305"/>
        <v>-5.2467658829783321</v>
      </c>
      <c r="L667" s="304">
        <f t="shared" ca="1" si="290"/>
        <v>746.88253110187622</v>
      </c>
      <c r="M667" s="306">
        <f t="shared" ca="1" si="306"/>
        <v>-1.4846515768012272</v>
      </c>
      <c r="N667" s="304">
        <f t="shared" ca="1" si="307"/>
        <v>-85.064269398153115</v>
      </c>
      <c r="P667" s="310">
        <f t="shared" ca="1" si="308"/>
        <v>23</v>
      </c>
      <c r="Q667" s="304">
        <f t="shared" ca="1" si="309"/>
        <v>0</v>
      </c>
      <c r="R667" s="306">
        <f t="shared" ca="1" si="310"/>
        <v>0</v>
      </c>
      <c r="S667" s="307">
        <f t="shared" ca="1" si="311"/>
        <v>5.083000000000002</v>
      </c>
      <c r="T667" s="304">
        <f t="shared" ca="1" si="291"/>
        <v>49.86423000000002</v>
      </c>
      <c r="U667" s="311">
        <f t="shared" ca="1" si="292"/>
        <v>0</v>
      </c>
      <c r="V667" s="306">
        <f t="shared" ca="1" si="293"/>
        <v>1.2256428974772924</v>
      </c>
      <c r="W667" s="304">
        <f t="shared" ca="1" si="294"/>
        <v>43.21395077619048</v>
      </c>
      <c r="Y667" s="314" t="str">
        <f t="shared" ca="1" si="312"/>
        <v/>
      </c>
      <c r="Z667" s="315" t="str">
        <f t="shared" ca="1" si="313"/>
        <v/>
      </c>
      <c r="AA667" s="316" t="str">
        <f t="shared" ca="1" si="314"/>
        <v/>
      </c>
      <c r="AC667" s="310" t="e">
        <f t="shared" ca="1" si="315"/>
        <v>#N/A</v>
      </c>
      <c r="AD667" s="323" t="e">
        <f t="shared" ca="1" si="316"/>
        <v>#N/A</v>
      </c>
      <c r="AE667" s="324" t="e">
        <f t="shared" ca="1" si="295"/>
        <v>#N/A</v>
      </c>
      <c r="AG667" s="306">
        <f t="shared" ca="1" si="317"/>
        <v>1.2719889397618118</v>
      </c>
      <c r="AH667" s="304">
        <f t="shared" ca="1" si="318"/>
        <v>-8.5016332971789925</v>
      </c>
    </row>
    <row r="668" spans="1:34" x14ac:dyDescent="0.2">
      <c r="A668" s="347">
        <f t="shared" ca="1" si="296"/>
        <v>1E-4</v>
      </c>
      <c r="B668" s="304">
        <f t="shared" ca="1" si="297"/>
        <v>29.228200000000083</v>
      </c>
      <c r="D668" s="306">
        <f t="shared" ca="1" si="298"/>
        <v>-0.73146811746456275</v>
      </c>
      <c r="E668" s="307">
        <f t="shared" ca="1" si="299"/>
        <v>-1.3398630103906886</v>
      </c>
      <c r="F668" s="304">
        <f t="shared" ca="1" si="300"/>
        <v>1.5265249730942334</v>
      </c>
      <c r="G668" s="306">
        <f t="shared" ca="1" si="301"/>
        <v>9.2196913705417938</v>
      </c>
      <c r="H668" s="307">
        <f t="shared" ca="1" si="302"/>
        <v>-106.76168190531483</v>
      </c>
      <c r="I668" s="304">
        <f t="shared" ca="1" si="303"/>
        <v>107.15903803328803</v>
      </c>
      <c r="J668" s="306">
        <f t="shared" ca="1" si="304"/>
        <v>746.86410190403069</v>
      </c>
      <c r="K668" s="307">
        <f t="shared" ca="1" si="305"/>
        <v>-5.2574420444695482</v>
      </c>
      <c r="L668" s="304">
        <f t="shared" ca="1" si="290"/>
        <v>746.88260617701178</v>
      </c>
      <c r="M668" s="306">
        <f t="shared" ca="1" si="306"/>
        <v>-1.4846523644484375</v>
      </c>
      <c r="N668" s="304">
        <f t="shared" ca="1" si="307"/>
        <v>-85.06431452701402</v>
      </c>
      <c r="P668" s="310">
        <f t="shared" ca="1" si="308"/>
        <v>23</v>
      </c>
      <c r="Q668" s="304">
        <f t="shared" ca="1" si="309"/>
        <v>0</v>
      </c>
      <c r="R668" s="306">
        <f t="shared" ca="1" si="310"/>
        <v>0</v>
      </c>
      <c r="S668" s="307">
        <f t="shared" ca="1" si="311"/>
        <v>5.083000000000002</v>
      </c>
      <c r="T668" s="304">
        <f t="shared" ca="1" si="291"/>
        <v>49.86423000000002</v>
      </c>
      <c r="U668" s="311">
        <f t="shared" ca="1" si="292"/>
        <v>0</v>
      </c>
      <c r="V668" s="306">
        <f t="shared" ca="1" si="293"/>
        <v>1.2256442059942316</v>
      </c>
      <c r="W668" s="304">
        <f t="shared" ca="1" si="294"/>
        <v>43.214099500961801</v>
      </c>
      <c r="Y668" s="314" t="str">
        <f t="shared" ca="1" si="312"/>
        <v/>
      </c>
      <c r="Z668" s="315" t="str">
        <f t="shared" ca="1" si="313"/>
        <v/>
      </c>
      <c r="AA668" s="316" t="str">
        <f t="shared" ca="1" si="314"/>
        <v/>
      </c>
      <c r="AC668" s="310" t="e">
        <f t="shared" ca="1" si="315"/>
        <v>#N/A</v>
      </c>
      <c r="AD668" s="323" t="e">
        <f t="shared" ca="1" si="316"/>
        <v>#N/A</v>
      </c>
      <c r="AE668" s="324" t="e">
        <f t="shared" ca="1" si="295"/>
        <v>#N/A</v>
      </c>
      <c r="AG668" s="306">
        <f t="shared" ca="1" si="317"/>
        <v>1.2719603449573498</v>
      </c>
      <c r="AH668" s="304">
        <f t="shared" ca="1" si="318"/>
        <v>-8.5016625567952904</v>
      </c>
    </row>
    <row r="669" spans="1:34" x14ac:dyDescent="0.2">
      <c r="A669" s="347">
        <f t="shared" ca="1" si="296"/>
        <v>1E-4</v>
      </c>
      <c r="B669" s="304">
        <f t="shared" ca="1" si="297"/>
        <v>29.228300000000083</v>
      </c>
      <c r="D669" s="306">
        <f t="shared" ca="1" si="298"/>
        <v>-0.73146396337615538</v>
      </c>
      <c r="E669" s="307">
        <f t="shared" ca="1" si="299"/>
        <v>-1.3398332834999369</v>
      </c>
      <c r="F669" s="304">
        <f t="shared" ca="1" si="300"/>
        <v>1.5264968906919449</v>
      </c>
      <c r="G669" s="306">
        <f t="shared" ca="1" si="301"/>
        <v>9.2196182241454565</v>
      </c>
      <c r="H669" s="307">
        <f t="shared" ca="1" si="302"/>
        <v>-106.76181588864318</v>
      </c>
      <c r="I669" s="304">
        <f t="shared" ca="1" si="303"/>
        <v>107.15916522649633</v>
      </c>
      <c r="J669" s="306">
        <f t="shared" ca="1" si="304"/>
        <v>746.86410190403069</v>
      </c>
      <c r="K669" s="307">
        <f t="shared" ca="1" si="305"/>
        <v>-5.2681182193592457</v>
      </c>
      <c r="L669" s="304">
        <f t="shared" ca="1" si="290"/>
        <v>746.88268140484251</v>
      </c>
      <c r="M669" s="306">
        <f t="shared" ca="1" si="306"/>
        <v>-1.484653152087529</v>
      </c>
      <c r="N669" s="304">
        <f t="shared" ca="1" si="307"/>
        <v>-85.064359655409746</v>
      </c>
      <c r="P669" s="310">
        <f t="shared" ca="1" si="308"/>
        <v>23</v>
      </c>
      <c r="Q669" s="304">
        <f t="shared" ca="1" si="309"/>
        <v>0</v>
      </c>
      <c r="R669" s="306">
        <f t="shared" ca="1" si="310"/>
        <v>0</v>
      </c>
      <c r="S669" s="307">
        <f t="shared" ca="1" si="311"/>
        <v>5.083000000000002</v>
      </c>
      <c r="T669" s="304">
        <f t="shared" ca="1" si="291"/>
        <v>49.86423000000002</v>
      </c>
      <c r="U669" s="311">
        <f t="shared" ca="1" si="292"/>
        <v>0</v>
      </c>
      <c r="V669" s="306">
        <f t="shared" ca="1" si="293"/>
        <v>1.2256455145142102</v>
      </c>
      <c r="W669" s="304">
        <f t="shared" ca="1" si="294"/>
        <v>43.214248223874876</v>
      </c>
      <c r="Y669" s="314" t="str">
        <f t="shared" ca="1" si="312"/>
        <v/>
      </c>
      <c r="Z669" s="315" t="str">
        <f t="shared" ca="1" si="313"/>
        <v/>
      </c>
      <c r="AA669" s="316" t="str">
        <f t="shared" ca="1" si="314"/>
        <v/>
      </c>
      <c r="AC669" s="310" t="e">
        <f t="shared" ca="1" si="315"/>
        <v>#N/A</v>
      </c>
      <c r="AD669" s="323" t="e">
        <f t="shared" ca="1" si="316"/>
        <v>#N/A</v>
      </c>
      <c r="AE669" s="324" t="e">
        <f t="shared" ca="1" si="295"/>
        <v>#N/A</v>
      </c>
      <c r="AG669" s="306">
        <f t="shared" ca="1" si="317"/>
        <v>1.2719317505055656</v>
      </c>
      <c r="AH669" s="304">
        <f t="shared" ca="1" si="318"/>
        <v>-8.5016918160459927</v>
      </c>
    </row>
    <row r="670" spans="1:34" x14ac:dyDescent="0.2">
      <c r="A670" s="347">
        <f t="shared" ca="1" si="296"/>
        <v>1E-4</v>
      </c>
      <c r="B670" s="304">
        <f t="shared" ca="1" si="297"/>
        <v>29.228400000000082</v>
      </c>
      <c r="D670" s="306">
        <f t="shared" ca="1" si="298"/>
        <v>-0.73145980927868814</v>
      </c>
      <c r="E670" s="307">
        <f t="shared" ca="1" si="299"/>
        <v>-1.3398035569806375</v>
      </c>
      <c r="F670" s="304">
        <f t="shared" ca="1" si="300"/>
        <v>1.5264688086849278</v>
      </c>
      <c r="G670" s="306">
        <f t="shared" ca="1" si="301"/>
        <v>9.2195450781645292</v>
      </c>
      <c r="H670" s="307">
        <f t="shared" ca="1" si="302"/>
        <v>-106.76194986899888</v>
      </c>
      <c r="I670" s="304">
        <f t="shared" ca="1" si="303"/>
        <v>107.1592924168452</v>
      </c>
      <c r="J670" s="306">
        <f t="shared" ca="1" si="304"/>
        <v>746.86410190403069</v>
      </c>
      <c r="K670" s="307">
        <f t="shared" ca="1" si="305"/>
        <v>-5.278794407647128</v>
      </c>
      <c r="L670" s="304">
        <f t="shared" ca="1" si="290"/>
        <v>746.88275678536888</v>
      </c>
      <c r="M670" s="306">
        <f t="shared" ca="1" si="306"/>
        <v>-1.4846539397185019</v>
      </c>
      <c r="N670" s="304">
        <f t="shared" ca="1" si="307"/>
        <v>-85.064404783340294</v>
      </c>
      <c r="P670" s="310">
        <f t="shared" ca="1" si="308"/>
        <v>23</v>
      </c>
      <c r="Q670" s="304">
        <f t="shared" ca="1" si="309"/>
        <v>0</v>
      </c>
      <c r="R670" s="306">
        <f t="shared" ca="1" si="310"/>
        <v>0</v>
      </c>
      <c r="S670" s="307">
        <f t="shared" ca="1" si="311"/>
        <v>5.083000000000002</v>
      </c>
      <c r="T670" s="304">
        <f t="shared" ca="1" si="291"/>
        <v>49.86423000000002</v>
      </c>
      <c r="U670" s="311">
        <f t="shared" ca="1" si="292"/>
        <v>0</v>
      </c>
      <c r="V670" s="306">
        <f t="shared" ca="1" si="293"/>
        <v>1.2256468230372286</v>
      </c>
      <c r="W670" s="304">
        <f t="shared" ca="1" si="294"/>
        <v>43.214396944929675</v>
      </c>
      <c r="Y670" s="314" t="str">
        <f t="shared" ca="1" si="312"/>
        <v/>
      </c>
      <c r="Z670" s="315" t="str">
        <f t="shared" ca="1" si="313"/>
        <v/>
      </c>
      <c r="AA670" s="316" t="str">
        <f t="shared" ca="1" si="314"/>
        <v/>
      </c>
      <c r="AC670" s="310" t="e">
        <f t="shared" ca="1" si="315"/>
        <v>#N/A</v>
      </c>
      <c r="AD670" s="323" t="e">
        <f t="shared" ca="1" si="316"/>
        <v>#N/A</v>
      </c>
      <c r="AE670" s="324" t="e">
        <f t="shared" ca="1" si="295"/>
        <v>#N/A</v>
      </c>
      <c r="AG670" s="306">
        <f t="shared" ca="1" si="317"/>
        <v>1.2719031564064451</v>
      </c>
      <c r="AH670" s="304">
        <f t="shared" ca="1" si="318"/>
        <v>-8.5017210749311154</v>
      </c>
    </row>
    <row r="671" spans="1:34" x14ac:dyDescent="0.2">
      <c r="A671" s="347">
        <f t="shared" ca="1" si="296"/>
        <v>1E-4</v>
      </c>
      <c r="B671" s="304">
        <f t="shared" ca="1" si="297"/>
        <v>29.228500000000082</v>
      </c>
      <c r="D671" s="306">
        <f t="shared" ca="1" si="298"/>
        <v>-0.73145565517216016</v>
      </c>
      <c r="E671" s="307">
        <f t="shared" ca="1" si="299"/>
        <v>-1.3397738308327956</v>
      </c>
      <c r="F671" s="304">
        <f t="shared" ca="1" si="300"/>
        <v>1.5264407270731866</v>
      </c>
      <c r="G671" s="306">
        <f t="shared" ca="1" si="301"/>
        <v>9.2194719325990118</v>
      </c>
      <c r="H671" s="307">
        <f t="shared" ca="1" si="302"/>
        <v>-106.76208384638197</v>
      </c>
      <c r="I671" s="304">
        <f t="shared" ca="1" si="303"/>
        <v>107.15941960433472</v>
      </c>
      <c r="J671" s="306">
        <f t="shared" ca="1" si="304"/>
        <v>746.86410190403069</v>
      </c>
      <c r="K671" s="307">
        <f t="shared" ca="1" si="305"/>
        <v>-5.2894706093328967</v>
      </c>
      <c r="L671" s="304">
        <f t="shared" ca="1" si="290"/>
        <v>746.88283231859145</v>
      </c>
      <c r="M671" s="306">
        <f t="shared" ca="1" si="306"/>
        <v>-1.4846547273413562</v>
      </c>
      <c r="N671" s="304">
        <f t="shared" ca="1" si="307"/>
        <v>-85.064449910805692</v>
      </c>
      <c r="P671" s="310">
        <f t="shared" ca="1" si="308"/>
        <v>23</v>
      </c>
      <c r="Q671" s="304">
        <f t="shared" ca="1" si="309"/>
        <v>0</v>
      </c>
      <c r="R671" s="306">
        <f t="shared" ca="1" si="310"/>
        <v>0</v>
      </c>
      <c r="S671" s="307">
        <f t="shared" ca="1" si="311"/>
        <v>5.083000000000002</v>
      </c>
      <c r="T671" s="304">
        <f t="shared" ca="1" si="291"/>
        <v>49.86423000000002</v>
      </c>
      <c r="U671" s="311">
        <f t="shared" ca="1" si="292"/>
        <v>0</v>
      </c>
      <c r="V671" s="306">
        <f t="shared" ca="1" si="293"/>
        <v>1.2256481315632861</v>
      </c>
      <c r="W671" s="304">
        <f t="shared" ca="1" si="294"/>
        <v>43.214545664126234</v>
      </c>
      <c r="Y671" s="314" t="str">
        <f t="shared" ca="1" si="312"/>
        <v/>
      </c>
      <c r="Z671" s="315" t="str">
        <f t="shared" ca="1" si="313"/>
        <v/>
      </c>
      <c r="AA671" s="316" t="str">
        <f t="shared" ca="1" si="314"/>
        <v/>
      </c>
      <c r="AC671" s="310" t="e">
        <f t="shared" ca="1" si="315"/>
        <v>#N/A</v>
      </c>
      <c r="AD671" s="323" t="e">
        <f t="shared" ca="1" si="316"/>
        <v>#N/A</v>
      </c>
      <c r="AE671" s="324" t="e">
        <f t="shared" ca="1" si="295"/>
        <v>#N/A</v>
      </c>
      <c r="AG671" s="306">
        <f t="shared" ca="1" si="317"/>
        <v>1.2718745626599954</v>
      </c>
      <c r="AH671" s="304">
        <f t="shared" ca="1" si="318"/>
        <v>-8.5017503334506515</v>
      </c>
    </row>
    <row r="672" spans="1:34" x14ac:dyDescent="0.2">
      <c r="A672" s="347">
        <f t="shared" ca="1" si="296"/>
        <v>1E-4</v>
      </c>
      <c r="B672" s="304">
        <f t="shared" ca="1" si="297"/>
        <v>29.228600000000082</v>
      </c>
      <c r="D672" s="306">
        <f t="shared" ca="1" si="298"/>
        <v>-0.73145150105657331</v>
      </c>
      <c r="E672" s="307">
        <f t="shared" ca="1" si="299"/>
        <v>-1.3397441050564076</v>
      </c>
      <c r="F672" s="304">
        <f t="shared" ca="1" si="300"/>
        <v>1.5264126458567189</v>
      </c>
      <c r="G672" s="306">
        <f t="shared" ca="1" si="301"/>
        <v>9.2193987874489061</v>
      </c>
      <c r="H672" s="307">
        <f t="shared" ca="1" si="302"/>
        <v>-106.76221782079247</v>
      </c>
      <c r="I672" s="304">
        <f t="shared" ca="1" si="303"/>
        <v>107.15954678896487</v>
      </c>
      <c r="J672" s="306">
        <f t="shared" ca="1" si="304"/>
        <v>746.86410190403069</v>
      </c>
      <c r="K672" s="307">
        <f t="shared" ca="1" si="305"/>
        <v>-5.3001468244162551</v>
      </c>
      <c r="L672" s="304">
        <f t="shared" ca="1" si="290"/>
        <v>746.88290800451091</v>
      </c>
      <c r="M672" s="306">
        <f t="shared" ca="1" si="306"/>
        <v>-1.484655514956092</v>
      </c>
      <c r="N672" s="304">
        <f t="shared" ca="1" si="307"/>
        <v>-85.064495037805941</v>
      </c>
      <c r="P672" s="310">
        <f t="shared" ca="1" si="308"/>
        <v>23</v>
      </c>
      <c r="Q672" s="304">
        <f t="shared" ca="1" si="309"/>
        <v>0</v>
      </c>
      <c r="R672" s="306">
        <f t="shared" ca="1" si="310"/>
        <v>0</v>
      </c>
      <c r="S672" s="307">
        <f t="shared" ca="1" si="311"/>
        <v>5.083000000000002</v>
      </c>
      <c r="T672" s="304">
        <f t="shared" ca="1" si="291"/>
        <v>49.86423000000002</v>
      </c>
      <c r="U672" s="311">
        <f t="shared" ca="1" si="292"/>
        <v>0</v>
      </c>
      <c r="V672" s="306">
        <f t="shared" ca="1" si="293"/>
        <v>1.225649440092383</v>
      </c>
      <c r="W672" s="304">
        <f t="shared" ca="1" si="294"/>
        <v>43.214694381464533</v>
      </c>
      <c r="Y672" s="314" t="str">
        <f t="shared" ca="1" si="312"/>
        <v/>
      </c>
      <c r="Z672" s="315" t="str">
        <f t="shared" ca="1" si="313"/>
        <v/>
      </c>
      <c r="AA672" s="316" t="str">
        <f t="shared" ca="1" si="314"/>
        <v/>
      </c>
      <c r="AC672" s="310" t="e">
        <f t="shared" ca="1" si="315"/>
        <v>#N/A</v>
      </c>
      <c r="AD672" s="323" t="e">
        <f t="shared" ca="1" si="316"/>
        <v>#N/A</v>
      </c>
      <c r="AE672" s="324" t="e">
        <f t="shared" ca="1" si="295"/>
        <v>#N/A</v>
      </c>
      <c r="AG672" s="306">
        <f t="shared" ca="1" si="317"/>
        <v>1.271845969266213</v>
      </c>
      <c r="AH672" s="304">
        <f t="shared" ca="1" si="318"/>
        <v>-8.5017795916046062</v>
      </c>
    </row>
    <row r="673" spans="1:34" x14ac:dyDescent="0.2">
      <c r="A673" s="347">
        <f t="shared" ca="1" si="296"/>
        <v>1E-4</v>
      </c>
      <c r="B673" s="304">
        <f t="shared" ca="1" si="297"/>
        <v>29.228700000000082</v>
      </c>
      <c r="D673" s="306">
        <f t="shared" ca="1" si="298"/>
        <v>-0.73144734693192748</v>
      </c>
      <c r="E673" s="307">
        <f t="shared" ca="1" si="299"/>
        <v>-1.3397143796514737</v>
      </c>
      <c r="F673" s="304">
        <f t="shared" ca="1" si="300"/>
        <v>1.5263845650355248</v>
      </c>
      <c r="G673" s="306">
        <f t="shared" ca="1" si="301"/>
        <v>9.2193256427142121</v>
      </c>
      <c r="H673" s="307">
        <f t="shared" ca="1" si="302"/>
        <v>-106.76235179223043</v>
      </c>
      <c r="I673" s="304">
        <f t="shared" ca="1" si="303"/>
        <v>107.15967397073572</v>
      </c>
      <c r="J673" s="306">
        <f t="shared" ca="1" si="304"/>
        <v>746.86410190403069</v>
      </c>
      <c r="K673" s="307">
        <f t="shared" ca="1" si="305"/>
        <v>-5.3108230528969065</v>
      </c>
      <c r="L673" s="304">
        <f t="shared" ca="1" si="290"/>
        <v>746.88298384312759</v>
      </c>
      <c r="M673" s="306">
        <f t="shared" ca="1" si="306"/>
        <v>-1.4846563025627098</v>
      </c>
      <c r="N673" s="304">
        <f t="shared" ca="1" si="307"/>
        <v>-85.064540164341054</v>
      </c>
      <c r="P673" s="310">
        <f t="shared" ca="1" si="308"/>
        <v>23</v>
      </c>
      <c r="Q673" s="304">
        <f t="shared" ca="1" si="309"/>
        <v>0</v>
      </c>
      <c r="R673" s="306">
        <f t="shared" ca="1" si="310"/>
        <v>0</v>
      </c>
      <c r="S673" s="307">
        <f t="shared" ca="1" si="311"/>
        <v>5.083000000000002</v>
      </c>
      <c r="T673" s="304">
        <f t="shared" ca="1" si="291"/>
        <v>49.86423000000002</v>
      </c>
      <c r="U673" s="311">
        <f t="shared" ca="1" si="292"/>
        <v>0</v>
      </c>
      <c r="V673" s="306">
        <f t="shared" ca="1" si="293"/>
        <v>1.2256507486245198</v>
      </c>
      <c r="W673" s="304">
        <f t="shared" ca="1" si="294"/>
        <v>43.214843096944634</v>
      </c>
      <c r="Y673" s="314" t="str">
        <f t="shared" ca="1" si="312"/>
        <v/>
      </c>
      <c r="Z673" s="315" t="str">
        <f t="shared" ca="1" si="313"/>
        <v/>
      </c>
      <c r="AA673" s="316" t="str">
        <f t="shared" ca="1" si="314"/>
        <v/>
      </c>
      <c r="AC673" s="310" t="e">
        <f t="shared" ca="1" si="315"/>
        <v>#N/A</v>
      </c>
      <c r="AD673" s="323" t="e">
        <f t="shared" ca="1" si="316"/>
        <v>#N/A</v>
      </c>
      <c r="AE673" s="324" t="e">
        <f t="shared" ca="1" si="295"/>
        <v>#N/A</v>
      </c>
      <c r="AG673" s="306">
        <f t="shared" ca="1" si="317"/>
        <v>1.2718173762250942</v>
      </c>
      <c r="AH673" s="304">
        <f t="shared" ca="1" si="318"/>
        <v>-8.5018088493929795</v>
      </c>
    </row>
    <row r="674" spans="1:34" x14ac:dyDescent="0.2">
      <c r="A674" s="347">
        <f t="shared" ca="1" si="296"/>
        <v>1E-4</v>
      </c>
      <c r="B674" s="304">
        <f t="shared" ca="1" si="297"/>
        <v>29.228800000000081</v>
      </c>
      <c r="D674" s="306">
        <f t="shared" ca="1" si="298"/>
        <v>-0.73144319279822312</v>
      </c>
      <c r="E674" s="307">
        <f t="shared" ca="1" si="299"/>
        <v>-1.339684654617983</v>
      </c>
      <c r="F674" s="304">
        <f t="shared" ca="1" si="300"/>
        <v>1.5263564846095958</v>
      </c>
      <c r="G674" s="306">
        <f t="shared" ca="1" si="301"/>
        <v>9.2192524983949315</v>
      </c>
      <c r="H674" s="307">
        <f t="shared" ca="1" si="302"/>
        <v>-106.7624857606959</v>
      </c>
      <c r="I674" s="304">
        <f t="shared" ca="1" si="303"/>
        <v>107.15980114964732</v>
      </c>
      <c r="J674" s="306">
        <f t="shared" ca="1" si="304"/>
        <v>746.86410190403069</v>
      </c>
      <c r="K674" s="307">
        <f t="shared" ca="1" si="305"/>
        <v>-5.3214992947745525</v>
      </c>
      <c r="L674" s="304">
        <f t="shared" ca="1" si="290"/>
        <v>746.88305983444195</v>
      </c>
      <c r="M674" s="306">
        <f t="shared" ca="1" si="306"/>
        <v>-1.4846570901612091</v>
      </c>
      <c r="N674" s="304">
        <f t="shared" ca="1" si="307"/>
        <v>-85.064585290411017</v>
      </c>
      <c r="P674" s="310">
        <f t="shared" ca="1" si="308"/>
        <v>23</v>
      </c>
      <c r="Q674" s="304">
        <f t="shared" ca="1" si="309"/>
        <v>0</v>
      </c>
      <c r="R674" s="306">
        <f t="shared" ca="1" si="310"/>
        <v>0</v>
      </c>
      <c r="S674" s="307">
        <f t="shared" ca="1" si="311"/>
        <v>5.083000000000002</v>
      </c>
      <c r="T674" s="304">
        <f t="shared" ca="1" si="291"/>
        <v>49.86423000000002</v>
      </c>
      <c r="U674" s="311">
        <f t="shared" ca="1" si="292"/>
        <v>0</v>
      </c>
      <c r="V674" s="306">
        <f t="shared" ca="1" si="293"/>
        <v>1.2256520571596961</v>
      </c>
      <c r="W674" s="304">
        <f t="shared" ca="1" si="294"/>
        <v>43.214991810566531</v>
      </c>
      <c r="Y674" s="314" t="str">
        <f t="shared" ca="1" si="312"/>
        <v/>
      </c>
      <c r="Z674" s="315" t="str">
        <f t="shared" ca="1" si="313"/>
        <v/>
      </c>
      <c r="AA674" s="316" t="str">
        <f t="shared" ca="1" si="314"/>
        <v/>
      </c>
      <c r="AC674" s="310" t="e">
        <f t="shared" ca="1" si="315"/>
        <v>#N/A</v>
      </c>
      <c r="AD674" s="323" t="e">
        <f t="shared" ca="1" si="316"/>
        <v>#N/A</v>
      </c>
      <c r="AE674" s="324" t="e">
        <f t="shared" ca="1" si="295"/>
        <v>#N/A</v>
      </c>
      <c r="AG674" s="306">
        <f t="shared" ca="1" si="317"/>
        <v>1.2717887835366337</v>
      </c>
      <c r="AH674" s="304">
        <f t="shared" ca="1" si="318"/>
        <v>-8.5018381068157822</v>
      </c>
    </row>
    <row r="675" spans="1:34" x14ac:dyDescent="0.2">
      <c r="A675" s="347">
        <f t="shared" ca="1" si="296"/>
        <v>1E-4</v>
      </c>
      <c r="B675" s="304">
        <f t="shared" ca="1" si="297"/>
        <v>29.228900000000081</v>
      </c>
      <c r="D675" s="306">
        <f t="shared" ca="1" si="298"/>
        <v>-0.73143903865546356</v>
      </c>
      <c r="E675" s="307">
        <f t="shared" ca="1" si="299"/>
        <v>-1.3396549299559357</v>
      </c>
      <c r="F675" s="304">
        <f t="shared" ca="1" si="300"/>
        <v>1.5263284045789332</v>
      </c>
      <c r="G675" s="306">
        <f t="shared" ca="1" si="301"/>
        <v>9.2191793544910663</v>
      </c>
      <c r="H675" s="307">
        <f t="shared" ca="1" si="302"/>
        <v>-106.76261972618889</v>
      </c>
      <c r="I675" s="304">
        <f t="shared" ca="1" si="303"/>
        <v>107.15992832569967</v>
      </c>
      <c r="J675" s="306">
        <f t="shared" ca="1" si="304"/>
        <v>746.86410190403069</v>
      </c>
      <c r="K675" s="307">
        <f t="shared" ca="1" si="305"/>
        <v>-5.3321755500488965</v>
      </c>
      <c r="L675" s="304">
        <f t="shared" ca="1" si="290"/>
        <v>746.88313597845467</v>
      </c>
      <c r="M675" s="306">
        <f t="shared" ca="1" si="306"/>
        <v>-1.4846578777515904</v>
      </c>
      <c r="N675" s="304">
        <f t="shared" ca="1" si="307"/>
        <v>-85.064630416015859</v>
      </c>
      <c r="P675" s="310">
        <f t="shared" ca="1" si="308"/>
        <v>23</v>
      </c>
      <c r="Q675" s="304">
        <f t="shared" ca="1" si="309"/>
        <v>0</v>
      </c>
      <c r="R675" s="306">
        <f t="shared" ca="1" si="310"/>
        <v>0</v>
      </c>
      <c r="S675" s="307">
        <f t="shared" ca="1" si="311"/>
        <v>5.083000000000002</v>
      </c>
      <c r="T675" s="304">
        <f t="shared" ca="1" si="291"/>
        <v>49.86423000000002</v>
      </c>
      <c r="U675" s="311">
        <f t="shared" ca="1" si="292"/>
        <v>0</v>
      </c>
      <c r="V675" s="306">
        <f t="shared" ca="1" si="293"/>
        <v>1.2256533656979109</v>
      </c>
      <c r="W675" s="304">
        <f t="shared" ca="1" si="294"/>
        <v>43.215140522330195</v>
      </c>
      <c r="Y675" s="314" t="str">
        <f t="shared" ca="1" si="312"/>
        <v/>
      </c>
      <c r="Z675" s="315" t="str">
        <f t="shared" ca="1" si="313"/>
        <v/>
      </c>
      <c r="AA675" s="316" t="str">
        <f t="shared" ca="1" si="314"/>
        <v/>
      </c>
      <c r="AC675" s="310" t="e">
        <f t="shared" ca="1" si="315"/>
        <v>#N/A</v>
      </c>
      <c r="AD675" s="323" t="e">
        <f t="shared" ca="1" si="316"/>
        <v>#N/A</v>
      </c>
      <c r="AE675" s="324" t="e">
        <f t="shared" ca="1" si="295"/>
        <v>#N/A</v>
      </c>
      <c r="AG675" s="306">
        <f t="shared" ca="1" si="317"/>
        <v>1.2717601912008316</v>
      </c>
      <c r="AH675" s="304">
        <f t="shared" ca="1" si="318"/>
        <v>-8.5018673638730107</v>
      </c>
    </row>
    <row r="676" spans="1:34" x14ac:dyDescent="0.2">
      <c r="A676" s="347">
        <f t="shared" ca="1" si="296"/>
        <v>1E-4</v>
      </c>
      <c r="B676" s="304">
        <f t="shared" ca="1" si="297"/>
        <v>29.229000000000081</v>
      </c>
      <c r="D676" s="306">
        <f t="shared" ca="1" si="298"/>
        <v>-0.73143488450364635</v>
      </c>
      <c r="E676" s="307">
        <f t="shared" ca="1" si="299"/>
        <v>-1.339625205665337</v>
      </c>
      <c r="F676" s="304">
        <f t="shared" ca="1" si="300"/>
        <v>1.526300324943541</v>
      </c>
      <c r="G676" s="306">
        <f t="shared" ca="1" si="301"/>
        <v>9.2191062110026163</v>
      </c>
      <c r="H676" s="307">
        <f t="shared" ca="1" si="302"/>
        <v>-106.76275368870945</v>
      </c>
      <c r="I676" s="304">
        <f t="shared" ca="1" si="303"/>
        <v>107.16005549889282</v>
      </c>
      <c r="J676" s="306">
        <f t="shared" ca="1" si="304"/>
        <v>746.86410190403069</v>
      </c>
      <c r="K676" s="307">
        <f t="shared" ca="1" si="305"/>
        <v>-5.3428518187196419</v>
      </c>
      <c r="L676" s="304">
        <f t="shared" ca="1" si="290"/>
        <v>746.88321227516633</v>
      </c>
      <c r="M676" s="306">
        <f t="shared" ca="1" si="306"/>
        <v>-1.4846586653338538</v>
      </c>
      <c r="N676" s="304">
        <f t="shared" ca="1" si="307"/>
        <v>-85.064675541155566</v>
      </c>
      <c r="P676" s="310">
        <f t="shared" ca="1" si="308"/>
        <v>23</v>
      </c>
      <c r="Q676" s="304">
        <f t="shared" ca="1" si="309"/>
        <v>0</v>
      </c>
      <c r="R676" s="306">
        <f t="shared" ca="1" si="310"/>
        <v>0</v>
      </c>
      <c r="S676" s="307">
        <f t="shared" ca="1" si="311"/>
        <v>5.083000000000002</v>
      </c>
      <c r="T676" s="304">
        <f t="shared" ca="1" si="291"/>
        <v>49.86423000000002</v>
      </c>
      <c r="U676" s="311">
        <f t="shared" ca="1" si="292"/>
        <v>0</v>
      </c>
      <c r="V676" s="306">
        <f t="shared" ca="1" si="293"/>
        <v>1.2256546742391659</v>
      </c>
      <c r="W676" s="304">
        <f t="shared" ca="1" si="294"/>
        <v>43.215289232235698</v>
      </c>
      <c r="Y676" s="314" t="str">
        <f t="shared" ca="1" si="312"/>
        <v/>
      </c>
      <c r="Z676" s="315" t="str">
        <f t="shared" ca="1" si="313"/>
        <v/>
      </c>
      <c r="AA676" s="316" t="str">
        <f t="shared" ca="1" si="314"/>
        <v/>
      </c>
      <c r="AC676" s="310" t="e">
        <f t="shared" ca="1" si="315"/>
        <v>#N/A</v>
      </c>
      <c r="AD676" s="323" t="e">
        <f t="shared" ca="1" si="316"/>
        <v>#N/A</v>
      </c>
      <c r="AE676" s="324" t="e">
        <f t="shared" ca="1" si="295"/>
        <v>#N/A</v>
      </c>
      <c r="AG676" s="306">
        <f t="shared" ca="1" si="317"/>
        <v>1.2717315992176932</v>
      </c>
      <c r="AH676" s="304">
        <f t="shared" ca="1" si="318"/>
        <v>-8.5018966205646631</v>
      </c>
    </row>
    <row r="677" spans="1:34" x14ac:dyDescent="0.2">
      <c r="A677" s="347">
        <f t="shared" ca="1" si="296"/>
        <v>1E-4</v>
      </c>
      <c r="B677" s="304">
        <f t="shared" ca="1" si="297"/>
        <v>29.229100000000081</v>
      </c>
      <c r="D677" s="306">
        <f t="shared" ca="1" si="298"/>
        <v>-0.73143073034277406</v>
      </c>
      <c r="E677" s="307">
        <f t="shared" ca="1" si="299"/>
        <v>-1.3395954817461764</v>
      </c>
      <c r="F677" s="304">
        <f t="shared" ca="1" si="300"/>
        <v>1.5262722457034112</v>
      </c>
      <c r="G677" s="306">
        <f t="shared" ca="1" si="301"/>
        <v>9.2190330679295815</v>
      </c>
      <c r="H677" s="307">
        <f t="shared" ca="1" si="302"/>
        <v>-106.76288764825763</v>
      </c>
      <c r="I677" s="304">
        <f t="shared" ca="1" si="303"/>
        <v>107.16018266922683</v>
      </c>
      <c r="J677" s="306">
        <f t="shared" ca="1" si="304"/>
        <v>746.86410190403069</v>
      </c>
      <c r="K677" s="307">
        <f t="shared" ca="1" si="305"/>
        <v>-5.3535281007864901</v>
      </c>
      <c r="L677" s="304">
        <f t="shared" ca="1" si="290"/>
        <v>746.88328872457726</v>
      </c>
      <c r="M677" s="306">
        <f t="shared" ca="1" si="306"/>
        <v>-1.4846594529079993</v>
      </c>
      <c r="N677" s="304">
        <f t="shared" ca="1" si="307"/>
        <v>-85.064720665830151</v>
      </c>
      <c r="P677" s="310">
        <f t="shared" ca="1" si="308"/>
        <v>23</v>
      </c>
      <c r="Q677" s="304">
        <f t="shared" ca="1" si="309"/>
        <v>0</v>
      </c>
      <c r="R677" s="306">
        <f t="shared" ca="1" si="310"/>
        <v>0</v>
      </c>
      <c r="S677" s="307">
        <f t="shared" ca="1" si="311"/>
        <v>5.083000000000002</v>
      </c>
      <c r="T677" s="304">
        <f t="shared" ca="1" si="291"/>
        <v>49.86423000000002</v>
      </c>
      <c r="U677" s="311">
        <f t="shared" ca="1" si="292"/>
        <v>0</v>
      </c>
      <c r="V677" s="306">
        <f t="shared" ca="1" si="293"/>
        <v>1.2256559827834597</v>
      </c>
      <c r="W677" s="304">
        <f t="shared" ca="1" si="294"/>
        <v>43.215437940283046</v>
      </c>
      <c r="Y677" s="314" t="str">
        <f t="shared" ca="1" si="312"/>
        <v/>
      </c>
      <c r="Z677" s="315" t="str">
        <f t="shared" ca="1" si="313"/>
        <v/>
      </c>
      <c r="AA677" s="316" t="str">
        <f t="shared" ca="1" si="314"/>
        <v/>
      </c>
      <c r="AC677" s="310" t="e">
        <f t="shared" ca="1" si="315"/>
        <v>#N/A</v>
      </c>
      <c r="AD677" s="323" t="e">
        <f t="shared" ca="1" si="316"/>
        <v>#N/A</v>
      </c>
      <c r="AE677" s="324" t="e">
        <f t="shared" ca="1" si="295"/>
        <v>#N/A</v>
      </c>
      <c r="AG677" s="306">
        <f t="shared" ca="1" si="317"/>
        <v>1.271703007587206</v>
      </c>
      <c r="AH677" s="304">
        <f t="shared" ca="1" si="318"/>
        <v>-8.5019258768907502</v>
      </c>
    </row>
    <row r="678" spans="1:34" x14ac:dyDescent="0.2">
      <c r="A678" s="347">
        <f t="shared" ca="1" si="296"/>
        <v>1E-4</v>
      </c>
      <c r="B678" s="304">
        <f t="shared" ca="1" si="297"/>
        <v>29.22920000000008</v>
      </c>
      <c r="D678" s="306">
        <f t="shared" ca="1" si="298"/>
        <v>-0.73142657617284845</v>
      </c>
      <c r="E678" s="307">
        <f t="shared" ca="1" si="299"/>
        <v>-1.3395657581984501</v>
      </c>
      <c r="F678" s="304">
        <f t="shared" ca="1" si="300"/>
        <v>1.5262441668585418</v>
      </c>
      <c r="G678" s="306">
        <f t="shared" ca="1" si="301"/>
        <v>9.2189599252719638</v>
      </c>
      <c r="H678" s="307">
        <f t="shared" ca="1" si="302"/>
        <v>-106.76302160483345</v>
      </c>
      <c r="I678" s="304">
        <f t="shared" ca="1" si="303"/>
        <v>107.16030983670169</v>
      </c>
      <c r="J678" s="306">
        <f t="shared" ca="1" si="304"/>
        <v>746.86410190403069</v>
      </c>
      <c r="K678" s="307">
        <f t="shared" ca="1" si="305"/>
        <v>-5.3642043962491446</v>
      </c>
      <c r="L678" s="304">
        <f t="shared" ca="1" si="290"/>
        <v>746.88336532668814</v>
      </c>
      <c r="M678" s="306">
        <f t="shared" ca="1" si="306"/>
        <v>-1.484660240474027</v>
      </c>
      <c r="N678" s="304">
        <f t="shared" ca="1" si="307"/>
        <v>-85.06476579003963</v>
      </c>
      <c r="P678" s="310">
        <f t="shared" ca="1" si="308"/>
        <v>23</v>
      </c>
      <c r="Q678" s="304">
        <f t="shared" ca="1" si="309"/>
        <v>0</v>
      </c>
      <c r="R678" s="306">
        <f t="shared" ca="1" si="310"/>
        <v>0</v>
      </c>
      <c r="S678" s="307">
        <f t="shared" ca="1" si="311"/>
        <v>5.083000000000002</v>
      </c>
      <c r="T678" s="304">
        <f t="shared" ca="1" si="291"/>
        <v>49.86423000000002</v>
      </c>
      <c r="U678" s="311">
        <f t="shared" ca="1" si="292"/>
        <v>0</v>
      </c>
      <c r="V678" s="306">
        <f t="shared" ca="1" si="293"/>
        <v>1.225657291330793</v>
      </c>
      <c r="W678" s="304">
        <f t="shared" ca="1" si="294"/>
        <v>43.215586646472218</v>
      </c>
      <c r="Y678" s="314" t="str">
        <f t="shared" ca="1" si="312"/>
        <v/>
      </c>
      <c r="Z678" s="315" t="str">
        <f t="shared" ca="1" si="313"/>
        <v/>
      </c>
      <c r="AA678" s="316" t="str">
        <f t="shared" ca="1" si="314"/>
        <v/>
      </c>
      <c r="AC678" s="310" t="e">
        <f t="shared" ca="1" si="315"/>
        <v>#N/A</v>
      </c>
      <c r="AD678" s="323" t="e">
        <f t="shared" ca="1" si="316"/>
        <v>#N/A</v>
      </c>
      <c r="AE678" s="324" t="e">
        <f t="shared" ca="1" si="295"/>
        <v>#N/A</v>
      </c>
      <c r="AG678" s="306">
        <f t="shared" ca="1" si="317"/>
        <v>1.2716744163093665</v>
      </c>
      <c r="AH678" s="304">
        <f t="shared" ca="1" si="318"/>
        <v>-8.5019551328512755</v>
      </c>
    </row>
    <row r="679" spans="1:34" x14ac:dyDescent="0.2">
      <c r="A679" s="347">
        <f t="shared" ca="1" si="296"/>
        <v>1E-4</v>
      </c>
      <c r="B679" s="304">
        <f t="shared" ca="1" si="297"/>
        <v>29.22930000000008</v>
      </c>
      <c r="D679" s="306">
        <f t="shared" ca="1" si="298"/>
        <v>-0.73142242199386898</v>
      </c>
      <c r="E679" s="307">
        <f t="shared" ca="1" si="299"/>
        <v>-1.3395360350221601</v>
      </c>
      <c r="F679" s="304">
        <f t="shared" ca="1" si="300"/>
        <v>1.526216088408934</v>
      </c>
      <c r="G679" s="306">
        <f t="shared" ca="1" si="301"/>
        <v>9.2188867830297649</v>
      </c>
      <c r="H679" s="307">
        <f t="shared" ca="1" si="302"/>
        <v>-106.76315555843696</v>
      </c>
      <c r="I679" s="304">
        <f t="shared" ca="1" si="303"/>
        <v>107.16043700131748</v>
      </c>
      <c r="J679" s="306">
        <f t="shared" ca="1" si="304"/>
        <v>746.86410190403069</v>
      </c>
      <c r="K679" s="307">
        <f t="shared" ca="1" si="305"/>
        <v>-5.3748807051073078</v>
      </c>
      <c r="L679" s="304">
        <f t="shared" ca="1" si="290"/>
        <v>746.88344208149931</v>
      </c>
      <c r="M679" s="306">
        <f t="shared" ca="1" si="306"/>
        <v>-1.4846610280319372</v>
      </c>
      <c r="N679" s="304">
        <f t="shared" ca="1" si="307"/>
        <v>-85.064810913784015</v>
      </c>
      <c r="P679" s="310">
        <f t="shared" ca="1" si="308"/>
        <v>23</v>
      </c>
      <c r="Q679" s="304">
        <f t="shared" ca="1" si="309"/>
        <v>0</v>
      </c>
      <c r="R679" s="306">
        <f t="shared" ca="1" si="310"/>
        <v>0</v>
      </c>
      <c r="S679" s="307">
        <f t="shared" ca="1" si="311"/>
        <v>5.083000000000002</v>
      </c>
      <c r="T679" s="304">
        <f t="shared" ca="1" si="291"/>
        <v>49.86423000000002</v>
      </c>
      <c r="U679" s="311">
        <f t="shared" ca="1" si="292"/>
        <v>0</v>
      </c>
      <c r="V679" s="306">
        <f t="shared" ca="1" si="293"/>
        <v>1.2256585998811658</v>
      </c>
      <c r="W679" s="304">
        <f t="shared" ca="1" si="294"/>
        <v>43.215735350803264</v>
      </c>
      <c r="Y679" s="314" t="str">
        <f t="shared" ca="1" si="312"/>
        <v/>
      </c>
      <c r="Z679" s="315" t="str">
        <f t="shared" ca="1" si="313"/>
        <v/>
      </c>
      <c r="AA679" s="316" t="str">
        <f t="shared" ca="1" si="314"/>
        <v/>
      </c>
      <c r="AC679" s="310" t="e">
        <f t="shared" ca="1" si="315"/>
        <v>#N/A</v>
      </c>
      <c r="AD679" s="323" t="e">
        <f t="shared" ca="1" si="316"/>
        <v>#N/A</v>
      </c>
      <c r="AE679" s="324" t="e">
        <f t="shared" ca="1" si="295"/>
        <v>#N/A</v>
      </c>
      <c r="AG679" s="306">
        <f t="shared" ca="1" si="317"/>
        <v>1.2716458253841818</v>
      </c>
      <c r="AH679" s="304">
        <f t="shared" ca="1" si="318"/>
        <v>-8.5019843884462336</v>
      </c>
    </row>
    <row r="680" spans="1:34" x14ac:dyDescent="0.2">
      <c r="A680" s="347">
        <f t="shared" ca="1" si="296"/>
        <v>1E-4</v>
      </c>
      <c r="B680" s="304">
        <f t="shared" ca="1" si="297"/>
        <v>29.22940000000008</v>
      </c>
      <c r="D680" s="306">
        <f t="shared" ca="1" si="298"/>
        <v>-0.73141826780583596</v>
      </c>
      <c r="E680" s="307">
        <f t="shared" ca="1" si="299"/>
        <v>-1.3395063122173028</v>
      </c>
      <c r="F680" s="304">
        <f t="shared" ca="1" si="300"/>
        <v>1.5261880103545853</v>
      </c>
      <c r="G680" s="306">
        <f t="shared" ca="1" si="301"/>
        <v>9.2188136412029849</v>
      </c>
      <c r="H680" s="307">
        <f t="shared" ca="1" si="302"/>
        <v>-106.76328950906819</v>
      </c>
      <c r="I680" s="304">
        <f t="shared" ca="1" si="303"/>
        <v>107.16056416307418</v>
      </c>
      <c r="J680" s="306">
        <f t="shared" ca="1" si="304"/>
        <v>746.86410190403069</v>
      </c>
      <c r="K680" s="307">
        <f t="shared" ca="1" si="305"/>
        <v>-5.385557027360683</v>
      </c>
      <c r="L680" s="304">
        <f t="shared" ca="1" si="290"/>
        <v>746.88351898901158</v>
      </c>
      <c r="M680" s="306">
        <f t="shared" ca="1" si="306"/>
        <v>-1.4846618155817299</v>
      </c>
      <c r="N680" s="304">
        <f t="shared" ca="1" si="307"/>
        <v>-85.064856037063294</v>
      </c>
      <c r="P680" s="310">
        <f t="shared" ca="1" si="308"/>
        <v>23</v>
      </c>
      <c r="Q680" s="304">
        <f t="shared" ca="1" si="309"/>
        <v>0</v>
      </c>
      <c r="R680" s="306">
        <f t="shared" ca="1" si="310"/>
        <v>0</v>
      </c>
      <c r="S680" s="307">
        <f t="shared" ca="1" si="311"/>
        <v>5.083000000000002</v>
      </c>
      <c r="T680" s="304">
        <f t="shared" ca="1" si="291"/>
        <v>49.86423000000002</v>
      </c>
      <c r="U680" s="311">
        <f t="shared" ca="1" si="292"/>
        <v>0</v>
      </c>
      <c r="V680" s="306">
        <f t="shared" ca="1" si="293"/>
        <v>1.225659908434577</v>
      </c>
      <c r="W680" s="304">
        <f t="shared" ca="1" si="294"/>
        <v>43.215884053276135</v>
      </c>
      <c r="Y680" s="314" t="str">
        <f t="shared" ca="1" si="312"/>
        <v/>
      </c>
      <c r="Z680" s="315" t="str">
        <f t="shared" ca="1" si="313"/>
        <v/>
      </c>
      <c r="AA680" s="316" t="str">
        <f t="shared" ca="1" si="314"/>
        <v/>
      </c>
      <c r="AC680" s="310" t="e">
        <f t="shared" ca="1" si="315"/>
        <v>#N/A</v>
      </c>
      <c r="AD680" s="323" t="e">
        <f t="shared" ca="1" si="316"/>
        <v>#N/A</v>
      </c>
      <c r="AE680" s="324" t="e">
        <f t="shared" ca="1" si="295"/>
        <v>#N/A</v>
      </c>
      <c r="AG680" s="306">
        <f t="shared" ca="1" si="317"/>
        <v>1.2716172348116395</v>
      </c>
      <c r="AH680" s="304">
        <f t="shared" ca="1" si="318"/>
        <v>-8.5020136436756335</v>
      </c>
    </row>
    <row r="681" spans="1:34" x14ac:dyDescent="0.2">
      <c r="A681" s="347">
        <f t="shared" ca="1" si="296"/>
        <v>1E-4</v>
      </c>
      <c r="B681" s="304">
        <f t="shared" ca="1" si="297"/>
        <v>29.22950000000008</v>
      </c>
      <c r="D681" s="306">
        <f t="shared" ca="1" si="298"/>
        <v>-0.7314141136087503</v>
      </c>
      <c r="E681" s="307">
        <f t="shared" ca="1" si="299"/>
        <v>-1.3394765897838816</v>
      </c>
      <c r="F681" s="304">
        <f t="shared" ca="1" si="300"/>
        <v>1.5261599326954993</v>
      </c>
      <c r="G681" s="306">
        <f t="shared" ca="1" si="301"/>
        <v>9.2187404997916236</v>
      </c>
      <c r="H681" s="307">
        <f t="shared" ca="1" si="302"/>
        <v>-106.76342345672717</v>
      </c>
      <c r="I681" s="304">
        <f t="shared" ca="1" si="303"/>
        <v>107.16069132197188</v>
      </c>
      <c r="J681" s="306">
        <f t="shared" ca="1" si="304"/>
        <v>746.86410190403069</v>
      </c>
      <c r="K681" s="307">
        <f t="shared" ca="1" si="305"/>
        <v>-5.3962333630089727</v>
      </c>
      <c r="L681" s="304">
        <f t="shared" ca="1" si="290"/>
        <v>746.88359604922528</v>
      </c>
      <c r="M681" s="306">
        <f t="shared" ca="1" si="306"/>
        <v>-1.4846626031234051</v>
      </c>
      <c r="N681" s="304">
        <f t="shared" ca="1" si="307"/>
        <v>-85.064901159877465</v>
      </c>
      <c r="P681" s="310">
        <f t="shared" ca="1" si="308"/>
        <v>23</v>
      </c>
      <c r="Q681" s="304">
        <f t="shared" ca="1" si="309"/>
        <v>0</v>
      </c>
      <c r="R681" s="306">
        <f t="shared" ca="1" si="310"/>
        <v>0</v>
      </c>
      <c r="S681" s="307">
        <f t="shared" ca="1" si="311"/>
        <v>5.083000000000002</v>
      </c>
      <c r="T681" s="304">
        <f t="shared" ca="1" si="291"/>
        <v>49.86423000000002</v>
      </c>
      <c r="U681" s="311">
        <f t="shared" ca="1" si="292"/>
        <v>0</v>
      </c>
      <c r="V681" s="306">
        <f t="shared" ca="1" si="293"/>
        <v>1.2256612169910279</v>
      </c>
      <c r="W681" s="304">
        <f t="shared" ca="1" si="294"/>
        <v>43.216032753890914</v>
      </c>
      <c r="Y681" s="314" t="str">
        <f t="shared" ca="1" si="312"/>
        <v/>
      </c>
      <c r="Z681" s="315" t="str">
        <f t="shared" ca="1" si="313"/>
        <v/>
      </c>
      <c r="AA681" s="316" t="str">
        <f t="shared" ca="1" si="314"/>
        <v/>
      </c>
      <c r="AC681" s="310" t="e">
        <f t="shared" ca="1" si="315"/>
        <v>#N/A</v>
      </c>
      <c r="AD681" s="323" t="e">
        <f t="shared" ca="1" si="316"/>
        <v>#N/A</v>
      </c>
      <c r="AE681" s="324" t="e">
        <f t="shared" ca="1" si="295"/>
        <v>#N/A</v>
      </c>
      <c r="AG681" s="306">
        <f t="shared" ca="1" si="317"/>
        <v>1.2715886445917519</v>
      </c>
      <c r="AH681" s="304">
        <f t="shared" ca="1" si="318"/>
        <v>-8.502042898539468</v>
      </c>
    </row>
    <row r="682" spans="1:34" x14ac:dyDescent="0.2">
      <c r="A682" s="347">
        <f t="shared" ca="1" si="296"/>
        <v>1E-4</v>
      </c>
      <c r="B682" s="304">
        <f t="shared" ca="1" si="297"/>
        <v>29.22960000000008</v>
      </c>
      <c r="D682" s="306">
        <f t="shared" ca="1" si="298"/>
        <v>-0.73140995940261522</v>
      </c>
      <c r="E682" s="307">
        <f t="shared" ca="1" si="299"/>
        <v>-1.3394468677218807</v>
      </c>
      <c r="F682" s="304">
        <f t="shared" ca="1" si="300"/>
        <v>1.5261318554316636</v>
      </c>
      <c r="G682" s="306">
        <f t="shared" ca="1" si="301"/>
        <v>9.2186673587956829</v>
      </c>
      <c r="H682" s="307">
        <f t="shared" ca="1" si="302"/>
        <v>-106.76355740141393</v>
      </c>
      <c r="I682" s="304">
        <f t="shared" ca="1" si="303"/>
        <v>107.16081847801058</v>
      </c>
      <c r="J682" s="306">
        <f t="shared" ca="1" si="304"/>
        <v>746.86410190403069</v>
      </c>
      <c r="K682" s="307">
        <f t="shared" ca="1" si="305"/>
        <v>-5.4069097120518794</v>
      </c>
      <c r="L682" s="304">
        <f t="shared" ca="1" si="290"/>
        <v>746.88367326214097</v>
      </c>
      <c r="M682" s="306">
        <f t="shared" ca="1" si="306"/>
        <v>-1.4846633906569631</v>
      </c>
      <c r="N682" s="304">
        <f t="shared" ca="1" si="307"/>
        <v>-85.064946282226558</v>
      </c>
      <c r="P682" s="310">
        <f t="shared" ca="1" si="308"/>
        <v>23</v>
      </c>
      <c r="Q682" s="304">
        <f t="shared" ca="1" si="309"/>
        <v>0</v>
      </c>
      <c r="R682" s="306">
        <f t="shared" ca="1" si="310"/>
        <v>0</v>
      </c>
      <c r="S682" s="307">
        <f t="shared" ca="1" si="311"/>
        <v>5.083000000000002</v>
      </c>
      <c r="T682" s="304">
        <f t="shared" ca="1" si="291"/>
        <v>49.86423000000002</v>
      </c>
      <c r="U682" s="311">
        <f t="shared" ca="1" si="292"/>
        <v>0</v>
      </c>
      <c r="V682" s="306">
        <f t="shared" ca="1" si="293"/>
        <v>1.225662525550518</v>
      </c>
      <c r="W682" s="304">
        <f t="shared" ca="1" si="294"/>
        <v>43.216181452647589</v>
      </c>
      <c r="Y682" s="314" t="str">
        <f t="shared" ca="1" si="312"/>
        <v/>
      </c>
      <c r="Z682" s="315" t="str">
        <f t="shared" ca="1" si="313"/>
        <v/>
      </c>
      <c r="AA682" s="316" t="str">
        <f t="shared" ca="1" si="314"/>
        <v/>
      </c>
      <c r="AC682" s="310" t="e">
        <f t="shared" ca="1" si="315"/>
        <v>#N/A</v>
      </c>
      <c r="AD682" s="323" t="e">
        <f t="shared" ca="1" si="316"/>
        <v>#N/A</v>
      </c>
      <c r="AE682" s="324" t="e">
        <f t="shared" ca="1" si="295"/>
        <v>#N/A</v>
      </c>
      <c r="AG682" s="306">
        <f t="shared" ca="1" si="317"/>
        <v>1.2715600547245032</v>
      </c>
      <c r="AH682" s="304">
        <f t="shared" ca="1" si="318"/>
        <v>-8.5020721530377532</v>
      </c>
    </row>
    <row r="683" spans="1:34" x14ac:dyDescent="0.2">
      <c r="A683" s="347">
        <f t="shared" ca="1" si="296"/>
        <v>1E-4</v>
      </c>
      <c r="B683" s="304">
        <f t="shared" ca="1" si="297"/>
        <v>29.229700000000079</v>
      </c>
      <c r="D683" s="306">
        <f t="shared" ca="1" si="298"/>
        <v>-0.7314058051874297</v>
      </c>
      <c r="E683" s="307">
        <f t="shared" ca="1" si="299"/>
        <v>-1.3394171460313054</v>
      </c>
      <c r="F683" s="304">
        <f t="shared" ca="1" si="300"/>
        <v>1.5261037785630831</v>
      </c>
      <c r="G683" s="306">
        <f t="shared" ca="1" si="301"/>
        <v>9.2185942182151646</v>
      </c>
      <c r="H683" s="307">
        <f t="shared" ca="1" si="302"/>
        <v>-106.76369134312854</v>
      </c>
      <c r="I683" s="304">
        <f t="shared" ca="1" si="303"/>
        <v>107.16094563119033</v>
      </c>
      <c r="J683" s="306">
        <f t="shared" ca="1" si="304"/>
        <v>746.86410190403069</v>
      </c>
      <c r="K683" s="307">
        <f t="shared" ca="1" si="305"/>
        <v>-5.4175860744891065</v>
      </c>
      <c r="L683" s="304">
        <f t="shared" ca="1" si="290"/>
        <v>746.88375062775924</v>
      </c>
      <c r="M683" s="306">
        <f t="shared" ca="1" si="306"/>
        <v>-1.4846641781824037</v>
      </c>
      <c r="N683" s="304">
        <f t="shared" ca="1" si="307"/>
        <v>-85.064991404110572</v>
      </c>
      <c r="P683" s="310">
        <f t="shared" ca="1" si="308"/>
        <v>23</v>
      </c>
      <c r="Q683" s="304">
        <f t="shared" ca="1" si="309"/>
        <v>0</v>
      </c>
      <c r="R683" s="306">
        <f t="shared" ca="1" si="310"/>
        <v>0</v>
      </c>
      <c r="S683" s="307">
        <f t="shared" ca="1" si="311"/>
        <v>5.083000000000002</v>
      </c>
      <c r="T683" s="304">
        <f t="shared" ca="1" si="291"/>
        <v>49.86423000000002</v>
      </c>
      <c r="U683" s="311">
        <f t="shared" ca="1" si="292"/>
        <v>0</v>
      </c>
      <c r="V683" s="306">
        <f t="shared" ca="1" si="293"/>
        <v>1.2256638341130477</v>
      </c>
      <c r="W683" s="304">
        <f t="shared" ca="1" si="294"/>
        <v>43.216330149546181</v>
      </c>
      <c r="Y683" s="314" t="str">
        <f t="shared" ca="1" si="312"/>
        <v/>
      </c>
      <c r="Z683" s="315" t="str">
        <f t="shared" ca="1" si="313"/>
        <v/>
      </c>
      <c r="AA683" s="316" t="str">
        <f t="shared" ca="1" si="314"/>
        <v/>
      </c>
      <c r="AC683" s="310" t="e">
        <f t="shared" ca="1" si="315"/>
        <v>#N/A</v>
      </c>
      <c r="AD683" s="323" t="e">
        <f t="shared" ca="1" si="316"/>
        <v>#N/A</v>
      </c>
      <c r="AE683" s="324" t="e">
        <f t="shared" ca="1" si="295"/>
        <v>#N/A</v>
      </c>
      <c r="AG683" s="306">
        <f t="shared" ca="1" si="317"/>
        <v>1.2715314652098932</v>
      </c>
      <c r="AH683" s="304">
        <f t="shared" ca="1" si="318"/>
        <v>-8.5021014071704837</v>
      </c>
    </row>
    <row r="684" spans="1:34" x14ac:dyDescent="0.2">
      <c r="A684" s="347">
        <f t="shared" ca="1" si="296"/>
        <v>1E-4</v>
      </c>
      <c r="B684" s="304">
        <f t="shared" ca="1" si="297"/>
        <v>29.229800000000079</v>
      </c>
      <c r="D684" s="306">
        <f t="shared" ca="1" si="298"/>
        <v>-0.73140165096319609</v>
      </c>
      <c r="E684" s="307">
        <f t="shared" ca="1" si="299"/>
        <v>-1.3393874247121484</v>
      </c>
      <c r="F684" s="304">
        <f t="shared" ca="1" si="300"/>
        <v>1.5260757020897522</v>
      </c>
      <c r="G684" s="306">
        <f t="shared" ca="1" si="301"/>
        <v>9.2185210780500686</v>
      </c>
      <c r="H684" s="307">
        <f t="shared" ca="1" si="302"/>
        <v>-106.76382528187101</v>
      </c>
      <c r="I684" s="304">
        <f t="shared" ca="1" si="303"/>
        <v>107.16107278151117</v>
      </c>
      <c r="J684" s="306">
        <f t="shared" ca="1" si="304"/>
        <v>746.86410190403069</v>
      </c>
      <c r="K684" s="307">
        <f t="shared" ca="1" si="305"/>
        <v>-5.4282624503203563</v>
      </c>
      <c r="L684" s="304">
        <f t="shared" ca="1" si="290"/>
        <v>746.88382814608053</v>
      </c>
      <c r="M684" s="306">
        <f t="shared" ca="1" si="306"/>
        <v>-1.4846649656997275</v>
      </c>
      <c r="N684" s="304">
        <f t="shared" ca="1" si="307"/>
        <v>-85.065036525529521</v>
      </c>
      <c r="P684" s="310">
        <f t="shared" ca="1" si="308"/>
        <v>23</v>
      </c>
      <c r="Q684" s="304">
        <f t="shared" ca="1" si="309"/>
        <v>0</v>
      </c>
      <c r="R684" s="306">
        <f t="shared" ca="1" si="310"/>
        <v>0</v>
      </c>
      <c r="S684" s="307">
        <f t="shared" ca="1" si="311"/>
        <v>5.083000000000002</v>
      </c>
      <c r="T684" s="304">
        <f t="shared" ca="1" si="291"/>
        <v>49.86423000000002</v>
      </c>
      <c r="U684" s="311">
        <f t="shared" ca="1" si="292"/>
        <v>0</v>
      </c>
      <c r="V684" s="306">
        <f t="shared" ca="1" si="293"/>
        <v>1.2256651426786158</v>
      </c>
      <c r="W684" s="304">
        <f t="shared" ca="1" si="294"/>
        <v>43.216478844586668</v>
      </c>
      <c r="Y684" s="314" t="str">
        <f t="shared" ca="1" si="312"/>
        <v/>
      </c>
      <c r="Z684" s="315" t="str">
        <f t="shared" ca="1" si="313"/>
        <v/>
      </c>
      <c r="AA684" s="316" t="str">
        <f t="shared" ca="1" si="314"/>
        <v/>
      </c>
      <c r="AC684" s="310" t="e">
        <f t="shared" ca="1" si="315"/>
        <v>#N/A</v>
      </c>
      <c r="AD684" s="323" t="e">
        <f t="shared" ca="1" si="316"/>
        <v>#N/A</v>
      </c>
      <c r="AE684" s="324" t="e">
        <f t="shared" ca="1" si="295"/>
        <v>#N/A</v>
      </c>
      <c r="AG684" s="306">
        <f t="shared" ca="1" si="317"/>
        <v>1.2715028760479186</v>
      </c>
      <c r="AH684" s="304">
        <f t="shared" ca="1" si="318"/>
        <v>-8.5021306609376683</v>
      </c>
    </row>
    <row r="685" spans="1:34" x14ac:dyDescent="0.2">
      <c r="A685" s="347">
        <f t="shared" ca="1" si="296"/>
        <v>1E-4</v>
      </c>
      <c r="B685" s="304">
        <f t="shared" ca="1" si="297"/>
        <v>29.229900000000079</v>
      </c>
      <c r="D685" s="306">
        <f t="shared" ca="1" si="298"/>
        <v>-0.73139749672991172</v>
      </c>
      <c r="E685" s="307">
        <f t="shared" ca="1" si="299"/>
        <v>-1.3393577037644171</v>
      </c>
      <c r="F685" s="304">
        <f t="shared" ca="1" si="300"/>
        <v>1.5260476260116764</v>
      </c>
      <c r="G685" s="306">
        <f t="shared" ca="1" si="301"/>
        <v>9.218447938300395</v>
      </c>
      <c r="H685" s="307">
        <f t="shared" ca="1" si="302"/>
        <v>-106.76395921764139</v>
      </c>
      <c r="I685" s="304">
        <f t="shared" ca="1" si="303"/>
        <v>107.16119992897312</v>
      </c>
      <c r="J685" s="306">
        <f t="shared" ca="1" si="304"/>
        <v>746.86410190403069</v>
      </c>
      <c r="K685" s="307">
        <f t="shared" ca="1" si="305"/>
        <v>-5.4389388395453322</v>
      </c>
      <c r="L685" s="304">
        <f t="shared" ca="1" si="290"/>
        <v>746.8839058171053</v>
      </c>
      <c r="M685" s="306">
        <f t="shared" ca="1" si="306"/>
        <v>-1.4846657532089342</v>
      </c>
      <c r="N685" s="304">
        <f t="shared" ca="1" si="307"/>
        <v>-85.065081646483392</v>
      </c>
      <c r="P685" s="310">
        <f t="shared" ca="1" si="308"/>
        <v>23</v>
      </c>
      <c r="Q685" s="304">
        <f t="shared" ca="1" si="309"/>
        <v>0</v>
      </c>
      <c r="R685" s="306">
        <f t="shared" ca="1" si="310"/>
        <v>0</v>
      </c>
      <c r="S685" s="307">
        <f t="shared" ca="1" si="311"/>
        <v>5.083000000000002</v>
      </c>
      <c r="T685" s="304">
        <f t="shared" ca="1" si="291"/>
        <v>49.86423000000002</v>
      </c>
      <c r="U685" s="311">
        <f t="shared" ca="1" si="292"/>
        <v>0</v>
      </c>
      <c r="V685" s="306">
        <f t="shared" ca="1" si="293"/>
        <v>1.2256664512472233</v>
      </c>
      <c r="W685" s="304">
        <f t="shared" ca="1" si="294"/>
        <v>43.216627537769106</v>
      </c>
      <c r="Y685" s="314" t="str">
        <f t="shared" ca="1" si="312"/>
        <v/>
      </c>
      <c r="Z685" s="315" t="str">
        <f t="shared" ca="1" si="313"/>
        <v/>
      </c>
      <c r="AA685" s="316" t="str">
        <f t="shared" ca="1" si="314"/>
        <v/>
      </c>
      <c r="AC685" s="310" t="e">
        <f t="shared" ca="1" si="315"/>
        <v>#N/A</v>
      </c>
      <c r="AD685" s="323" t="e">
        <f t="shared" ca="1" si="316"/>
        <v>#N/A</v>
      </c>
      <c r="AE685" s="324" t="e">
        <f t="shared" ca="1" si="295"/>
        <v>#N/A</v>
      </c>
      <c r="AG685" s="306">
        <f t="shared" ca="1" si="317"/>
        <v>1.271474287238588</v>
      </c>
      <c r="AH685" s="304">
        <f t="shared" ca="1" si="318"/>
        <v>-8.5021599143392983</v>
      </c>
    </row>
    <row r="686" spans="1:34" x14ac:dyDescent="0.2">
      <c r="A686" s="347">
        <f t="shared" ca="1" si="296"/>
        <v>1E-4</v>
      </c>
      <c r="B686" s="304">
        <f t="shared" ca="1" si="297"/>
        <v>29.230000000000079</v>
      </c>
      <c r="D686" s="306">
        <f t="shared" ca="1" si="298"/>
        <v>-0.73139334248758092</v>
      </c>
      <c r="E686" s="307">
        <f t="shared" ca="1" si="299"/>
        <v>-1.3393279831880989</v>
      </c>
      <c r="F686" s="304">
        <f t="shared" ca="1" si="300"/>
        <v>1.526019550328847</v>
      </c>
      <c r="G686" s="306">
        <f t="shared" ca="1" si="301"/>
        <v>9.2183747989661455</v>
      </c>
      <c r="H686" s="307">
        <f t="shared" ca="1" si="302"/>
        <v>-106.76409315043971</v>
      </c>
      <c r="I686" s="304">
        <f t="shared" ca="1" si="303"/>
        <v>107.16132707357623</v>
      </c>
      <c r="J686" s="306">
        <f t="shared" ca="1" si="304"/>
        <v>746.86410190403069</v>
      </c>
      <c r="K686" s="307">
        <f t="shared" ca="1" si="305"/>
        <v>-5.4496152421637358</v>
      </c>
      <c r="L686" s="304">
        <f t="shared" ca="1" si="290"/>
        <v>746.88398364083423</v>
      </c>
      <c r="M686" s="306">
        <f t="shared" ca="1" si="306"/>
        <v>-1.4846665407100241</v>
      </c>
      <c r="N686" s="304">
        <f t="shared" ca="1" si="307"/>
        <v>-85.065126766972199</v>
      </c>
      <c r="P686" s="310">
        <f t="shared" ca="1" si="308"/>
        <v>23</v>
      </c>
      <c r="Q686" s="304">
        <f t="shared" ca="1" si="309"/>
        <v>0</v>
      </c>
      <c r="R686" s="306">
        <f t="shared" ca="1" si="310"/>
        <v>0</v>
      </c>
      <c r="S686" s="307">
        <f t="shared" ca="1" si="311"/>
        <v>5.083000000000002</v>
      </c>
      <c r="T686" s="304">
        <f t="shared" ca="1" si="291"/>
        <v>49.86423000000002</v>
      </c>
      <c r="U686" s="311">
        <f t="shared" ca="1" si="292"/>
        <v>0</v>
      </c>
      <c r="V686" s="306">
        <f t="shared" ca="1" si="293"/>
        <v>1.2256677598188694</v>
      </c>
      <c r="W686" s="304">
        <f t="shared" ca="1" si="294"/>
        <v>43.216776229093469</v>
      </c>
      <c r="Y686" s="314" t="str">
        <f t="shared" ca="1" si="312"/>
        <v/>
      </c>
      <c r="Z686" s="315" t="str">
        <f t="shared" ca="1" si="313"/>
        <v/>
      </c>
      <c r="AA686" s="316" t="str">
        <f t="shared" ca="1" si="314"/>
        <v/>
      </c>
      <c r="AC686" s="310" t="e">
        <f t="shared" ca="1" si="315"/>
        <v>#N/A</v>
      </c>
      <c r="AD686" s="323" t="e">
        <f t="shared" ca="1" si="316"/>
        <v>#N/A</v>
      </c>
      <c r="AE686" s="324" t="e">
        <f t="shared" ca="1" si="295"/>
        <v>#N/A</v>
      </c>
      <c r="AG686" s="306">
        <f t="shared" ca="1" si="317"/>
        <v>1.2714456987818874</v>
      </c>
      <c r="AH686" s="304">
        <f t="shared" ca="1" si="318"/>
        <v>-8.502189167375386</v>
      </c>
    </row>
    <row r="687" spans="1:34" x14ac:dyDescent="0.2">
      <c r="A687" s="347">
        <f t="shared" ca="1" si="296"/>
        <v>1E-4</v>
      </c>
      <c r="B687" s="304">
        <f t="shared" ca="1" si="297"/>
        <v>29.230100000000078</v>
      </c>
      <c r="D687" s="306">
        <f t="shared" ca="1" si="298"/>
        <v>-0.73138918823620314</v>
      </c>
      <c r="E687" s="307">
        <f t="shared" ca="1" si="299"/>
        <v>-1.3392982629831991</v>
      </c>
      <c r="F687" s="304">
        <f t="shared" ca="1" si="300"/>
        <v>1.5259914750412686</v>
      </c>
      <c r="G687" s="306">
        <f t="shared" ca="1" si="301"/>
        <v>9.218301660047322</v>
      </c>
      <c r="H687" s="307">
        <f t="shared" ca="1" si="302"/>
        <v>-106.76422708026601</v>
      </c>
      <c r="I687" s="304">
        <f t="shared" ca="1" si="303"/>
        <v>107.16145421532053</v>
      </c>
      <c r="J687" s="306">
        <f t="shared" ca="1" si="304"/>
        <v>746.86410190403069</v>
      </c>
      <c r="K687" s="307">
        <f t="shared" ca="1" si="305"/>
        <v>-5.4602916581752714</v>
      </c>
      <c r="L687" s="304">
        <f t="shared" ca="1" si="290"/>
        <v>746.88406161726778</v>
      </c>
      <c r="M687" s="306">
        <f t="shared" ca="1" si="306"/>
        <v>-1.4846673282029974</v>
      </c>
      <c r="N687" s="304">
        <f t="shared" ca="1" si="307"/>
        <v>-85.065171886995969</v>
      </c>
      <c r="P687" s="310">
        <f t="shared" ca="1" si="308"/>
        <v>23</v>
      </c>
      <c r="Q687" s="304">
        <f t="shared" ca="1" si="309"/>
        <v>0</v>
      </c>
      <c r="R687" s="306">
        <f t="shared" ca="1" si="310"/>
        <v>0</v>
      </c>
      <c r="S687" s="307">
        <f t="shared" ca="1" si="311"/>
        <v>5.083000000000002</v>
      </c>
      <c r="T687" s="304">
        <f t="shared" ca="1" si="291"/>
        <v>49.86423000000002</v>
      </c>
      <c r="U687" s="311">
        <f t="shared" ca="1" si="292"/>
        <v>0</v>
      </c>
      <c r="V687" s="306">
        <f t="shared" ca="1" si="293"/>
        <v>1.2256690683935549</v>
      </c>
      <c r="W687" s="304">
        <f t="shared" ca="1" si="294"/>
        <v>43.216924918559805</v>
      </c>
      <c r="Y687" s="314" t="str">
        <f t="shared" ca="1" si="312"/>
        <v/>
      </c>
      <c r="Z687" s="315" t="str">
        <f t="shared" ca="1" si="313"/>
        <v/>
      </c>
      <c r="AA687" s="316" t="str">
        <f t="shared" ca="1" si="314"/>
        <v/>
      </c>
      <c r="AC687" s="310" t="e">
        <f t="shared" ca="1" si="315"/>
        <v>#N/A</v>
      </c>
      <c r="AD687" s="323" t="e">
        <f t="shared" ca="1" si="316"/>
        <v>#N/A</v>
      </c>
      <c r="AE687" s="324" t="e">
        <f t="shared" ca="1" si="295"/>
        <v>#N/A</v>
      </c>
      <c r="AG687" s="306">
        <f t="shared" ca="1" si="317"/>
        <v>1.271417110677822</v>
      </c>
      <c r="AH687" s="304">
        <f t="shared" ca="1" si="318"/>
        <v>-8.5022184200459279</v>
      </c>
    </row>
    <row r="688" spans="1:34" x14ac:dyDescent="0.2">
      <c r="A688" s="347">
        <f t="shared" ca="1" si="296"/>
        <v>1E-4</v>
      </c>
      <c r="B688" s="304">
        <f t="shared" ca="1" si="297"/>
        <v>29.230200000000078</v>
      </c>
      <c r="D688" s="306">
        <f t="shared" ca="1" si="298"/>
        <v>-0.7313850339757787</v>
      </c>
      <c r="E688" s="307">
        <f t="shared" ca="1" si="299"/>
        <v>-1.3392685431497053</v>
      </c>
      <c r="F688" s="304">
        <f t="shared" ca="1" si="300"/>
        <v>1.5259634001489306</v>
      </c>
      <c r="G688" s="306">
        <f t="shared" ca="1" si="301"/>
        <v>9.2182285215439244</v>
      </c>
      <c r="H688" s="307">
        <f t="shared" ca="1" si="302"/>
        <v>-106.76436100712033</v>
      </c>
      <c r="I688" s="304">
        <f t="shared" ca="1" si="303"/>
        <v>107.16158135420605</v>
      </c>
      <c r="J688" s="306">
        <f t="shared" ca="1" si="304"/>
        <v>746.86410190403069</v>
      </c>
      <c r="K688" s="307">
        <f t="shared" ca="1" si="305"/>
        <v>-5.4709680875796405</v>
      </c>
      <c r="L688" s="304">
        <f t="shared" ca="1" si="290"/>
        <v>746.8841397464065</v>
      </c>
      <c r="M688" s="306">
        <f t="shared" ca="1" si="306"/>
        <v>-1.4846681156878541</v>
      </c>
      <c r="N688" s="304">
        <f t="shared" ca="1" si="307"/>
        <v>-85.06521700655469</v>
      </c>
      <c r="P688" s="310">
        <f t="shared" ca="1" si="308"/>
        <v>23</v>
      </c>
      <c r="Q688" s="304">
        <f t="shared" ca="1" si="309"/>
        <v>0</v>
      </c>
      <c r="R688" s="306">
        <f t="shared" ca="1" si="310"/>
        <v>0</v>
      </c>
      <c r="S688" s="307">
        <f t="shared" ca="1" si="311"/>
        <v>5.083000000000002</v>
      </c>
      <c r="T688" s="304">
        <f t="shared" ca="1" si="291"/>
        <v>49.86423000000002</v>
      </c>
      <c r="U688" s="311">
        <f t="shared" ca="1" si="292"/>
        <v>0</v>
      </c>
      <c r="V688" s="306">
        <f t="shared" ca="1" si="293"/>
        <v>1.2256703769712791</v>
      </c>
      <c r="W688" s="304">
        <f t="shared" ca="1" si="294"/>
        <v>43.2170736061681</v>
      </c>
      <c r="Y688" s="314" t="str">
        <f t="shared" ca="1" si="312"/>
        <v/>
      </c>
      <c r="Z688" s="315" t="str">
        <f t="shared" ca="1" si="313"/>
        <v/>
      </c>
      <c r="AA688" s="316" t="str">
        <f t="shared" ca="1" si="314"/>
        <v/>
      </c>
      <c r="AC688" s="310" t="e">
        <f t="shared" ca="1" si="315"/>
        <v>#N/A</v>
      </c>
      <c r="AD688" s="323" t="e">
        <f t="shared" ca="1" si="316"/>
        <v>#N/A</v>
      </c>
      <c r="AE688" s="324" t="e">
        <f t="shared" ca="1" si="295"/>
        <v>#N/A</v>
      </c>
      <c r="AG688" s="306">
        <f t="shared" ca="1" si="317"/>
        <v>1.271388522926383</v>
      </c>
      <c r="AH688" s="304">
        <f t="shared" ca="1" si="318"/>
        <v>-8.5022476723509328</v>
      </c>
    </row>
    <row r="689" spans="1:34" x14ac:dyDescent="0.2">
      <c r="A689" s="347">
        <f t="shared" ca="1" si="296"/>
        <v>1E-4</v>
      </c>
      <c r="B689" s="304">
        <f t="shared" ca="1" si="297"/>
        <v>29.230300000000078</v>
      </c>
      <c r="D689" s="306">
        <f t="shared" ca="1" si="298"/>
        <v>-0.73138087970630894</v>
      </c>
      <c r="E689" s="307">
        <f t="shared" ca="1" si="299"/>
        <v>-1.3392388236876283</v>
      </c>
      <c r="F689" s="304">
        <f t="shared" ca="1" si="300"/>
        <v>1.5259353256518431</v>
      </c>
      <c r="G689" s="306">
        <f t="shared" ca="1" si="301"/>
        <v>9.2181553834559544</v>
      </c>
      <c r="H689" s="307">
        <f t="shared" ca="1" si="302"/>
        <v>-106.7644949310027</v>
      </c>
      <c r="I689" s="304">
        <f t="shared" ca="1" si="303"/>
        <v>107.16170849023283</v>
      </c>
      <c r="J689" s="306">
        <f t="shared" ca="1" si="304"/>
        <v>746.86410190403069</v>
      </c>
      <c r="K689" s="307">
        <f t="shared" ca="1" si="305"/>
        <v>-5.4816445303765464</v>
      </c>
      <c r="L689" s="304">
        <f t="shared" ca="1" si="290"/>
        <v>746.88421802825087</v>
      </c>
      <c r="M689" s="306">
        <f t="shared" ca="1" si="306"/>
        <v>-1.4846689031645941</v>
      </c>
      <c r="N689" s="304">
        <f t="shared" ca="1" si="307"/>
        <v>-85.06526212564836</v>
      </c>
      <c r="P689" s="310">
        <f t="shared" ca="1" si="308"/>
        <v>23</v>
      </c>
      <c r="Q689" s="304">
        <f t="shared" ca="1" si="309"/>
        <v>0</v>
      </c>
      <c r="R689" s="306">
        <f t="shared" ca="1" si="310"/>
        <v>0</v>
      </c>
      <c r="S689" s="307">
        <f t="shared" ca="1" si="311"/>
        <v>5.083000000000002</v>
      </c>
      <c r="T689" s="304">
        <f t="shared" ca="1" si="291"/>
        <v>49.86423000000002</v>
      </c>
      <c r="U689" s="311">
        <f t="shared" ca="1" si="292"/>
        <v>0</v>
      </c>
      <c r="V689" s="306">
        <f t="shared" ca="1" si="293"/>
        <v>1.2256716855520429</v>
      </c>
      <c r="W689" s="304">
        <f t="shared" ca="1" si="294"/>
        <v>43.217222291918397</v>
      </c>
      <c r="Y689" s="314" t="str">
        <f t="shared" ca="1" si="312"/>
        <v/>
      </c>
      <c r="Z689" s="315" t="str">
        <f t="shared" ca="1" si="313"/>
        <v/>
      </c>
      <c r="AA689" s="316" t="str">
        <f t="shared" ca="1" si="314"/>
        <v/>
      </c>
      <c r="AC689" s="310" t="e">
        <f t="shared" ca="1" si="315"/>
        <v>#N/A</v>
      </c>
      <c r="AD689" s="323" t="e">
        <f t="shared" ca="1" si="316"/>
        <v>#N/A</v>
      </c>
      <c r="AE689" s="324" t="e">
        <f t="shared" ca="1" si="295"/>
        <v>#N/A</v>
      </c>
      <c r="AG689" s="306">
        <f t="shared" ca="1" si="317"/>
        <v>1.2713599355275758</v>
      </c>
      <c r="AH689" s="304">
        <f t="shared" ca="1" si="318"/>
        <v>-8.5022769242903955</v>
      </c>
    </row>
    <row r="690" spans="1:34" x14ac:dyDescent="0.2">
      <c r="A690" s="347">
        <f t="shared" ca="1" si="296"/>
        <v>1E-4</v>
      </c>
      <c r="B690" s="304">
        <f t="shared" ca="1" si="297"/>
        <v>29.230400000000078</v>
      </c>
      <c r="D690" s="306">
        <f t="shared" ca="1" si="298"/>
        <v>-0.73137672542779641</v>
      </c>
      <c r="E690" s="307">
        <f t="shared" ca="1" si="299"/>
        <v>-1.3392091045969501</v>
      </c>
      <c r="F690" s="304">
        <f t="shared" ca="1" si="300"/>
        <v>1.5259072515499923</v>
      </c>
      <c r="G690" s="306">
        <f t="shared" ca="1" si="301"/>
        <v>9.2180822457834122</v>
      </c>
      <c r="H690" s="307">
        <f t="shared" ca="1" si="302"/>
        <v>-106.76462885191316</v>
      </c>
      <c r="I690" s="304">
        <f t="shared" ca="1" si="303"/>
        <v>107.1618356234009</v>
      </c>
      <c r="J690" s="306">
        <f t="shared" ca="1" si="304"/>
        <v>746.86410190403069</v>
      </c>
      <c r="K690" s="307">
        <f t="shared" ca="1" si="305"/>
        <v>-5.4923209865656926</v>
      </c>
      <c r="L690" s="304">
        <f t="shared" ca="1" si="290"/>
        <v>746.88429646280133</v>
      </c>
      <c r="M690" s="306">
        <f t="shared" ca="1" si="306"/>
        <v>-1.484669690633218</v>
      </c>
      <c r="N690" s="304">
        <f t="shared" ca="1" si="307"/>
        <v>-85.065307244276994</v>
      </c>
      <c r="P690" s="310">
        <f t="shared" ca="1" si="308"/>
        <v>23</v>
      </c>
      <c r="Q690" s="304">
        <f t="shared" ca="1" si="309"/>
        <v>0</v>
      </c>
      <c r="R690" s="306">
        <f t="shared" ca="1" si="310"/>
        <v>0</v>
      </c>
      <c r="S690" s="307">
        <f t="shared" ca="1" si="311"/>
        <v>5.083000000000002</v>
      </c>
      <c r="T690" s="304">
        <f t="shared" ca="1" si="291"/>
        <v>49.86423000000002</v>
      </c>
      <c r="U690" s="311">
        <f t="shared" ca="1" si="292"/>
        <v>0</v>
      </c>
      <c r="V690" s="306">
        <f t="shared" ca="1" si="293"/>
        <v>1.2256729941358453</v>
      </c>
      <c r="W690" s="304">
        <f t="shared" ca="1" si="294"/>
        <v>43.217370975810695</v>
      </c>
      <c r="Y690" s="314" t="str">
        <f t="shared" ca="1" si="312"/>
        <v/>
      </c>
      <c r="Z690" s="315" t="str">
        <f t="shared" ca="1" si="313"/>
        <v/>
      </c>
      <c r="AA690" s="316" t="str">
        <f t="shared" ca="1" si="314"/>
        <v/>
      </c>
      <c r="AC690" s="310" t="e">
        <f t="shared" ca="1" si="315"/>
        <v>#N/A</v>
      </c>
      <c r="AD690" s="323" t="e">
        <f t="shared" ca="1" si="316"/>
        <v>#N/A</v>
      </c>
      <c r="AE690" s="324" t="e">
        <f t="shared" ca="1" si="295"/>
        <v>#N/A</v>
      </c>
      <c r="AG690" s="306">
        <f t="shared" ca="1" si="317"/>
        <v>1.2713313484813877</v>
      </c>
      <c r="AH690" s="304">
        <f t="shared" ca="1" si="318"/>
        <v>-8.5023061758643284</v>
      </c>
    </row>
    <row r="691" spans="1:34" x14ac:dyDescent="0.2">
      <c r="A691" s="347">
        <f t="shared" ca="1" si="296"/>
        <v>1E-4</v>
      </c>
      <c r="B691" s="304">
        <f t="shared" ca="1" si="297"/>
        <v>29.230500000000077</v>
      </c>
      <c r="D691" s="306">
        <f t="shared" ca="1" si="298"/>
        <v>-0.73137257114023868</v>
      </c>
      <c r="E691" s="307">
        <f t="shared" ca="1" si="299"/>
        <v>-1.3391793858776762</v>
      </c>
      <c r="F691" s="304">
        <f t="shared" ca="1" si="300"/>
        <v>1.5258791778433813</v>
      </c>
      <c r="G691" s="306">
        <f t="shared" ca="1" si="301"/>
        <v>9.2180091085262976</v>
      </c>
      <c r="H691" s="307">
        <f t="shared" ca="1" si="302"/>
        <v>-106.76476276985174</v>
      </c>
      <c r="I691" s="304">
        <f t="shared" ca="1" si="303"/>
        <v>107.1619627537103</v>
      </c>
      <c r="J691" s="306">
        <f t="shared" ca="1" si="304"/>
        <v>746.86410190403069</v>
      </c>
      <c r="K691" s="307">
        <f t="shared" ca="1" si="305"/>
        <v>-5.5029974561467805</v>
      </c>
      <c r="L691" s="304">
        <f t="shared" ca="1" si="290"/>
        <v>746.88437505005868</v>
      </c>
      <c r="M691" s="306">
        <f t="shared" ca="1" si="306"/>
        <v>-1.4846704780937254</v>
      </c>
      <c r="N691" s="304">
        <f t="shared" ca="1" si="307"/>
        <v>-85.065352362440606</v>
      </c>
      <c r="P691" s="310">
        <f t="shared" ca="1" si="308"/>
        <v>23</v>
      </c>
      <c r="Q691" s="304">
        <f t="shared" ca="1" si="309"/>
        <v>0</v>
      </c>
      <c r="R691" s="306">
        <f t="shared" ca="1" si="310"/>
        <v>0</v>
      </c>
      <c r="S691" s="307">
        <f t="shared" ca="1" si="311"/>
        <v>5.083000000000002</v>
      </c>
      <c r="T691" s="304">
        <f t="shared" ca="1" si="291"/>
        <v>49.86423000000002</v>
      </c>
      <c r="U691" s="311">
        <f t="shared" ca="1" si="292"/>
        <v>0</v>
      </c>
      <c r="V691" s="306">
        <f t="shared" ca="1" si="293"/>
        <v>1.2256743027226866</v>
      </c>
      <c r="W691" s="304">
        <f t="shared" ca="1" si="294"/>
        <v>43.217519657844989</v>
      </c>
      <c r="Y691" s="314" t="str">
        <f t="shared" ca="1" si="312"/>
        <v/>
      </c>
      <c r="Z691" s="315" t="str">
        <f t="shared" ca="1" si="313"/>
        <v/>
      </c>
      <c r="AA691" s="316" t="str">
        <f t="shared" ca="1" si="314"/>
        <v/>
      </c>
      <c r="AC691" s="310" t="e">
        <f t="shared" ca="1" si="315"/>
        <v>#N/A</v>
      </c>
      <c r="AD691" s="323" t="e">
        <f t="shared" ca="1" si="316"/>
        <v>#N/A</v>
      </c>
      <c r="AE691" s="324" t="e">
        <f t="shared" ca="1" si="295"/>
        <v>#N/A</v>
      </c>
      <c r="AG691" s="306">
        <f t="shared" ca="1" si="317"/>
        <v>1.2713027617878243</v>
      </c>
      <c r="AH691" s="304">
        <f t="shared" ca="1" si="318"/>
        <v>-8.5023354270727278</v>
      </c>
    </row>
    <row r="692" spans="1:34" x14ac:dyDescent="0.2">
      <c r="A692" s="347">
        <f t="shared" ca="1" si="296"/>
        <v>1E-4</v>
      </c>
      <c r="B692" s="304">
        <f t="shared" ca="1" si="297"/>
        <v>29.230600000000077</v>
      </c>
      <c r="D692" s="306">
        <f t="shared" ca="1" si="298"/>
        <v>-0.73136841684363929</v>
      </c>
      <c r="E692" s="307">
        <f t="shared" ca="1" si="299"/>
        <v>-1.3391496675298065</v>
      </c>
      <c r="F692" s="304">
        <f t="shared" ca="1" si="300"/>
        <v>1.5258511045320124</v>
      </c>
      <c r="G692" s="306">
        <f t="shared" ca="1" si="301"/>
        <v>9.2179359716846125</v>
      </c>
      <c r="H692" s="307">
        <f t="shared" ca="1" si="302"/>
        <v>-106.7648966848185</v>
      </c>
      <c r="I692" s="304">
        <f t="shared" ca="1" si="303"/>
        <v>107.16208988116108</v>
      </c>
      <c r="J692" s="306">
        <f t="shared" ca="1" si="304"/>
        <v>746.86410190403069</v>
      </c>
      <c r="K692" s="307">
        <f t="shared" ca="1" si="305"/>
        <v>-5.5136739391195144</v>
      </c>
      <c r="L692" s="304">
        <f t="shared" ca="1" si="290"/>
        <v>746.88445379002314</v>
      </c>
      <c r="M692" s="306">
        <f t="shared" ca="1" si="306"/>
        <v>-1.4846712655461167</v>
      </c>
      <c r="N692" s="304">
        <f t="shared" ca="1" si="307"/>
        <v>-85.065397480139197</v>
      </c>
      <c r="P692" s="310">
        <f t="shared" ca="1" si="308"/>
        <v>23</v>
      </c>
      <c r="Q692" s="304">
        <f t="shared" ca="1" si="309"/>
        <v>0</v>
      </c>
      <c r="R692" s="306">
        <f t="shared" ca="1" si="310"/>
        <v>0</v>
      </c>
      <c r="S692" s="307">
        <f t="shared" ca="1" si="311"/>
        <v>5.083000000000002</v>
      </c>
      <c r="T692" s="304">
        <f t="shared" ca="1" si="291"/>
        <v>49.86423000000002</v>
      </c>
      <c r="U692" s="311">
        <f t="shared" ca="1" si="292"/>
        <v>0</v>
      </c>
      <c r="V692" s="306">
        <f t="shared" ca="1" si="293"/>
        <v>1.2256756113125666</v>
      </c>
      <c r="W692" s="304">
        <f t="shared" ca="1" si="294"/>
        <v>43.217668338021319</v>
      </c>
      <c r="Y692" s="314" t="str">
        <f t="shared" ca="1" si="312"/>
        <v/>
      </c>
      <c r="Z692" s="315" t="str">
        <f t="shared" ca="1" si="313"/>
        <v/>
      </c>
      <c r="AA692" s="316" t="str">
        <f t="shared" ca="1" si="314"/>
        <v/>
      </c>
      <c r="AC692" s="310" t="e">
        <f t="shared" ca="1" si="315"/>
        <v>#N/A</v>
      </c>
      <c r="AD692" s="323" t="e">
        <f t="shared" ca="1" si="316"/>
        <v>#N/A</v>
      </c>
      <c r="AE692" s="324" t="e">
        <f t="shared" ca="1" si="295"/>
        <v>#N/A</v>
      </c>
      <c r="AG692" s="306">
        <f t="shared" ca="1" si="317"/>
        <v>1.2712741754468802</v>
      </c>
      <c r="AH692" s="304">
        <f t="shared" ca="1" si="318"/>
        <v>-8.5023646779155957</v>
      </c>
    </row>
    <row r="693" spans="1:34" x14ac:dyDescent="0.2">
      <c r="A693" s="347">
        <f t="shared" ca="1" si="296"/>
        <v>1E-4</v>
      </c>
      <c r="B693" s="304">
        <f t="shared" ca="1" si="297"/>
        <v>29.230700000000077</v>
      </c>
      <c r="D693" s="306">
        <f t="shared" ca="1" si="298"/>
        <v>-0.73136426253799847</v>
      </c>
      <c r="E693" s="307">
        <f t="shared" ca="1" si="299"/>
        <v>-1.3391199495533321</v>
      </c>
      <c r="F693" s="304">
        <f t="shared" ca="1" si="300"/>
        <v>1.5258230316158783</v>
      </c>
      <c r="G693" s="306">
        <f t="shared" ca="1" si="301"/>
        <v>9.2178628352583587</v>
      </c>
      <c r="H693" s="307">
        <f t="shared" ca="1" si="302"/>
        <v>-106.76503059681345</v>
      </c>
      <c r="I693" s="304">
        <f t="shared" ca="1" si="303"/>
        <v>107.16221700575323</v>
      </c>
      <c r="J693" s="306">
        <f t="shared" ca="1" si="304"/>
        <v>746.86410190403069</v>
      </c>
      <c r="K693" s="307">
        <f t="shared" ca="1" si="305"/>
        <v>-5.5243504354835959</v>
      </c>
      <c r="L693" s="304">
        <f t="shared" ca="1" si="290"/>
        <v>746.88453268269541</v>
      </c>
      <c r="M693" s="306">
        <f t="shared" ca="1" si="306"/>
        <v>-1.4846720529903921</v>
      </c>
      <c r="N693" s="304">
        <f t="shared" ca="1" si="307"/>
        <v>-85.06544259737278</v>
      </c>
      <c r="P693" s="310">
        <f t="shared" ca="1" si="308"/>
        <v>23</v>
      </c>
      <c r="Q693" s="304">
        <f t="shared" ca="1" si="309"/>
        <v>0</v>
      </c>
      <c r="R693" s="306">
        <f t="shared" ca="1" si="310"/>
        <v>0</v>
      </c>
      <c r="S693" s="307">
        <f t="shared" ca="1" si="311"/>
        <v>5.083000000000002</v>
      </c>
      <c r="T693" s="304">
        <f t="shared" ca="1" si="291"/>
        <v>49.86423000000002</v>
      </c>
      <c r="U693" s="311">
        <f t="shared" ca="1" si="292"/>
        <v>0</v>
      </c>
      <c r="V693" s="306">
        <f t="shared" ca="1" si="293"/>
        <v>1.2256769199054856</v>
      </c>
      <c r="W693" s="304">
        <f t="shared" ca="1" si="294"/>
        <v>43.217817016339666</v>
      </c>
      <c r="Y693" s="314" t="str">
        <f t="shared" ca="1" si="312"/>
        <v/>
      </c>
      <c r="Z693" s="315" t="str">
        <f t="shared" ca="1" si="313"/>
        <v/>
      </c>
      <c r="AA693" s="316" t="str">
        <f t="shared" ca="1" si="314"/>
        <v/>
      </c>
      <c r="AC693" s="310" t="e">
        <f t="shared" ca="1" si="315"/>
        <v>#N/A</v>
      </c>
      <c r="AD693" s="323" t="e">
        <f t="shared" ca="1" si="316"/>
        <v>#N/A</v>
      </c>
      <c r="AE693" s="324" t="e">
        <f t="shared" ca="1" si="295"/>
        <v>#N/A</v>
      </c>
      <c r="AG693" s="306">
        <f t="shared" ca="1" si="317"/>
        <v>1.2712455894585553</v>
      </c>
      <c r="AH693" s="304">
        <f t="shared" ca="1" si="318"/>
        <v>-8.5023939283929373</v>
      </c>
    </row>
    <row r="694" spans="1:34" x14ac:dyDescent="0.2">
      <c r="A694" s="347">
        <f t="shared" ca="1" si="296"/>
        <v>1E-4</v>
      </c>
      <c r="B694" s="304">
        <f t="shared" ca="1" si="297"/>
        <v>29.230800000000077</v>
      </c>
      <c r="D694" s="306">
        <f t="shared" ca="1" si="298"/>
        <v>-0.73136010822331576</v>
      </c>
      <c r="E694" s="307">
        <f t="shared" ca="1" si="299"/>
        <v>-1.3390902319482585</v>
      </c>
      <c r="F694" s="304">
        <f t="shared" ca="1" si="300"/>
        <v>1.5257949590949831</v>
      </c>
      <c r="G694" s="306">
        <f t="shared" ca="1" si="301"/>
        <v>9.2177896992475361</v>
      </c>
      <c r="H694" s="307">
        <f t="shared" ca="1" si="302"/>
        <v>-106.76516450583664</v>
      </c>
      <c r="I694" s="304">
        <f t="shared" ca="1" si="303"/>
        <v>107.16234412748685</v>
      </c>
      <c r="J694" s="306">
        <f t="shared" ca="1" si="304"/>
        <v>746.86410190403069</v>
      </c>
      <c r="K694" s="307">
        <f t="shared" ca="1" si="305"/>
        <v>-5.5350269452387284</v>
      </c>
      <c r="L694" s="304">
        <f t="shared" ca="1" si="290"/>
        <v>746.88461172807592</v>
      </c>
      <c r="M694" s="306">
        <f t="shared" ca="1" si="306"/>
        <v>-1.4846728404265515</v>
      </c>
      <c r="N694" s="304">
        <f t="shared" ca="1" si="307"/>
        <v>-85.065487714141341</v>
      </c>
      <c r="P694" s="310">
        <f t="shared" ca="1" si="308"/>
        <v>23</v>
      </c>
      <c r="Q694" s="304">
        <f t="shared" ca="1" si="309"/>
        <v>0</v>
      </c>
      <c r="R694" s="306">
        <f t="shared" ca="1" si="310"/>
        <v>0</v>
      </c>
      <c r="S694" s="307">
        <f t="shared" ca="1" si="311"/>
        <v>5.083000000000002</v>
      </c>
      <c r="T694" s="304">
        <f t="shared" ca="1" si="291"/>
        <v>49.86423000000002</v>
      </c>
      <c r="U694" s="311">
        <f t="shared" ca="1" si="292"/>
        <v>0</v>
      </c>
      <c r="V694" s="306">
        <f t="shared" ca="1" si="293"/>
        <v>1.2256782285014434</v>
      </c>
      <c r="W694" s="304">
        <f t="shared" ca="1" si="294"/>
        <v>43.217965692800071</v>
      </c>
      <c r="Y694" s="314" t="str">
        <f t="shared" ca="1" si="312"/>
        <v/>
      </c>
      <c r="Z694" s="315" t="str">
        <f t="shared" ca="1" si="313"/>
        <v/>
      </c>
      <c r="AA694" s="316" t="str">
        <f t="shared" ca="1" si="314"/>
        <v/>
      </c>
      <c r="AC694" s="310" t="e">
        <f t="shared" ca="1" si="315"/>
        <v>#N/A</v>
      </c>
      <c r="AD694" s="323" t="e">
        <f t="shared" ca="1" si="316"/>
        <v>#N/A</v>
      </c>
      <c r="AE694" s="324" t="e">
        <f t="shared" ca="1" si="295"/>
        <v>#N/A</v>
      </c>
      <c r="AG694" s="306">
        <f t="shared" ca="1" si="317"/>
        <v>1.2712170038228496</v>
      </c>
      <c r="AH694" s="304">
        <f t="shared" ca="1" si="318"/>
        <v>-8.5024231785047508</v>
      </c>
    </row>
    <row r="695" spans="1:34" x14ac:dyDescent="0.2">
      <c r="A695" s="347">
        <f t="shared" ca="1" si="296"/>
        <v>1E-4</v>
      </c>
      <c r="B695" s="304">
        <f t="shared" ca="1" si="297"/>
        <v>29.230900000000076</v>
      </c>
      <c r="D695" s="306">
        <f t="shared" ca="1" si="298"/>
        <v>-0.73135595389959329</v>
      </c>
      <c r="E695" s="307">
        <f t="shared" ca="1" si="299"/>
        <v>-1.3390605147145767</v>
      </c>
      <c r="F695" s="304">
        <f t="shared" ca="1" si="300"/>
        <v>1.5257668869693204</v>
      </c>
      <c r="G695" s="306">
        <f t="shared" ca="1" si="301"/>
        <v>9.2177165636521465</v>
      </c>
      <c r="H695" s="307">
        <f t="shared" ca="1" si="302"/>
        <v>-106.76529841188811</v>
      </c>
      <c r="I695" s="304">
        <f t="shared" ca="1" si="303"/>
        <v>107.16247124636192</v>
      </c>
      <c r="J695" s="306">
        <f t="shared" ca="1" si="304"/>
        <v>746.86410190403069</v>
      </c>
      <c r="K695" s="307">
        <f t="shared" ca="1" si="305"/>
        <v>-5.5457034683846143</v>
      </c>
      <c r="L695" s="304">
        <f t="shared" ca="1" si="290"/>
        <v>746.88469092616538</v>
      </c>
      <c r="M695" s="306">
        <f t="shared" ca="1" si="306"/>
        <v>-1.4846736278545949</v>
      </c>
      <c r="N695" s="304">
        <f t="shared" ca="1" si="307"/>
        <v>-85.065532830444909</v>
      </c>
      <c r="P695" s="310">
        <f t="shared" ca="1" si="308"/>
        <v>23</v>
      </c>
      <c r="Q695" s="304">
        <f t="shared" ca="1" si="309"/>
        <v>0</v>
      </c>
      <c r="R695" s="306">
        <f t="shared" ca="1" si="310"/>
        <v>0</v>
      </c>
      <c r="S695" s="307">
        <f t="shared" ca="1" si="311"/>
        <v>5.083000000000002</v>
      </c>
      <c r="T695" s="304">
        <f t="shared" ca="1" si="291"/>
        <v>49.86423000000002</v>
      </c>
      <c r="U695" s="311">
        <f t="shared" ca="1" si="292"/>
        <v>0</v>
      </c>
      <c r="V695" s="306">
        <f t="shared" ca="1" si="293"/>
        <v>1.2256795371004401</v>
      </c>
      <c r="W695" s="304">
        <f t="shared" ca="1" si="294"/>
        <v>43.218114367402549</v>
      </c>
      <c r="Y695" s="314" t="str">
        <f t="shared" ca="1" si="312"/>
        <v/>
      </c>
      <c r="Z695" s="315" t="str">
        <f t="shared" ca="1" si="313"/>
        <v/>
      </c>
      <c r="AA695" s="316" t="str">
        <f t="shared" ca="1" si="314"/>
        <v/>
      </c>
      <c r="AC695" s="310" t="e">
        <f t="shared" ca="1" si="315"/>
        <v>#N/A</v>
      </c>
      <c r="AD695" s="323" t="e">
        <f t="shared" ca="1" si="316"/>
        <v>#N/A</v>
      </c>
      <c r="AE695" s="324" t="e">
        <f t="shared" ca="1" si="295"/>
        <v>#N/A</v>
      </c>
      <c r="AG695" s="306">
        <f t="shared" ca="1" si="317"/>
        <v>1.2711884185397544</v>
      </c>
      <c r="AH695" s="304">
        <f t="shared" ca="1" si="318"/>
        <v>-8.5024524282510434</v>
      </c>
    </row>
    <row r="696" spans="1:34" x14ac:dyDescent="0.2">
      <c r="A696" s="347">
        <f t="shared" ca="1" si="296"/>
        <v>1E-4</v>
      </c>
      <c r="B696" s="304">
        <f t="shared" ca="1" si="297"/>
        <v>29.231000000000076</v>
      </c>
      <c r="D696" s="306">
        <f t="shared" ca="1" si="298"/>
        <v>-0.73135179956683294</v>
      </c>
      <c r="E696" s="307">
        <f t="shared" ca="1" si="299"/>
        <v>-1.3390307978522831</v>
      </c>
      <c r="F696" s="304">
        <f t="shared" ca="1" si="300"/>
        <v>1.5257388152388884</v>
      </c>
      <c r="G696" s="306">
        <f t="shared" ca="1" si="301"/>
        <v>9.21764342847219</v>
      </c>
      <c r="H696" s="307">
        <f t="shared" ca="1" si="302"/>
        <v>-106.7654323149679</v>
      </c>
      <c r="I696" s="304">
        <f t="shared" ca="1" si="303"/>
        <v>107.1625983623785</v>
      </c>
      <c r="J696" s="306">
        <f t="shared" ca="1" si="304"/>
        <v>746.86410190403069</v>
      </c>
      <c r="K696" s="307">
        <f t="shared" ca="1" si="305"/>
        <v>-5.5563800049209568</v>
      </c>
      <c r="L696" s="304">
        <f t="shared" ca="1" si="290"/>
        <v>746.8847702769641</v>
      </c>
      <c r="M696" s="306">
        <f t="shared" ca="1" si="306"/>
        <v>-1.4846744152745228</v>
      </c>
      <c r="N696" s="304">
        <f t="shared" ca="1" si="307"/>
        <v>-85.065577946283483</v>
      </c>
      <c r="P696" s="310">
        <f t="shared" ca="1" si="308"/>
        <v>23</v>
      </c>
      <c r="Q696" s="304">
        <f t="shared" ca="1" si="309"/>
        <v>0</v>
      </c>
      <c r="R696" s="306">
        <f t="shared" ca="1" si="310"/>
        <v>0</v>
      </c>
      <c r="S696" s="307">
        <f t="shared" ca="1" si="311"/>
        <v>5.083000000000002</v>
      </c>
      <c r="T696" s="304">
        <f t="shared" ca="1" si="291"/>
        <v>49.86423000000002</v>
      </c>
      <c r="U696" s="311">
        <f t="shared" ca="1" si="292"/>
        <v>0</v>
      </c>
      <c r="V696" s="306">
        <f t="shared" ca="1" si="293"/>
        <v>1.2256808457024753</v>
      </c>
      <c r="W696" s="304">
        <f t="shared" ca="1" si="294"/>
        <v>43.218263040147086</v>
      </c>
      <c r="Y696" s="314" t="str">
        <f t="shared" ca="1" si="312"/>
        <v/>
      </c>
      <c r="Z696" s="315" t="str">
        <f t="shared" ca="1" si="313"/>
        <v/>
      </c>
      <c r="AA696" s="316" t="str">
        <f t="shared" ca="1" si="314"/>
        <v/>
      </c>
      <c r="AC696" s="310" t="e">
        <f t="shared" ca="1" si="315"/>
        <v>#N/A</v>
      </c>
      <c r="AD696" s="323" t="e">
        <f t="shared" ca="1" si="316"/>
        <v>#N/A</v>
      </c>
      <c r="AE696" s="324" t="e">
        <f t="shared" ca="1" si="295"/>
        <v>#N/A</v>
      </c>
      <c r="AG696" s="306">
        <f t="shared" ca="1" si="317"/>
        <v>1.2711598336092695</v>
      </c>
      <c r="AH696" s="304">
        <f t="shared" ca="1" si="318"/>
        <v>-8.5024816776318186</v>
      </c>
    </row>
    <row r="697" spans="1:34" x14ac:dyDescent="0.2">
      <c r="A697" s="347">
        <f t="shared" ca="1" si="296"/>
        <v>1E-4</v>
      </c>
      <c r="B697" s="304">
        <f t="shared" ca="1" si="297"/>
        <v>29.231100000000076</v>
      </c>
      <c r="D697" s="306">
        <f t="shared" ca="1" si="298"/>
        <v>-0.73134764522503226</v>
      </c>
      <c r="E697" s="307">
        <f t="shared" ca="1" si="299"/>
        <v>-1.3390010813613813</v>
      </c>
      <c r="F697" s="304">
        <f t="shared" ca="1" si="300"/>
        <v>1.525710743903689</v>
      </c>
      <c r="G697" s="306">
        <f t="shared" ca="1" si="301"/>
        <v>9.2175702937076682</v>
      </c>
      <c r="H697" s="307">
        <f t="shared" ca="1" si="302"/>
        <v>-106.76556621507603</v>
      </c>
      <c r="I697" s="304">
        <f t="shared" ca="1" si="303"/>
        <v>107.16272547553663</v>
      </c>
      <c r="J697" s="306">
        <f t="shared" ca="1" si="304"/>
        <v>746.86410190403069</v>
      </c>
      <c r="K697" s="307">
        <f t="shared" ca="1" si="305"/>
        <v>-5.5670565548474586</v>
      </c>
      <c r="L697" s="304">
        <f t="shared" ca="1" si="290"/>
        <v>746.88484978047268</v>
      </c>
      <c r="M697" s="306">
        <f t="shared" ca="1" si="306"/>
        <v>-1.4846752026863352</v>
      </c>
      <c r="N697" s="304">
        <f t="shared" ca="1" si="307"/>
        <v>-85.065623061657078</v>
      </c>
      <c r="P697" s="310">
        <f t="shared" ca="1" si="308"/>
        <v>23</v>
      </c>
      <c r="Q697" s="304">
        <f t="shared" ca="1" si="309"/>
        <v>0</v>
      </c>
      <c r="R697" s="306">
        <f t="shared" ca="1" si="310"/>
        <v>0</v>
      </c>
      <c r="S697" s="307">
        <f t="shared" ca="1" si="311"/>
        <v>5.083000000000002</v>
      </c>
      <c r="T697" s="304">
        <f t="shared" ca="1" si="291"/>
        <v>49.86423000000002</v>
      </c>
      <c r="U697" s="311">
        <f t="shared" ca="1" si="292"/>
        <v>0</v>
      </c>
      <c r="V697" s="306">
        <f t="shared" ca="1" si="293"/>
        <v>1.2256821543075491</v>
      </c>
      <c r="W697" s="304">
        <f t="shared" ca="1" si="294"/>
        <v>43.218411711033717</v>
      </c>
      <c r="Y697" s="314" t="str">
        <f t="shared" ca="1" si="312"/>
        <v/>
      </c>
      <c r="Z697" s="315" t="str">
        <f t="shared" ca="1" si="313"/>
        <v/>
      </c>
      <c r="AA697" s="316" t="str">
        <f t="shared" ca="1" si="314"/>
        <v/>
      </c>
      <c r="AC697" s="310" t="e">
        <f t="shared" ca="1" si="315"/>
        <v>#N/A</v>
      </c>
      <c r="AD697" s="323" t="e">
        <f t="shared" ca="1" si="316"/>
        <v>#N/A</v>
      </c>
      <c r="AE697" s="324" t="e">
        <f t="shared" ca="1" si="295"/>
        <v>#N/A</v>
      </c>
      <c r="AG697" s="306">
        <f t="shared" ca="1" si="317"/>
        <v>1.2711312490313986</v>
      </c>
      <c r="AH697" s="304">
        <f t="shared" ca="1" si="318"/>
        <v>-8.5025109266470729</v>
      </c>
    </row>
    <row r="698" spans="1:34" x14ac:dyDescent="0.2">
      <c r="A698" s="347">
        <f t="shared" ca="1" si="296"/>
        <v>1E-4</v>
      </c>
      <c r="B698" s="304">
        <f t="shared" ca="1" si="297"/>
        <v>29.231200000000076</v>
      </c>
      <c r="D698" s="306">
        <f t="shared" ca="1" si="298"/>
        <v>-0.73134349087419359</v>
      </c>
      <c r="E698" s="307">
        <f t="shared" ca="1" si="299"/>
        <v>-1.3389713652418624</v>
      </c>
      <c r="F698" s="304">
        <f t="shared" ca="1" si="300"/>
        <v>1.5256826729637158</v>
      </c>
      <c r="G698" s="306">
        <f t="shared" ca="1" si="301"/>
        <v>9.2174971593585813</v>
      </c>
      <c r="H698" s="307">
        <f t="shared" ca="1" si="302"/>
        <v>-106.76570011221256</v>
      </c>
      <c r="I698" s="304">
        <f t="shared" ca="1" si="303"/>
        <v>107.16285258583633</v>
      </c>
      <c r="J698" s="306">
        <f t="shared" ca="1" si="304"/>
        <v>746.86410190403069</v>
      </c>
      <c r="K698" s="307">
        <f t="shared" ca="1" si="305"/>
        <v>-5.577733118163823</v>
      </c>
      <c r="L698" s="304">
        <f t="shared" ca="1" si="290"/>
        <v>746.88492943669166</v>
      </c>
      <c r="M698" s="306">
        <f t="shared" ca="1" si="306"/>
        <v>-1.4846759900900319</v>
      </c>
      <c r="N698" s="304">
        <f t="shared" ca="1" si="307"/>
        <v>-85.065668176565666</v>
      </c>
      <c r="P698" s="310">
        <f t="shared" ca="1" si="308"/>
        <v>23</v>
      </c>
      <c r="Q698" s="304">
        <f t="shared" ca="1" si="309"/>
        <v>0</v>
      </c>
      <c r="R698" s="306">
        <f t="shared" ca="1" si="310"/>
        <v>0</v>
      </c>
      <c r="S698" s="307">
        <f t="shared" ca="1" si="311"/>
        <v>5.083000000000002</v>
      </c>
      <c r="T698" s="304">
        <f t="shared" ca="1" si="291"/>
        <v>49.86423000000002</v>
      </c>
      <c r="U698" s="311">
        <f t="shared" ca="1" si="292"/>
        <v>0</v>
      </c>
      <c r="V698" s="306">
        <f t="shared" ca="1" si="293"/>
        <v>1.2256834629156621</v>
      </c>
      <c r="W698" s="304">
        <f t="shared" ca="1" si="294"/>
        <v>43.218560380062463</v>
      </c>
      <c r="Y698" s="314" t="str">
        <f t="shared" ca="1" si="312"/>
        <v/>
      </c>
      <c r="Z698" s="315" t="str">
        <f t="shared" ca="1" si="313"/>
        <v/>
      </c>
      <c r="AA698" s="316" t="str">
        <f t="shared" ca="1" si="314"/>
        <v/>
      </c>
      <c r="AC698" s="310" t="e">
        <f t="shared" ca="1" si="315"/>
        <v>#N/A</v>
      </c>
      <c r="AD698" s="323" t="e">
        <f t="shared" ca="1" si="316"/>
        <v>#N/A</v>
      </c>
      <c r="AE698" s="324" t="e">
        <f t="shared" ca="1" si="295"/>
        <v>#N/A</v>
      </c>
      <c r="AG698" s="306">
        <f t="shared" ca="1" si="317"/>
        <v>1.271102664806131</v>
      </c>
      <c r="AH698" s="304">
        <f t="shared" ca="1" si="318"/>
        <v>-8.5025401752968133</v>
      </c>
    </row>
    <row r="699" spans="1:34" x14ac:dyDescent="0.2">
      <c r="A699" s="347">
        <f t="shared" ca="1" si="296"/>
        <v>1E-4</v>
      </c>
      <c r="B699" s="304">
        <f t="shared" ca="1" si="297"/>
        <v>29.231300000000076</v>
      </c>
      <c r="D699" s="306">
        <f t="shared" ca="1" si="298"/>
        <v>-0.73133933651432048</v>
      </c>
      <c r="E699" s="307">
        <f t="shared" ca="1" si="299"/>
        <v>-1.3389416494937265</v>
      </c>
      <c r="F699" s="304">
        <f t="shared" ca="1" si="300"/>
        <v>1.5256546024189708</v>
      </c>
      <c r="G699" s="306">
        <f t="shared" ca="1" si="301"/>
        <v>9.2174240254249291</v>
      </c>
      <c r="H699" s="307">
        <f t="shared" ca="1" si="302"/>
        <v>-106.7658340063775</v>
      </c>
      <c r="I699" s="304">
        <f t="shared" ca="1" si="303"/>
        <v>107.16297969327763</v>
      </c>
      <c r="J699" s="306">
        <f t="shared" ca="1" si="304"/>
        <v>746.86410190403069</v>
      </c>
      <c r="K699" s="307">
        <f t="shared" ca="1" si="305"/>
        <v>-5.5884096948697524</v>
      </c>
      <c r="L699" s="304">
        <f t="shared" ca="1" si="290"/>
        <v>746.8850092456214</v>
      </c>
      <c r="M699" s="306">
        <f t="shared" ca="1" si="306"/>
        <v>-1.4846767774856136</v>
      </c>
      <c r="N699" s="304">
        <f t="shared" ca="1" si="307"/>
        <v>-85.065713291009303</v>
      </c>
      <c r="P699" s="310">
        <f t="shared" ca="1" si="308"/>
        <v>23</v>
      </c>
      <c r="Q699" s="304">
        <f t="shared" ca="1" si="309"/>
        <v>0</v>
      </c>
      <c r="R699" s="306">
        <f t="shared" ca="1" si="310"/>
        <v>0</v>
      </c>
      <c r="S699" s="307">
        <f t="shared" ca="1" si="311"/>
        <v>5.083000000000002</v>
      </c>
      <c r="T699" s="304">
        <f t="shared" ca="1" si="291"/>
        <v>49.86423000000002</v>
      </c>
      <c r="U699" s="311">
        <f t="shared" ca="1" si="292"/>
        <v>0</v>
      </c>
      <c r="V699" s="306">
        <f t="shared" ca="1" si="293"/>
        <v>1.2256847715268133</v>
      </c>
      <c r="W699" s="304">
        <f t="shared" ca="1" si="294"/>
        <v>43.21870904723329</v>
      </c>
      <c r="Y699" s="314" t="str">
        <f t="shared" ca="1" si="312"/>
        <v/>
      </c>
      <c r="Z699" s="315" t="str">
        <f t="shared" ca="1" si="313"/>
        <v/>
      </c>
      <c r="AA699" s="316" t="str">
        <f t="shared" ca="1" si="314"/>
        <v/>
      </c>
      <c r="AC699" s="310" t="e">
        <f t="shared" ca="1" si="315"/>
        <v>#N/A</v>
      </c>
      <c r="AD699" s="323" t="e">
        <f t="shared" ca="1" si="316"/>
        <v>#N/A</v>
      </c>
      <c r="AE699" s="324" t="e">
        <f t="shared" ca="1" si="295"/>
        <v>#N/A</v>
      </c>
      <c r="AG699" s="306">
        <f t="shared" ca="1" si="317"/>
        <v>1.2710740809334666</v>
      </c>
      <c r="AH699" s="304">
        <f t="shared" ca="1" si="318"/>
        <v>-8.5025694235810434</v>
      </c>
    </row>
    <row r="700" spans="1:34" x14ac:dyDescent="0.2">
      <c r="A700" s="347">
        <f t="shared" ca="1" si="296"/>
        <v>1E-4</v>
      </c>
      <c r="B700" s="304">
        <f t="shared" ca="1" si="297"/>
        <v>29.231400000000075</v>
      </c>
      <c r="D700" s="306">
        <f t="shared" ca="1" si="298"/>
        <v>-0.7313351821454086</v>
      </c>
      <c r="E700" s="307">
        <f t="shared" ca="1" si="299"/>
        <v>-1.3389119341169771</v>
      </c>
      <c r="F700" s="304">
        <f t="shared" ca="1" si="300"/>
        <v>1.5256265322694549</v>
      </c>
      <c r="G700" s="306">
        <f t="shared" ca="1" si="301"/>
        <v>9.2173508919067153</v>
      </c>
      <c r="H700" s="307">
        <f t="shared" ca="1" si="302"/>
        <v>-106.76596789757092</v>
      </c>
      <c r="I700" s="304">
        <f t="shared" ca="1" si="303"/>
        <v>107.16310679786061</v>
      </c>
      <c r="J700" s="306">
        <f t="shared" ca="1" si="304"/>
        <v>746.86410190403069</v>
      </c>
      <c r="K700" s="307">
        <f t="shared" ca="1" si="305"/>
        <v>-5.5990862849649501</v>
      </c>
      <c r="L700" s="304">
        <f t="shared" ca="1" si="290"/>
        <v>746.88508920726269</v>
      </c>
      <c r="M700" s="306">
        <f t="shared" ca="1" si="306"/>
        <v>-1.4846775648730797</v>
      </c>
      <c r="N700" s="304">
        <f t="shared" ca="1" si="307"/>
        <v>-85.065758404987946</v>
      </c>
      <c r="P700" s="310">
        <f t="shared" ca="1" si="308"/>
        <v>23</v>
      </c>
      <c r="Q700" s="304">
        <f t="shared" ca="1" si="309"/>
        <v>0</v>
      </c>
      <c r="R700" s="306">
        <f t="shared" ca="1" si="310"/>
        <v>0</v>
      </c>
      <c r="S700" s="307">
        <f t="shared" ca="1" si="311"/>
        <v>5.083000000000002</v>
      </c>
      <c r="T700" s="304">
        <f t="shared" ca="1" si="291"/>
        <v>49.86423000000002</v>
      </c>
      <c r="U700" s="311">
        <f t="shared" ca="1" si="292"/>
        <v>0</v>
      </c>
      <c r="V700" s="306">
        <f t="shared" ca="1" si="293"/>
        <v>1.2256860801410037</v>
      </c>
      <c r="W700" s="304">
        <f t="shared" ca="1" si="294"/>
        <v>43.218857712546281</v>
      </c>
      <c r="Y700" s="314" t="str">
        <f t="shared" ca="1" si="312"/>
        <v/>
      </c>
      <c r="Z700" s="315" t="str">
        <f t="shared" ca="1" si="313"/>
        <v/>
      </c>
      <c r="AA700" s="316" t="str">
        <f t="shared" ca="1" si="314"/>
        <v/>
      </c>
      <c r="AC700" s="310" t="e">
        <f t="shared" ca="1" si="315"/>
        <v>#N/A</v>
      </c>
      <c r="AD700" s="323" t="e">
        <f t="shared" ca="1" si="316"/>
        <v>#N/A</v>
      </c>
      <c r="AE700" s="324" t="e">
        <f t="shared" ca="1" si="295"/>
        <v>#N/A</v>
      </c>
      <c r="AG700" s="306">
        <f t="shared" ca="1" si="317"/>
        <v>1.2710454974134109</v>
      </c>
      <c r="AH700" s="304">
        <f t="shared" ca="1" si="318"/>
        <v>-8.5025986714997579</v>
      </c>
    </row>
    <row r="701" spans="1:34" x14ac:dyDescent="0.2">
      <c r="A701" s="347">
        <f t="shared" ca="1" si="296"/>
        <v>1E-4</v>
      </c>
      <c r="B701" s="304">
        <f t="shared" ca="1" si="297"/>
        <v>29.231500000000075</v>
      </c>
      <c r="D701" s="306">
        <f t="shared" ca="1" si="298"/>
        <v>-0.73133102776746439</v>
      </c>
      <c r="E701" s="307">
        <f t="shared" ca="1" si="299"/>
        <v>-1.3388822191115963</v>
      </c>
      <c r="F701" s="304">
        <f t="shared" ca="1" si="300"/>
        <v>1.5255984625151562</v>
      </c>
      <c r="G701" s="306">
        <f t="shared" ca="1" si="301"/>
        <v>9.2172777588039381</v>
      </c>
      <c r="H701" s="307">
        <f t="shared" ca="1" si="302"/>
        <v>-106.76610178579283</v>
      </c>
      <c r="I701" s="304">
        <f t="shared" ca="1" si="303"/>
        <v>107.16323389958525</v>
      </c>
      <c r="J701" s="306">
        <f t="shared" ca="1" si="304"/>
        <v>746.86410190403069</v>
      </c>
      <c r="K701" s="307">
        <f t="shared" ca="1" si="305"/>
        <v>-5.6097628884491186</v>
      </c>
      <c r="L701" s="304">
        <f t="shared" ca="1" si="290"/>
        <v>746.88516932161599</v>
      </c>
      <c r="M701" s="306">
        <f t="shared" ca="1" si="306"/>
        <v>-1.4846783522524309</v>
      </c>
      <c r="N701" s="304">
        <f t="shared" ca="1" si="307"/>
        <v>-85.065803518501653</v>
      </c>
      <c r="P701" s="310">
        <f t="shared" ca="1" si="308"/>
        <v>23</v>
      </c>
      <c r="Q701" s="304">
        <f t="shared" ca="1" si="309"/>
        <v>0</v>
      </c>
      <c r="R701" s="306">
        <f t="shared" ca="1" si="310"/>
        <v>0</v>
      </c>
      <c r="S701" s="307">
        <f t="shared" ca="1" si="311"/>
        <v>5.083000000000002</v>
      </c>
      <c r="T701" s="304">
        <f t="shared" ca="1" si="291"/>
        <v>49.86423000000002</v>
      </c>
      <c r="U701" s="311">
        <f t="shared" ca="1" si="292"/>
        <v>0</v>
      </c>
      <c r="V701" s="306">
        <f t="shared" ca="1" si="293"/>
        <v>1.2256873887582325</v>
      </c>
      <c r="W701" s="304">
        <f t="shared" ca="1" si="294"/>
        <v>43.21900637600141</v>
      </c>
      <c r="Y701" s="314" t="str">
        <f t="shared" ca="1" si="312"/>
        <v/>
      </c>
      <c r="Z701" s="315" t="str">
        <f t="shared" ca="1" si="313"/>
        <v/>
      </c>
      <c r="AA701" s="316" t="str">
        <f t="shared" ca="1" si="314"/>
        <v/>
      </c>
      <c r="AC701" s="310" t="e">
        <f t="shared" ca="1" si="315"/>
        <v>#N/A</v>
      </c>
      <c r="AD701" s="323" t="e">
        <f t="shared" ca="1" si="316"/>
        <v>#N/A</v>
      </c>
      <c r="AE701" s="324" t="e">
        <f t="shared" ca="1" si="295"/>
        <v>#N/A</v>
      </c>
      <c r="AG701" s="306">
        <f t="shared" ca="1" si="317"/>
        <v>1.2710169142459478</v>
      </c>
      <c r="AH701" s="304">
        <f t="shared" ca="1" si="318"/>
        <v>-8.5026279190529728</v>
      </c>
    </row>
    <row r="702" spans="1:34" x14ac:dyDescent="0.2">
      <c r="A702" s="347">
        <f t="shared" ca="1" si="296"/>
        <v>1E-4</v>
      </c>
      <c r="B702" s="304">
        <f t="shared" ca="1" si="297"/>
        <v>29.231600000000075</v>
      </c>
      <c r="D702" s="306">
        <f t="shared" ca="1" si="298"/>
        <v>-0.73132687338048363</v>
      </c>
      <c r="E702" s="307">
        <f t="shared" ca="1" si="299"/>
        <v>-1.3388525044775932</v>
      </c>
      <c r="F702" s="304">
        <f t="shared" ca="1" si="300"/>
        <v>1.5255703931560802</v>
      </c>
      <c r="G702" s="306">
        <f t="shared" ca="1" si="301"/>
        <v>9.2172046261165992</v>
      </c>
      <c r="H702" s="307">
        <f t="shared" ca="1" si="302"/>
        <v>-106.76623567104328</v>
      </c>
      <c r="I702" s="304">
        <f t="shared" ca="1" si="303"/>
        <v>107.16336099845159</v>
      </c>
      <c r="J702" s="306">
        <f t="shared" ca="1" si="304"/>
        <v>746.86410190403069</v>
      </c>
      <c r="K702" s="307">
        <f t="shared" ca="1" si="305"/>
        <v>-5.6204395053219605</v>
      </c>
      <c r="L702" s="304">
        <f t="shared" ca="1" si="290"/>
        <v>746.88524958868163</v>
      </c>
      <c r="M702" s="306">
        <f t="shared" ca="1" si="306"/>
        <v>-1.4846791396236672</v>
      </c>
      <c r="N702" s="304">
        <f t="shared" ca="1" si="307"/>
        <v>-85.065848631550395</v>
      </c>
      <c r="P702" s="310">
        <f t="shared" ca="1" si="308"/>
        <v>23</v>
      </c>
      <c r="Q702" s="304">
        <f t="shared" ca="1" si="309"/>
        <v>0</v>
      </c>
      <c r="R702" s="306">
        <f t="shared" ca="1" si="310"/>
        <v>0</v>
      </c>
      <c r="S702" s="307">
        <f t="shared" ca="1" si="311"/>
        <v>5.083000000000002</v>
      </c>
      <c r="T702" s="304">
        <f t="shared" ca="1" si="291"/>
        <v>49.86423000000002</v>
      </c>
      <c r="U702" s="311">
        <f t="shared" ca="1" si="292"/>
        <v>0</v>
      </c>
      <c r="V702" s="306">
        <f t="shared" ca="1" si="293"/>
        <v>1.2256886973784995</v>
      </c>
      <c r="W702" s="304">
        <f t="shared" ca="1" si="294"/>
        <v>43.219155037598654</v>
      </c>
      <c r="Y702" s="314" t="str">
        <f t="shared" ca="1" si="312"/>
        <v/>
      </c>
      <c r="Z702" s="315" t="str">
        <f t="shared" ca="1" si="313"/>
        <v/>
      </c>
      <c r="AA702" s="316" t="str">
        <f t="shared" ca="1" si="314"/>
        <v/>
      </c>
      <c r="AC702" s="310" t="e">
        <f t="shared" ca="1" si="315"/>
        <v>#N/A</v>
      </c>
      <c r="AD702" s="323" t="e">
        <f t="shared" ca="1" si="316"/>
        <v>#N/A</v>
      </c>
      <c r="AE702" s="324" t="e">
        <f t="shared" ca="1" si="295"/>
        <v>#N/A</v>
      </c>
      <c r="AG702" s="306">
        <f t="shared" ca="1" si="317"/>
        <v>1.2709883314310826</v>
      </c>
      <c r="AH702" s="304">
        <f t="shared" ca="1" si="318"/>
        <v>-8.5026571662406827</v>
      </c>
    </row>
    <row r="703" spans="1:34" x14ac:dyDescent="0.2">
      <c r="A703" s="347">
        <f t="shared" ca="1" si="296"/>
        <v>1E-4</v>
      </c>
      <c r="B703" s="304">
        <f t="shared" ca="1" si="297"/>
        <v>29.231700000000075</v>
      </c>
      <c r="D703" s="306">
        <f t="shared" ca="1" si="298"/>
        <v>-0.73132271898446943</v>
      </c>
      <c r="E703" s="307">
        <f t="shared" ca="1" si="299"/>
        <v>-1.3388227902149676</v>
      </c>
      <c r="F703" s="304">
        <f t="shared" ca="1" si="300"/>
        <v>1.5255423241922292</v>
      </c>
      <c r="G703" s="306">
        <f t="shared" ca="1" si="301"/>
        <v>9.2171314938447004</v>
      </c>
      <c r="H703" s="307">
        <f t="shared" ca="1" si="302"/>
        <v>-106.76636955332229</v>
      </c>
      <c r="I703" s="304">
        <f t="shared" ca="1" si="303"/>
        <v>107.16348809445972</v>
      </c>
      <c r="J703" s="306">
        <f t="shared" ca="1" si="304"/>
        <v>746.86410190403069</v>
      </c>
      <c r="K703" s="307">
        <f t="shared" ca="1" si="305"/>
        <v>-5.6311161355831789</v>
      </c>
      <c r="L703" s="304">
        <f t="shared" ca="1" si="290"/>
        <v>746.88533000846041</v>
      </c>
      <c r="M703" s="306">
        <f t="shared" ca="1" si="306"/>
        <v>-1.4846799269867883</v>
      </c>
      <c r="N703" s="304">
        <f t="shared" ca="1" si="307"/>
        <v>-85.065893744134186</v>
      </c>
      <c r="P703" s="310">
        <f t="shared" ca="1" si="308"/>
        <v>23</v>
      </c>
      <c r="Q703" s="304">
        <f t="shared" ca="1" si="309"/>
        <v>0</v>
      </c>
      <c r="R703" s="306">
        <f t="shared" ca="1" si="310"/>
        <v>0</v>
      </c>
      <c r="S703" s="307">
        <f t="shared" ca="1" si="311"/>
        <v>5.083000000000002</v>
      </c>
      <c r="T703" s="304">
        <f t="shared" ca="1" si="291"/>
        <v>49.86423000000002</v>
      </c>
      <c r="U703" s="311">
        <f t="shared" ca="1" si="292"/>
        <v>0</v>
      </c>
      <c r="V703" s="306">
        <f t="shared" ca="1" si="293"/>
        <v>1.2256900060018057</v>
      </c>
      <c r="W703" s="304">
        <f t="shared" ca="1" si="294"/>
        <v>43.219303697338113</v>
      </c>
      <c r="Y703" s="314" t="str">
        <f t="shared" ca="1" si="312"/>
        <v/>
      </c>
      <c r="Z703" s="315" t="str">
        <f t="shared" ca="1" si="313"/>
        <v/>
      </c>
      <c r="AA703" s="316" t="str">
        <f t="shared" ca="1" si="314"/>
        <v/>
      </c>
      <c r="AC703" s="310" t="e">
        <f t="shared" ca="1" si="315"/>
        <v>#N/A</v>
      </c>
      <c r="AD703" s="323" t="e">
        <f t="shared" ca="1" si="316"/>
        <v>#N/A</v>
      </c>
      <c r="AE703" s="324" t="e">
        <f t="shared" ca="1" si="295"/>
        <v>#N/A</v>
      </c>
      <c r="AG703" s="306">
        <f t="shared" ca="1" si="317"/>
        <v>1.2709597489688189</v>
      </c>
      <c r="AH703" s="304">
        <f t="shared" ca="1" si="318"/>
        <v>-8.5026864130628841</v>
      </c>
    </row>
    <row r="704" spans="1:34" x14ac:dyDescent="0.2">
      <c r="A704" s="347">
        <f t="shared" ca="1" si="296"/>
        <v>1E-4</v>
      </c>
      <c r="B704" s="304">
        <f t="shared" ca="1" si="297"/>
        <v>29.231800000000074</v>
      </c>
      <c r="D704" s="306">
        <f t="shared" ca="1" si="298"/>
        <v>-0.73131856457942479</v>
      </c>
      <c r="E704" s="307">
        <f t="shared" ca="1" si="299"/>
        <v>-1.3387930763237037</v>
      </c>
      <c r="F704" s="304">
        <f t="shared" ca="1" si="300"/>
        <v>1.5255142556235901</v>
      </c>
      <c r="G704" s="306">
        <f t="shared" ca="1" si="301"/>
        <v>9.2170583619882418</v>
      </c>
      <c r="H704" s="307">
        <f t="shared" ca="1" si="302"/>
        <v>-106.76650343262992</v>
      </c>
      <c r="I704" s="304">
        <f t="shared" ca="1" si="303"/>
        <v>107.16361518760961</v>
      </c>
      <c r="J704" s="306">
        <f t="shared" ca="1" si="304"/>
        <v>746.86410190403069</v>
      </c>
      <c r="K704" s="307">
        <f t="shared" ca="1" si="305"/>
        <v>-5.6417927792324765</v>
      </c>
      <c r="L704" s="304">
        <f t="shared" ca="1" si="290"/>
        <v>746.88541058095257</v>
      </c>
      <c r="M704" s="306">
        <f t="shared" ca="1" si="306"/>
        <v>-1.4846807143417948</v>
      </c>
      <c r="N704" s="304">
        <f t="shared" ca="1" si="307"/>
        <v>-85.065938856253041</v>
      </c>
      <c r="P704" s="310">
        <f t="shared" ca="1" si="308"/>
        <v>23</v>
      </c>
      <c r="Q704" s="304">
        <f t="shared" ca="1" si="309"/>
        <v>0</v>
      </c>
      <c r="R704" s="306">
        <f t="shared" ca="1" si="310"/>
        <v>0</v>
      </c>
      <c r="S704" s="307">
        <f t="shared" ca="1" si="311"/>
        <v>5.083000000000002</v>
      </c>
      <c r="T704" s="304">
        <f t="shared" ca="1" si="291"/>
        <v>49.86423000000002</v>
      </c>
      <c r="U704" s="311">
        <f t="shared" ca="1" si="292"/>
        <v>0</v>
      </c>
      <c r="V704" s="306">
        <f t="shared" ca="1" si="293"/>
        <v>1.2256913146281498</v>
      </c>
      <c r="W704" s="304">
        <f t="shared" ca="1" si="294"/>
        <v>43.219452355219715</v>
      </c>
      <c r="Y704" s="314" t="str">
        <f t="shared" ca="1" si="312"/>
        <v/>
      </c>
      <c r="Z704" s="315" t="str">
        <f t="shared" ca="1" si="313"/>
        <v/>
      </c>
      <c r="AA704" s="316" t="str">
        <f t="shared" ca="1" si="314"/>
        <v/>
      </c>
      <c r="AC704" s="310" t="e">
        <f t="shared" ca="1" si="315"/>
        <v>#N/A</v>
      </c>
      <c r="AD704" s="323" t="e">
        <f t="shared" ca="1" si="316"/>
        <v>#N/A</v>
      </c>
      <c r="AE704" s="324" t="e">
        <f t="shared" ca="1" si="295"/>
        <v>#N/A</v>
      </c>
      <c r="AG704" s="306">
        <f t="shared" ca="1" si="317"/>
        <v>1.2709311668591408</v>
      </c>
      <c r="AH704" s="304">
        <f t="shared" ca="1" si="318"/>
        <v>-8.5027156595195947</v>
      </c>
    </row>
    <row r="705" spans="1:34" x14ac:dyDescent="0.2">
      <c r="A705" s="347">
        <f t="shared" ca="1" si="296"/>
        <v>1E-4</v>
      </c>
      <c r="B705" s="304">
        <f t="shared" ca="1" si="297"/>
        <v>29.231900000000074</v>
      </c>
      <c r="D705" s="306">
        <f t="shared" ca="1" si="298"/>
        <v>-0.73131441016534626</v>
      </c>
      <c r="E705" s="307">
        <f t="shared" ca="1" si="299"/>
        <v>-1.3387633628038156</v>
      </c>
      <c r="F705" s="304">
        <f t="shared" ca="1" si="300"/>
        <v>1.5254861874501746</v>
      </c>
      <c r="G705" s="306">
        <f t="shared" ca="1" si="301"/>
        <v>9.2169852305472251</v>
      </c>
      <c r="H705" s="307">
        <f t="shared" ca="1" si="302"/>
        <v>-106.7666373089662</v>
      </c>
      <c r="I705" s="304">
        <f t="shared" ca="1" si="303"/>
        <v>107.16374227790133</v>
      </c>
      <c r="J705" s="306">
        <f t="shared" ca="1" si="304"/>
        <v>746.86410190403069</v>
      </c>
      <c r="K705" s="307">
        <f t="shared" ca="1" si="305"/>
        <v>-5.6524694362695564</v>
      </c>
      <c r="L705" s="304">
        <f t="shared" ca="1" si="290"/>
        <v>746.88549130615888</v>
      </c>
      <c r="M705" s="306">
        <f t="shared" ca="1" si="306"/>
        <v>-1.4846815016886865</v>
      </c>
      <c r="N705" s="304">
        <f t="shared" ca="1" si="307"/>
        <v>-85.065983967906945</v>
      </c>
      <c r="P705" s="310">
        <f t="shared" ca="1" si="308"/>
        <v>23</v>
      </c>
      <c r="Q705" s="304">
        <f t="shared" ca="1" si="309"/>
        <v>0</v>
      </c>
      <c r="R705" s="306">
        <f t="shared" ca="1" si="310"/>
        <v>0</v>
      </c>
      <c r="S705" s="307">
        <f t="shared" ca="1" si="311"/>
        <v>5.083000000000002</v>
      </c>
      <c r="T705" s="304">
        <f t="shared" ca="1" si="291"/>
        <v>49.86423000000002</v>
      </c>
      <c r="U705" s="311">
        <f t="shared" ca="1" si="292"/>
        <v>0</v>
      </c>
      <c r="V705" s="306">
        <f t="shared" ca="1" si="293"/>
        <v>1.2256926232575329</v>
      </c>
      <c r="W705" s="304">
        <f t="shared" ca="1" si="294"/>
        <v>43.219601011243526</v>
      </c>
      <c r="Y705" s="314" t="str">
        <f t="shared" ca="1" si="312"/>
        <v/>
      </c>
      <c r="Z705" s="315" t="str">
        <f t="shared" ca="1" si="313"/>
        <v/>
      </c>
      <c r="AA705" s="316" t="str">
        <f t="shared" ca="1" si="314"/>
        <v/>
      </c>
      <c r="AC705" s="310" t="e">
        <f t="shared" ca="1" si="315"/>
        <v>#N/A</v>
      </c>
      <c r="AD705" s="323" t="e">
        <f t="shared" ca="1" si="316"/>
        <v>#N/A</v>
      </c>
      <c r="AE705" s="324" t="e">
        <f t="shared" ca="1" si="295"/>
        <v>#N/A</v>
      </c>
      <c r="AG705" s="306">
        <f t="shared" ca="1" si="317"/>
        <v>1.2709025851020623</v>
      </c>
      <c r="AH705" s="304">
        <f t="shared" ca="1" si="318"/>
        <v>-8.5027449056108004</v>
      </c>
    </row>
    <row r="706" spans="1:34" x14ac:dyDescent="0.2">
      <c r="A706" s="347">
        <f t="shared" ca="1" si="296"/>
        <v>1E-4</v>
      </c>
      <c r="B706" s="304">
        <f t="shared" ca="1" si="297"/>
        <v>29.232000000000074</v>
      </c>
      <c r="D706" s="306">
        <f t="shared" ca="1" si="298"/>
        <v>-0.73131025574223874</v>
      </c>
      <c r="E706" s="307">
        <f t="shared" ca="1" si="299"/>
        <v>-1.3387336496552891</v>
      </c>
      <c r="F706" s="304">
        <f t="shared" ca="1" si="300"/>
        <v>1.5254581196719721</v>
      </c>
      <c r="G706" s="306">
        <f t="shared" ca="1" si="301"/>
        <v>9.2169120995216502</v>
      </c>
      <c r="H706" s="307">
        <f t="shared" ca="1" si="302"/>
        <v>-106.76677118233115</v>
      </c>
      <c r="I706" s="304">
        <f t="shared" ca="1" si="303"/>
        <v>107.1638693653349</v>
      </c>
      <c r="J706" s="306">
        <f t="shared" ca="1" si="304"/>
        <v>746.86410190403069</v>
      </c>
      <c r="K706" s="307">
        <f t="shared" ca="1" si="305"/>
        <v>-5.6631461066941213</v>
      </c>
      <c r="L706" s="304">
        <f t="shared" ca="1" si="290"/>
        <v>746.88557218407971</v>
      </c>
      <c r="M706" s="306">
        <f t="shared" ca="1" si="306"/>
        <v>-1.4846822890274638</v>
      </c>
      <c r="N706" s="304">
        <f t="shared" ca="1" si="307"/>
        <v>-85.066029079095927</v>
      </c>
      <c r="P706" s="310">
        <f t="shared" ca="1" si="308"/>
        <v>23</v>
      </c>
      <c r="Q706" s="304">
        <f t="shared" ca="1" si="309"/>
        <v>0</v>
      </c>
      <c r="R706" s="306">
        <f t="shared" ca="1" si="310"/>
        <v>0</v>
      </c>
      <c r="S706" s="307">
        <f t="shared" ca="1" si="311"/>
        <v>5.083000000000002</v>
      </c>
      <c r="T706" s="304">
        <f t="shared" ca="1" si="291"/>
        <v>49.86423000000002</v>
      </c>
      <c r="U706" s="311">
        <f t="shared" ca="1" si="292"/>
        <v>0</v>
      </c>
      <c r="V706" s="306">
        <f t="shared" ca="1" si="293"/>
        <v>1.2256939318899542</v>
      </c>
      <c r="W706" s="304">
        <f t="shared" ca="1" si="294"/>
        <v>43.21974966540953</v>
      </c>
      <c r="Y706" s="314" t="str">
        <f t="shared" ca="1" si="312"/>
        <v/>
      </c>
      <c r="Z706" s="315" t="str">
        <f t="shared" ca="1" si="313"/>
        <v/>
      </c>
      <c r="AA706" s="316" t="str">
        <f t="shared" ca="1" si="314"/>
        <v/>
      </c>
      <c r="AC706" s="310" t="e">
        <f t="shared" ca="1" si="315"/>
        <v>#N/A</v>
      </c>
      <c r="AD706" s="323" t="e">
        <f t="shared" ca="1" si="316"/>
        <v>#N/A</v>
      </c>
      <c r="AE706" s="324" t="e">
        <f t="shared" ca="1" si="295"/>
        <v>#N/A</v>
      </c>
      <c r="AG706" s="306">
        <f t="shared" ca="1" si="317"/>
        <v>1.2708740036975676</v>
      </c>
      <c r="AH706" s="304">
        <f t="shared" ca="1" si="318"/>
        <v>-8.5027741513365154</v>
      </c>
    </row>
    <row r="707" spans="1:34" x14ac:dyDescent="0.2">
      <c r="A707" s="347">
        <f t="shared" ca="1" si="296"/>
        <v>1E-4</v>
      </c>
      <c r="B707" s="304">
        <f t="shared" ca="1" si="297"/>
        <v>29.232100000000074</v>
      </c>
      <c r="D707" s="306">
        <f t="shared" ca="1" si="298"/>
        <v>-0.73130610131009965</v>
      </c>
      <c r="E707" s="307">
        <f t="shared" ca="1" si="299"/>
        <v>-1.3387039368781259</v>
      </c>
      <c r="F707" s="304">
        <f t="shared" ca="1" si="300"/>
        <v>1.5254300522889834</v>
      </c>
      <c r="G707" s="306">
        <f t="shared" ca="1" si="301"/>
        <v>9.2168389689115191</v>
      </c>
      <c r="H707" s="307">
        <f t="shared" ca="1" si="302"/>
        <v>-106.76690505272484</v>
      </c>
      <c r="I707" s="304">
        <f t="shared" ca="1" si="303"/>
        <v>107.16399644991039</v>
      </c>
      <c r="J707" s="306">
        <f t="shared" ca="1" si="304"/>
        <v>746.86410190403069</v>
      </c>
      <c r="K707" s="307">
        <f t="shared" ca="1" si="305"/>
        <v>-5.6738227905058745</v>
      </c>
      <c r="L707" s="304">
        <f t="shared" ca="1" si="290"/>
        <v>746.8856532147156</v>
      </c>
      <c r="M707" s="306">
        <f t="shared" ca="1" si="306"/>
        <v>-1.4846830763581265</v>
      </c>
      <c r="N707" s="304">
        <f t="shared" ca="1" si="307"/>
        <v>-85.066074189819986</v>
      </c>
      <c r="P707" s="310">
        <f t="shared" ca="1" si="308"/>
        <v>23</v>
      </c>
      <c r="Q707" s="304">
        <f t="shared" ca="1" si="309"/>
        <v>0</v>
      </c>
      <c r="R707" s="306">
        <f t="shared" ca="1" si="310"/>
        <v>0</v>
      </c>
      <c r="S707" s="307">
        <f t="shared" ca="1" si="311"/>
        <v>5.083000000000002</v>
      </c>
      <c r="T707" s="304">
        <f t="shared" ca="1" si="291"/>
        <v>49.86423000000002</v>
      </c>
      <c r="U707" s="311">
        <f t="shared" ca="1" si="292"/>
        <v>0</v>
      </c>
      <c r="V707" s="306">
        <f t="shared" ca="1" si="293"/>
        <v>1.2256952405254138</v>
      </c>
      <c r="W707" s="304">
        <f t="shared" ca="1" si="294"/>
        <v>43.219898317717764</v>
      </c>
      <c r="Y707" s="314" t="str">
        <f t="shared" ca="1" si="312"/>
        <v/>
      </c>
      <c r="Z707" s="315" t="str">
        <f t="shared" ca="1" si="313"/>
        <v/>
      </c>
      <c r="AA707" s="316" t="str">
        <f t="shared" ca="1" si="314"/>
        <v/>
      </c>
      <c r="AC707" s="310" t="e">
        <f t="shared" ca="1" si="315"/>
        <v>#N/A</v>
      </c>
      <c r="AD707" s="323" t="e">
        <f t="shared" ca="1" si="316"/>
        <v>#N/A</v>
      </c>
      <c r="AE707" s="324" t="e">
        <f t="shared" ca="1" si="295"/>
        <v>#N/A</v>
      </c>
      <c r="AG707" s="306">
        <f t="shared" ca="1" si="317"/>
        <v>1.2708454226456638</v>
      </c>
      <c r="AH707" s="304">
        <f t="shared" ca="1" si="318"/>
        <v>-8.502803396696736</v>
      </c>
    </row>
    <row r="708" spans="1:34" x14ac:dyDescent="0.2">
      <c r="A708" s="347">
        <f t="shared" ca="1" si="296"/>
        <v>1E-4</v>
      </c>
      <c r="B708" s="304">
        <f t="shared" ca="1" si="297"/>
        <v>29.232200000000073</v>
      </c>
      <c r="D708" s="306">
        <f t="shared" ca="1" si="298"/>
        <v>-0.73130194686893302</v>
      </c>
      <c r="E708" s="307">
        <f t="shared" ca="1" si="299"/>
        <v>-1.3386742244723191</v>
      </c>
      <c r="F708" s="304">
        <f t="shared" ca="1" si="300"/>
        <v>1.5254019853012046</v>
      </c>
      <c r="G708" s="306">
        <f t="shared" ca="1" si="301"/>
        <v>9.2167658387168316</v>
      </c>
      <c r="H708" s="307">
        <f t="shared" ca="1" si="302"/>
        <v>-106.76703892014729</v>
      </c>
      <c r="I708" s="304">
        <f t="shared" ca="1" si="303"/>
        <v>107.16412353162779</v>
      </c>
      <c r="J708" s="306">
        <f t="shared" ca="1" si="304"/>
        <v>746.86410190403069</v>
      </c>
      <c r="K708" s="307">
        <f t="shared" ca="1" si="305"/>
        <v>-5.6844994877045183</v>
      </c>
      <c r="L708" s="304">
        <f t="shared" ref="L708:L771" ca="1" si="319">SQRT(pos_x^2+pos_z^2)</f>
        <v>746.88573439806703</v>
      </c>
      <c r="M708" s="306">
        <f t="shared" ca="1" si="306"/>
        <v>-1.484683863680675</v>
      </c>
      <c r="N708" s="304">
        <f t="shared" ca="1" si="307"/>
        <v>-85.066119300079123</v>
      </c>
      <c r="P708" s="310">
        <f t="shared" ca="1" si="308"/>
        <v>23</v>
      </c>
      <c r="Q708" s="304">
        <f t="shared" ca="1" si="309"/>
        <v>0</v>
      </c>
      <c r="R708" s="306">
        <f t="shared" ca="1" si="310"/>
        <v>0</v>
      </c>
      <c r="S708" s="307">
        <f t="shared" ca="1" si="311"/>
        <v>5.083000000000002</v>
      </c>
      <c r="T708" s="304">
        <f t="shared" ref="T708:T771" ca="1" si="320">m*g</f>
        <v>49.86423000000002</v>
      </c>
      <c r="U708" s="311">
        <f t="shared" ref="U708:U771" ca="1" si="321">IF(pos_xz&lt;L_rampe,Poids*COS(Beta),0)</f>
        <v>0</v>
      </c>
      <c r="V708" s="306">
        <f t="shared" ref="V708:V771" ca="1" si="322">Rho_moyen*(20000-Alt_rampe-pos_z)/(20000+Alt_rampe+pos_z)</f>
        <v>1.2256965491639118</v>
      </c>
      <c r="W708" s="304">
        <f t="shared" ref="W708:W771" ca="1" si="323">1/2*Rho*Sref*Cx*vit_xz^2</f>
        <v>43.220046968168212</v>
      </c>
      <c r="Y708" s="314" t="str">
        <f t="shared" ca="1" si="312"/>
        <v/>
      </c>
      <c r="Z708" s="315" t="str">
        <f t="shared" ca="1" si="313"/>
        <v/>
      </c>
      <c r="AA708" s="316" t="str">
        <f t="shared" ca="1" si="314"/>
        <v/>
      </c>
      <c r="AC708" s="310" t="e">
        <f t="shared" ca="1" si="315"/>
        <v>#N/A</v>
      </c>
      <c r="AD708" s="323" t="e">
        <f t="shared" ca="1" si="316"/>
        <v>#N/A</v>
      </c>
      <c r="AE708" s="324" t="e">
        <f t="shared" ref="AE708:AE771" ca="1" si="324">IF(t&lt;T_para, pos_z, NA())</f>
        <v>#N/A</v>
      </c>
      <c r="AG708" s="306">
        <f t="shared" ca="1" si="317"/>
        <v>1.2708168419463366</v>
      </c>
      <c r="AH708" s="304">
        <f t="shared" ca="1" si="318"/>
        <v>-8.5028326416914712</v>
      </c>
    </row>
    <row r="709" spans="1:34" x14ac:dyDescent="0.2">
      <c r="A709" s="347">
        <f t="shared" ref="A709:A772" ca="1" si="325">IF(B708+0.01&lt;=T_ini+ROUNDUP(Temps_fin_propu,0), 0.01, IF(K708&gt;0, 0.1, 0.0001))</f>
        <v>1E-4</v>
      </c>
      <c r="B709" s="304">
        <f t="shared" ref="B709:B772" ca="1" si="326">B708+pas</f>
        <v>29.232300000000073</v>
      </c>
      <c r="D709" s="306">
        <f t="shared" ref="D709:D772" ca="1" si="327">IF(AND(L708&lt;L_rampe,Poussee&lt;Poids*SIN(M708)),0,(-W708+Poussee)/m*COS(M708)-U708/m*SIN(M708))</f>
        <v>-0.7312977924187366</v>
      </c>
      <c r="E709" s="307">
        <f t="shared" ref="E709:E772" ca="1" si="328">IF(AND(L708&lt;L_rampe,Poussee&lt;Poids*SIN(M708)),0,(-W708+Poussee)/m*SIN(M708)+U708/m*COS(M708)-Poids/m)</f>
        <v>-1.3386445124378739</v>
      </c>
      <c r="F709" s="304">
        <f t="shared" ref="F709:F772" ca="1" si="329">SQRT(acc_x^2+acc_z^2)</f>
        <v>1.5253739187086393</v>
      </c>
      <c r="G709" s="306">
        <f t="shared" ref="G709:G772" ca="1" si="330">G708+acc_x*pas</f>
        <v>9.2166927089375896</v>
      </c>
      <c r="H709" s="307">
        <f t="shared" ref="H709:H772" ca="1" si="331">H708+acc_z*pas</f>
        <v>-106.76717278459853</v>
      </c>
      <c r="I709" s="304">
        <f t="shared" ref="I709:I772" ca="1" si="332">SQRT(vit_x^2+vit_z^2)</f>
        <v>107.16425061048717</v>
      </c>
      <c r="J709" s="306">
        <f t="shared" ref="J709:J772" ca="1" si="333">J708+0.5*(vit_x+G708)*pas*(K708&gt;=0)</f>
        <v>746.86410190403069</v>
      </c>
      <c r="K709" s="307">
        <f t="shared" ref="K709:K772" ca="1" si="334">K708+0.5*(vit_z+H708)*pas</f>
        <v>-5.6951761982897553</v>
      </c>
      <c r="L709" s="304">
        <f t="shared" ca="1" si="319"/>
        <v>746.88581573413467</v>
      </c>
      <c r="M709" s="306">
        <f t="shared" ref="M709:M772" ca="1" si="335">IF(AND(L708&gt;L_rampe,G709&gt;0),ATAN2(G709,H709),$M$4)</f>
        <v>-1.4846846509951093</v>
      </c>
      <c r="N709" s="304">
        <f t="shared" ref="N709:N772" ca="1" si="336">DEGREES(Beta)</f>
        <v>-85.066164409873366</v>
      </c>
      <c r="P709" s="310">
        <f t="shared" ref="P709:P772" ca="1" si="337">MATCH(t-pas/2-T_ini,CdP_t)</f>
        <v>23</v>
      </c>
      <c r="Q709" s="304">
        <f t="shared" ref="Q709:Q772" ca="1" si="338">(INDEX(CdP,2,i_P+1)-INDEX(CdP,2,i_P+0))/(INDEX(CdP,1,i_P+1)-INDEX(CdP,1,i_P+0))*(t-pas/2-T_ini-INDEX(CdP,1,i_P+0))+INDEX(CdP,2,i_P+0)</f>
        <v>0</v>
      </c>
      <c r="R709" s="306">
        <f t="shared" ref="R709:R772" ca="1" si="339">Poussee/(g*ISP)</f>
        <v>0</v>
      </c>
      <c r="S709" s="307">
        <f t="shared" ref="S709:S772" ca="1" si="340">S708-Débit*pas</f>
        <v>5.083000000000002</v>
      </c>
      <c r="T709" s="304">
        <f t="shared" ca="1" si="320"/>
        <v>49.86423000000002</v>
      </c>
      <c r="U709" s="311">
        <f t="shared" ca="1" si="321"/>
        <v>0</v>
      </c>
      <c r="V709" s="306">
        <f t="shared" ca="1" si="322"/>
        <v>1.2256978578054487</v>
      </c>
      <c r="W709" s="304">
        <f t="shared" ca="1" si="323"/>
        <v>43.22019561676094</v>
      </c>
      <c r="Y709" s="314" t="str">
        <f t="shared" ref="Y709:Y772" ca="1" si="341">IF(AND(pos_z&lt;=0,K708&gt;0),"Impact balistique","") &amp; IF(AND(H710&lt;0,vit_z&gt;=0),"Apogée","") &amp; IF(AND(Poussee=0,Q708&gt;0),"Fin de propulsion","") &amp; IF(AND(L710&gt;L_rampe,pos_xz&lt;=L_rampe),"Sortie de rampe","")</f>
        <v/>
      </c>
      <c r="Z709" s="315" t="str">
        <f t="shared" ref="Z709:Z772" ca="1" si="342">IF(ABS(t-T_para)&lt;pas/2,"Para","")</f>
        <v/>
      </c>
      <c r="AA709" s="316" t="str">
        <f t="shared" ref="AA709:AA772" ca="1" si="343">IF(ABS(t-T_satellite)&lt;pas/2,"Satellite","")</f>
        <v/>
      </c>
      <c r="AC709" s="310" t="e">
        <f t="shared" ref="AC709:AC772" ca="1" si="344">IF(ABS(t-ROUND(t,0))&lt;0.001,t,NA())</f>
        <v>#N/A</v>
      </c>
      <c r="AD709" s="323" t="e">
        <f t="shared" ref="AD709:AD772" ca="1" si="345">IF(ABS(t-ROUND(t,0))&lt;0.001,pos_x,NA())</f>
        <v>#N/A</v>
      </c>
      <c r="AE709" s="324" t="e">
        <f t="shared" ca="1" si="324"/>
        <v>#N/A</v>
      </c>
      <c r="AG709" s="306">
        <f t="shared" ref="AG709:AG772" ca="1" si="346">IF(AND(L708&lt;L_rampe,Poussee&lt;Poids*SIN(M708)),0,(-W708+Poussee)/m-Poids*SIN(M708)/m)</f>
        <v>1.2707882615995985</v>
      </c>
      <c r="AH709" s="304">
        <f t="shared" ref="AH709:AH772" ca="1" si="347">IF(AND(L708&lt;L_rampe,Poussee&lt;Poids*SIN(M708)), g*SIN(M708), (-W708+Poussee)/m)</f>
        <v>-8.5028618863207157</v>
      </c>
    </row>
    <row r="710" spans="1:34" x14ac:dyDescent="0.2">
      <c r="A710" s="347">
        <f t="shared" ca="1" si="325"/>
        <v>1E-4</v>
      </c>
      <c r="B710" s="304">
        <f t="shared" ca="1" si="326"/>
        <v>29.232400000000073</v>
      </c>
      <c r="D710" s="306">
        <f t="shared" ca="1" si="327"/>
        <v>-0.73129363795951263</v>
      </c>
      <c r="E710" s="307">
        <f t="shared" ca="1" si="328"/>
        <v>-1.338614800774776</v>
      </c>
      <c r="F710" s="304">
        <f t="shared" ca="1" si="329"/>
        <v>1.5253458525112762</v>
      </c>
      <c r="G710" s="306">
        <f t="shared" ca="1" si="330"/>
        <v>9.2166195795737931</v>
      </c>
      <c r="H710" s="307">
        <f t="shared" ca="1" si="331"/>
        <v>-106.76730664607861</v>
      </c>
      <c r="I710" s="304">
        <f t="shared" ca="1" si="332"/>
        <v>107.16437768648855</v>
      </c>
      <c r="J710" s="306">
        <f t="shared" ca="1" si="333"/>
        <v>746.86410190403069</v>
      </c>
      <c r="K710" s="307">
        <f t="shared" ca="1" si="334"/>
        <v>-5.7058529222612888</v>
      </c>
      <c r="L710" s="304">
        <f t="shared" ca="1" si="319"/>
        <v>746.88589722291908</v>
      </c>
      <c r="M710" s="306">
        <f t="shared" ca="1" si="335"/>
        <v>-1.4846854383014294</v>
      </c>
      <c r="N710" s="304">
        <f t="shared" ca="1" si="336"/>
        <v>-85.066209519202687</v>
      </c>
      <c r="P710" s="310">
        <f t="shared" ca="1" si="337"/>
        <v>23</v>
      </c>
      <c r="Q710" s="304">
        <f t="shared" ca="1" si="338"/>
        <v>0</v>
      </c>
      <c r="R710" s="306">
        <f t="shared" ca="1" si="339"/>
        <v>0</v>
      </c>
      <c r="S710" s="307">
        <f t="shared" ca="1" si="340"/>
        <v>5.083000000000002</v>
      </c>
      <c r="T710" s="304">
        <f t="shared" ca="1" si="320"/>
        <v>49.86423000000002</v>
      </c>
      <c r="U710" s="311">
        <f t="shared" ca="1" si="321"/>
        <v>0</v>
      </c>
      <c r="V710" s="306">
        <f t="shared" ca="1" si="322"/>
        <v>1.2256991664500236</v>
      </c>
      <c r="W710" s="304">
        <f t="shared" ca="1" si="323"/>
        <v>43.220344263495903</v>
      </c>
      <c r="Y710" s="314" t="str">
        <f t="shared" ca="1" si="341"/>
        <v/>
      </c>
      <c r="Z710" s="315" t="str">
        <f t="shared" ca="1" si="342"/>
        <v/>
      </c>
      <c r="AA710" s="316" t="str">
        <f t="shared" ca="1" si="343"/>
        <v/>
      </c>
      <c r="AC710" s="310" t="e">
        <f t="shared" ca="1" si="344"/>
        <v>#N/A</v>
      </c>
      <c r="AD710" s="323" t="e">
        <f t="shared" ca="1" si="345"/>
        <v>#N/A</v>
      </c>
      <c r="AE710" s="324" t="e">
        <f t="shared" ca="1" si="324"/>
        <v>#N/A</v>
      </c>
      <c r="AG710" s="306">
        <f t="shared" ca="1" si="346"/>
        <v>1.2707596816054334</v>
      </c>
      <c r="AH710" s="304">
        <f t="shared" ca="1" si="347"/>
        <v>-8.5028911305844819</v>
      </c>
    </row>
    <row r="711" spans="1:34" x14ac:dyDescent="0.2">
      <c r="A711" s="347">
        <f t="shared" ca="1" si="325"/>
        <v>1E-4</v>
      </c>
      <c r="B711" s="304">
        <f t="shared" ca="1" si="326"/>
        <v>29.232500000000073</v>
      </c>
      <c r="D711" s="306">
        <f t="shared" ca="1" si="327"/>
        <v>-0.73128948349126233</v>
      </c>
      <c r="E711" s="307">
        <f t="shared" ca="1" si="328"/>
        <v>-1.3385850894830345</v>
      </c>
      <c r="F711" s="304">
        <f t="shared" ca="1" si="329"/>
        <v>1.5253177867091239</v>
      </c>
      <c r="G711" s="306">
        <f t="shared" ca="1" si="330"/>
        <v>9.2165464506254438</v>
      </c>
      <c r="H711" s="307">
        <f t="shared" ca="1" si="331"/>
        <v>-106.76744050458755</v>
      </c>
      <c r="I711" s="304">
        <f t="shared" ca="1" si="332"/>
        <v>107.16450475963194</v>
      </c>
      <c r="J711" s="306">
        <f t="shared" ca="1" si="333"/>
        <v>746.86410190403069</v>
      </c>
      <c r="K711" s="307">
        <f t="shared" ca="1" si="334"/>
        <v>-5.7165296596188222</v>
      </c>
      <c r="L711" s="304">
        <f t="shared" ca="1" si="319"/>
        <v>746.88597886442051</v>
      </c>
      <c r="M711" s="306">
        <f t="shared" ca="1" si="335"/>
        <v>-1.4846862255996356</v>
      </c>
      <c r="N711" s="304">
        <f t="shared" ca="1" si="336"/>
        <v>-85.066254628067114</v>
      </c>
      <c r="P711" s="310">
        <f t="shared" ca="1" si="337"/>
        <v>23</v>
      </c>
      <c r="Q711" s="304">
        <f t="shared" ca="1" si="338"/>
        <v>0</v>
      </c>
      <c r="R711" s="306">
        <f t="shared" ca="1" si="339"/>
        <v>0</v>
      </c>
      <c r="S711" s="307">
        <f t="shared" ca="1" si="340"/>
        <v>5.083000000000002</v>
      </c>
      <c r="T711" s="304">
        <f t="shared" ca="1" si="320"/>
        <v>49.86423000000002</v>
      </c>
      <c r="U711" s="311">
        <f t="shared" ca="1" si="321"/>
        <v>0</v>
      </c>
      <c r="V711" s="306">
        <f t="shared" ca="1" si="322"/>
        <v>1.2257004750976368</v>
      </c>
      <c r="W711" s="304">
        <f t="shared" ca="1" si="323"/>
        <v>43.220492908373124</v>
      </c>
      <c r="Y711" s="314" t="str">
        <f t="shared" ca="1" si="341"/>
        <v/>
      </c>
      <c r="Z711" s="315" t="str">
        <f t="shared" ca="1" si="342"/>
        <v/>
      </c>
      <c r="AA711" s="316" t="str">
        <f t="shared" ca="1" si="343"/>
        <v/>
      </c>
      <c r="AC711" s="310" t="e">
        <f t="shared" ca="1" si="344"/>
        <v>#N/A</v>
      </c>
      <c r="AD711" s="323" t="e">
        <f t="shared" ca="1" si="345"/>
        <v>#N/A</v>
      </c>
      <c r="AE711" s="324" t="e">
        <f t="shared" ca="1" si="324"/>
        <v>#N/A</v>
      </c>
      <c r="AG711" s="306">
        <f t="shared" ca="1" si="346"/>
        <v>1.2707311019638485</v>
      </c>
      <c r="AH711" s="304">
        <f t="shared" ca="1" si="347"/>
        <v>-8.5029203744827626</v>
      </c>
    </row>
    <row r="712" spans="1:34" x14ac:dyDescent="0.2">
      <c r="A712" s="347">
        <f t="shared" ca="1" si="325"/>
        <v>1E-4</v>
      </c>
      <c r="B712" s="304">
        <f t="shared" ca="1" si="326"/>
        <v>29.232600000000073</v>
      </c>
      <c r="D712" s="306">
        <f t="shared" ca="1" si="327"/>
        <v>-0.73128532901398591</v>
      </c>
      <c r="E712" s="307">
        <f t="shared" ca="1" si="328"/>
        <v>-1.3385553785626438</v>
      </c>
      <c r="F712" s="304">
        <f t="shared" ca="1" si="329"/>
        <v>1.5252897213021781</v>
      </c>
      <c r="G712" s="306">
        <f t="shared" ca="1" si="330"/>
        <v>9.2164733220925417</v>
      </c>
      <c r="H712" s="307">
        <f t="shared" ca="1" si="331"/>
        <v>-106.76757436012541</v>
      </c>
      <c r="I712" s="304">
        <f t="shared" ca="1" si="332"/>
        <v>107.16463182991743</v>
      </c>
      <c r="J712" s="306">
        <f t="shared" ca="1" si="333"/>
        <v>746.86410190403069</v>
      </c>
      <c r="K712" s="307">
        <f t="shared" ca="1" si="334"/>
        <v>-5.7272064103620579</v>
      </c>
      <c r="L712" s="304">
        <f t="shared" ca="1" si="319"/>
        <v>746.88606065863974</v>
      </c>
      <c r="M712" s="306">
        <f t="shared" ca="1" si="335"/>
        <v>-1.4846870128897278</v>
      </c>
      <c r="N712" s="304">
        <f t="shared" ca="1" si="336"/>
        <v>-85.066299736466661</v>
      </c>
      <c r="P712" s="310">
        <f t="shared" ca="1" si="337"/>
        <v>23</v>
      </c>
      <c r="Q712" s="304">
        <f t="shared" ca="1" si="338"/>
        <v>0</v>
      </c>
      <c r="R712" s="306">
        <f t="shared" ca="1" si="339"/>
        <v>0</v>
      </c>
      <c r="S712" s="307">
        <f t="shared" ca="1" si="340"/>
        <v>5.083000000000002</v>
      </c>
      <c r="T712" s="304">
        <f t="shared" ca="1" si="320"/>
        <v>49.86423000000002</v>
      </c>
      <c r="U712" s="311">
        <f t="shared" ca="1" si="321"/>
        <v>0</v>
      </c>
      <c r="V712" s="306">
        <f t="shared" ca="1" si="322"/>
        <v>1.2257017837482889</v>
      </c>
      <c r="W712" s="304">
        <f t="shared" ca="1" si="323"/>
        <v>43.220641551392667</v>
      </c>
      <c r="Y712" s="314" t="str">
        <f t="shared" ca="1" si="341"/>
        <v/>
      </c>
      <c r="Z712" s="315" t="str">
        <f t="shared" ca="1" si="342"/>
        <v/>
      </c>
      <c r="AA712" s="316" t="str">
        <f t="shared" ca="1" si="343"/>
        <v/>
      </c>
      <c r="AC712" s="310" t="e">
        <f t="shared" ca="1" si="344"/>
        <v>#N/A</v>
      </c>
      <c r="AD712" s="323" t="e">
        <f t="shared" ca="1" si="345"/>
        <v>#N/A</v>
      </c>
      <c r="AE712" s="324" t="e">
        <f t="shared" ca="1" si="324"/>
        <v>#N/A</v>
      </c>
      <c r="AG712" s="306">
        <f t="shared" ca="1" si="346"/>
        <v>1.2707025226748421</v>
      </c>
      <c r="AH712" s="304">
        <f t="shared" ca="1" si="347"/>
        <v>-8.5029496180155633</v>
      </c>
    </row>
    <row r="713" spans="1:34" x14ac:dyDescent="0.2">
      <c r="A713" s="347">
        <f t="shared" ca="1" si="325"/>
        <v>1E-4</v>
      </c>
      <c r="B713" s="304">
        <f t="shared" ca="1" si="326"/>
        <v>29.232700000000072</v>
      </c>
      <c r="D713" s="306">
        <f t="shared" ca="1" si="327"/>
        <v>-0.73128117452768571</v>
      </c>
      <c r="E713" s="307">
        <f t="shared" ca="1" si="328"/>
        <v>-1.3385256680135917</v>
      </c>
      <c r="F713" s="304">
        <f t="shared" ca="1" si="329"/>
        <v>1.5252616562904293</v>
      </c>
      <c r="G713" s="306">
        <f t="shared" ca="1" si="330"/>
        <v>9.2164001939750886</v>
      </c>
      <c r="H713" s="307">
        <f t="shared" ca="1" si="331"/>
        <v>-106.76770821269221</v>
      </c>
      <c r="I713" s="304">
        <f t="shared" ca="1" si="332"/>
        <v>107.16475889734502</v>
      </c>
      <c r="J713" s="306">
        <f t="shared" ca="1" si="333"/>
        <v>746.86410190403069</v>
      </c>
      <c r="K713" s="307">
        <f t="shared" ca="1" si="334"/>
        <v>-5.7378831744906984</v>
      </c>
      <c r="L713" s="304">
        <f t="shared" ca="1" si="319"/>
        <v>746.88614260557711</v>
      </c>
      <c r="M713" s="306">
        <f t="shared" ca="1" si="335"/>
        <v>-1.4846878001717065</v>
      </c>
      <c r="N713" s="304">
        <f t="shared" ca="1" si="336"/>
        <v>-85.066344844401328</v>
      </c>
      <c r="P713" s="310">
        <f t="shared" ca="1" si="337"/>
        <v>23</v>
      </c>
      <c r="Q713" s="304">
        <f t="shared" ca="1" si="338"/>
        <v>0</v>
      </c>
      <c r="R713" s="306">
        <f t="shared" ca="1" si="339"/>
        <v>0</v>
      </c>
      <c r="S713" s="307">
        <f t="shared" ca="1" si="340"/>
        <v>5.083000000000002</v>
      </c>
      <c r="T713" s="304">
        <f t="shared" ca="1" si="320"/>
        <v>49.86423000000002</v>
      </c>
      <c r="U713" s="311">
        <f t="shared" ca="1" si="321"/>
        <v>0</v>
      </c>
      <c r="V713" s="306">
        <f t="shared" ca="1" si="322"/>
        <v>1.2257030924019783</v>
      </c>
      <c r="W713" s="304">
        <f t="shared" ca="1" si="323"/>
        <v>43.220790192554482</v>
      </c>
      <c r="Y713" s="314" t="str">
        <f t="shared" ca="1" si="341"/>
        <v/>
      </c>
      <c r="Z713" s="315" t="str">
        <f t="shared" ca="1" si="342"/>
        <v/>
      </c>
      <c r="AA713" s="316" t="str">
        <f t="shared" ca="1" si="343"/>
        <v/>
      </c>
      <c r="AC713" s="310" t="e">
        <f t="shared" ca="1" si="344"/>
        <v>#N/A</v>
      </c>
      <c r="AD713" s="323" t="e">
        <f t="shared" ca="1" si="345"/>
        <v>#N/A</v>
      </c>
      <c r="AE713" s="324" t="e">
        <f t="shared" ca="1" si="324"/>
        <v>#N/A</v>
      </c>
      <c r="AG713" s="306">
        <f t="shared" ca="1" si="346"/>
        <v>1.2706739437383998</v>
      </c>
      <c r="AH713" s="304">
        <f t="shared" ca="1" si="347"/>
        <v>-8.5029788611828945</v>
      </c>
    </row>
    <row r="714" spans="1:34" x14ac:dyDescent="0.2">
      <c r="A714" s="347">
        <f t="shared" ca="1" si="325"/>
        <v>1E-4</v>
      </c>
      <c r="B714" s="304">
        <f t="shared" ca="1" si="326"/>
        <v>29.232800000000072</v>
      </c>
      <c r="D714" s="306">
        <f t="shared" ca="1" si="327"/>
        <v>-0.73127702003235873</v>
      </c>
      <c r="E714" s="307">
        <f t="shared" ca="1" si="328"/>
        <v>-1.3384959578358906</v>
      </c>
      <c r="F714" s="304">
        <f t="shared" ca="1" si="329"/>
        <v>1.5252335916738868</v>
      </c>
      <c r="G714" s="306">
        <f t="shared" ca="1" si="330"/>
        <v>9.2163270662730845</v>
      </c>
      <c r="H714" s="307">
        <f t="shared" ca="1" si="331"/>
        <v>-106.767842062288</v>
      </c>
      <c r="I714" s="304">
        <f t="shared" ca="1" si="332"/>
        <v>107.16488596191475</v>
      </c>
      <c r="J714" s="306">
        <f t="shared" ca="1" si="333"/>
        <v>746.86410190403069</v>
      </c>
      <c r="K714" s="307">
        <f t="shared" ca="1" si="334"/>
        <v>-5.748559952004447</v>
      </c>
      <c r="L714" s="304">
        <f t="shared" ca="1" si="319"/>
        <v>746.88622470523319</v>
      </c>
      <c r="M714" s="306">
        <f t="shared" ca="1" si="335"/>
        <v>-1.4846885874455713</v>
      </c>
      <c r="N714" s="304">
        <f t="shared" ca="1" si="336"/>
        <v>-85.066389951871102</v>
      </c>
      <c r="P714" s="310">
        <f t="shared" ca="1" si="337"/>
        <v>23</v>
      </c>
      <c r="Q714" s="304">
        <f t="shared" ca="1" si="338"/>
        <v>0</v>
      </c>
      <c r="R714" s="306">
        <f t="shared" ca="1" si="339"/>
        <v>0</v>
      </c>
      <c r="S714" s="307">
        <f t="shared" ca="1" si="340"/>
        <v>5.083000000000002</v>
      </c>
      <c r="T714" s="304">
        <f t="shared" ca="1" si="320"/>
        <v>49.86423000000002</v>
      </c>
      <c r="U714" s="311">
        <f t="shared" ca="1" si="321"/>
        <v>0</v>
      </c>
      <c r="V714" s="306">
        <f t="shared" ca="1" si="322"/>
        <v>1.2257044010587064</v>
      </c>
      <c r="W714" s="304">
        <f t="shared" ca="1" si="323"/>
        <v>43.220938831858604</v>
      </c>
      <c r="Y714" s="314" t="str">
        <f t="shared" ca="1" si="341"/>
        <v/>
      </c>
      <c r="Z714" s="315" t="str">
        <f t="shared" ca="1" si="342"/>
        <v/>
      </c>
      <c r="AA714" s="316" t="str">
        <f t="shared" ca="1" si="343"/>
        <v/>
      </c>
      <c r="AC714" s="310" t="e">
        <f t="shared" ca="1" si="344"/>
        <v>#N/A</v>
      </c>
      <c r="AD714" s="323" t="e">
        <f t="shared" ca="1" si="345"/>
        <v>#N/A</v>
      </c>
      <c r="AE714" s="324" t="e">
        <f t="shared" ca="1" si="324"/>
        <v>#N/A</v>
      </c>
      <c r="AG714" s="306">
        <f t="shared" ca="1" si="346"/>
        <v>1.270645365154536</v>
      </c>
      <c r="AH714" s="304">
        <f t="shared" ca="1" si="347"/>
        <v>-8.5030081039847456</v>
      </c>
    </row>
    <row r="715" spans="1:34" x14ac:dyDescent="0.2">
      <c r="A715" s="347">
        <f t="shared" ca="1" si="325"/>
        <v>1E-4</v>
      </c>
      <c r="B715" s="304">
        <f t="shared" ca="1" si="326"/>
        <v>29.232900000000072</v>
      </c>
      <c r="D715" s="306">
        <f t="shared" ca="1" si="327"/>
        <v>-0.73127286552801107</v>
      </c>
      <c r="E715" s="307">
        <f t="shared" ca="1" si="328"/>
        <v>-1.3384662480295297</v>
      </c>
      <c r="F715" s="304">
        <f t="shared" ca="1" si="329"/>
        <v>1.5252055274525447</v>
      </c>
      <c r="G715" s="306">
        <f t="shared" ca="1" si="330"/>
        <v>9.2162539389865312</v>
      </c>
      <c r="H715" s="307">
        <f t="shared" ca="1" si="331"/>
        <v>-106.7679759089128</v>
      </c>
      <c r="I715" s="304">
        <f t="shared" ca="1" si="332"/>
        <v>107.16501302362666</v>
      </c>
      <c r="J715" s="306">
        <f t="shared" ca="1" si="333"/>
        <v>746.86410190403069</v>
      </c>
      <c r="K715" s="307">
        <f t="shared" ca="1" si="334"/>
        <v>-5.7592367429030071</v>
      </c>
      <c r="L715" s="304">
        <f t="shared" ca="1" si="319"/>
        <v>746.88630695760855</v>
      </c>
      <c r="M715" s="306">
        <f t="shared" ca="1" si="335"/>
        <v>-1.4846893747113228</v>
      </c>
      <c r="N715" s="304">
        <f t="shared" ca="1" si="336"/>
        <v>-85.06643505887601</v>
      </c>
      <c r="P715" s="310">
        <f t="shared" ca="1" si="337"/>
        <v>23</v>
      </c>
      <c r="Q715" s="304">
        <f t="shared" ca="1" si="338"/>
        <v>0</v>
      </c>
      <c r="R715" s="306">
        <f t="shared" ca="1" si="339"/>
        <v>0</v>
      </c>
      <c r="S715" s="307">
        <f t="shared" ca="1" si="340"/>
        <v>5.083000000000002</v>
      </c>
      <c r="T715" s="304">
        <f t="shared" ca="1" si="320"/>
        <v>49.86423000000002</v>
      </c>
      <c r="U715" s="311">
        <f t="shared" ca="1" si="321"/>
        <v>0</v>
      </c>
      <c r="V715" s="306">
        <f t="shared" ca="1" si="322"/>
        <v>1.2257057097184725</v>
      </c>
      <c r="W715" s="304">
        <f t="shared" ca="1" si="323"/>
        <v>43.221087469305047</v>
      </c>
      <c r="Y715" s="314" t="str">
        <f t="shared" ca="1" si="341"/>
        <v/>
      </c>
      <c r="Z715" s="315" t="str">
        <f t="shared" ca="1" si="342"/>
        <v/>
      </c>
      <c r="AA715" s="316" t="str">
        <f t="shared" ca="1" si="343"/>
        <v/>
      </c>
      <c r="AC715" s="310" t="e">
        <f t="shared" ca="1" si="344"/>
        <v>#N/A</v>
      </c>
      <c r="AD715" s="323" t="e">
        <f t="shared" ca="1" si="345"/>
        <v>#N/A</v>
      </c>
      <c r="AE715" s="324" t="e">
        <f t="shared" ca="1" si="324"/>
        <v>#N/A</v>
      </c>
      <c r="AG715" s="306">
        <f t="shared" ca="1" si="346"/>
        <v>1.2706167869232363</v>
      </c>
      <c r="AH715" s="304">
        <f t="shared" ca="1" si="347"/>
        <v>-8.5030373464211273</v>
      </c>
    </row>
    <row r="716" spans="1:34" x14ac:dyDescent="0.2">
      <c r="A716" s="347">
        <f t="shared" ca="1" si="325"/>
        <v>1E-4</v>
      </c>
      <c r="B716" s="304">
        <f t="shared" ca="1" si="326"/>
        <v>29.233000000000072</v>
      </c>
      <c r="D716" s="306">
        <f t="shared" ca="1" si="327"/>
        <v>-0.73126871101463875</v>
      </c>
      <c r="E716" s="307">
        <f t="shared" ca="1" si="328"/>
        <v>-1.3384365385945074</v>
      </c>
      <c r="F716" s="304">
        <f t="shared" ca="1" si="329"/>
        <v>1.5251774636263997</v>
      </c>
      <c r="G716" s="306">
        <f t="shared" ca="1" si="330"/>
        <v>9.2161808121154305</v>
      </c>
      <c r="H716" s="307">
        <f t="shared" ca="1" si="331"/>
        <v>-106.76810975256666</v>
      </c>
      <c r="I716" s="304">
        <f t="shared" ca="1" si="332"/>
        <v>107.16514008248076</v>
      </c>
      <c r="J716" s="306">
        <f t="shared" ca="1" si="333"/>
        <v>746.86410190403069</v>
      </c>
      <c r="K716" s="307">
        <f t="shared" ca="1" si="334"/>
        <v>-5.7699135471860812</v>
      </c>
      <c r="L716" s="304">
        <f t="shared" ca="1" si="319"/>
        <v>746.88638936270377</v>
      </c>
      <c r="M716" s="306">
        <f t="shared" ca="1" si="335"/>
        <v>-1.4846901619689605</v>
      </c>
      <c r="N716" s="304">
        <f t="shared" ca="1" si="336"/>
        <v>-85.066480165416039</v>
      </c>
      <c r="P716" s="310">
        <f t="shared" ca="1" si="337"/>
        <v>23</v>
      </c>
      <c r="Q716" s="304">
        <f t="shared" ca="1" si="338"/>
        <v>0</v>
      </c>
      <c r="R716" s="306">
        <f t="shared" ca="1" si="339"/>
        <v>0</v>
      </c>
      <c r="S716" s="307">
        <f t="shared" ca="1" si="340"/>
        <v>5.083000000000002</v>
      </c>
      <c r="T716" s="304">
        <f t="shared" ca="1" si="320"/>
        <v>49.86423000000002</v>
      </c>
      <c r="U716" s="311">
        <f t="shared" ca="1" si="321"/>
        <v>0</v>
      </c>
      <c r="V716" s="306">
        <f t="shared" ca="1" si="322"/>
        <v>1.225707018381277</v>
      </c>
      <c r="W716" s="304">
        <f t="shared" ca="1" si="323"/>
        <v>43.221236104893826</v>
      </c>
      <c r="Y716" s="314" t="str">
        <f t="shared" ca="1" si="341"/>
        <v/>
      </c>
      <c r="Z716" s="315" t="str">
        <f t="shared" ca="1" si="342"/>
        <v/>
      </c>
      <c r="AA716" s="316" t="str">
        <f t="shared" ca="1" si="343"/>
        <v/>
      </c>
      <c r="AC716" s="310" t="e">
        <f t="shared" ca="1" si="344"/>
        <v>#N/A</v>
      </c>
      <c r="AD716" s="323" t="e">
        <f t="shared" ca="1" si="345"/>
        <v>#N/A</v>
      </c>
      <c r="AE716" s="324" t="e">
        <f t="shared" ca="1" si="324"/>
        <v>#N/A</v>
      </c>
      <c r="AG716" s="306">
        <f t="shared" ca="1" si="346"/>
        <v>1.2705882090445044</v>
      </c>
      <c r="AH716" s="304">
        <f t="shared" ca="1" si="347"/>
        <v>-8.5030665884920378</v>
      </c>
    </row>
    <row r="717" spans="1:34" x14ac:dyDescent="0.2">
      <c r="A717" s="347">
        <f t="shared" ca="1" si="325"/>
        <v>1E-4</v>
      </c>
      <c r="B717" s="304">
        <f t="shared" ca="1" si="326"/>
        <v>29.233100000000071</v>
      </c>
      <c r="D717" s="306">
        <f t="shared" ca="1" si="327"/>
        <v>-0.73126455649224753</v>
      </c>
      <c r="E717" s="307">
        <f t="shared" ca="1" si="328"/>
        <v>-1.3384068295308218</v>
      </c>
      <c r="F717" s="304">
        <f t="shared" ca="1" si="329"/>
        <v>1.5251494001954529</v>
      </c>
      <c r="G717" s="306">
        <f t="shared" ca="1" si="330"/>
        <v>9.2161076856597806</v>
      </c>
      <c r="H717" s="307">
        <f t="shared" ca="1" si="331"/>
        <v>-106.76824359324961</v>
      </c>
      <c r="I717" s="304">
        <f t="shared" ca="1" si="332"/>
        <v>107.16526713847712</v>
      </c>
      <c r="J717" s="306">
        <f t="shared" ca="1" si="333"/>
        <v>746.86410190403069</v>
      </c>
      <c r="K717" s="307">
        <f t="shared" ca="1" si="334"/>
        <v>-5.7805903648533716</v>
      </c>
      <c r="L717" s="304">
        <f t="shared" ca="1" si="319"/>
        <v>746.88647192051917</v>
      </c>
      <c r="M717" s="306">
        <f t="shared" ca="1" si="335"/>
        <v>-1.4846909492184852</v>
      </c>
      <c r="N717" s="304">
        <f t="shared" ca="1" si="336"/>
        <v>-85.06652527149123</v>
      </c>
      <c r="P717" s="310">
        <f t="shared" ca="1" si="337"/>
        <v>23</v>
      </c>
      <c r="Q717" s="304">
        <f t="shared" ca="1" si="338"/>
        <v>0</v>
      </c>
      <c r="R717" s="306">
        <f t="shared" ca="1" si="339"/>
        <v>0</v>
      </c>
      <c r="S717" s="307">
        <f t="shared" ca="1" si="340"/>
        <v>5.083000000000002</v>
      </c>
      <c r="T717" s="304">
        <f t="shared" ca="1" si="320"/>
        <v>49.86423000000002</v>
      </c>
      <c r="U717" s="311">
        <f t="shared" ca="1" si="321"/>
        <v>0</v>
      </c>
      <c r="V717" s="306">
        <f t="shared" ca="1" si="322"/>
        <v>1.2257083270471201</v>
      </c>
      <c r="W717" s="304">
        <f t="shared" ca="1" si="323"/>
        <v>43.22138473862497</v>
      </c>
      <c r="Y717" s="314" t="str">
        <f t="shared" ca="1" si="341"/>
        <v/>
      </c>
      <c r="Z717" s="315" t="str">
        <f t="shared" ca="1" si="342"/>
        <v/>
      </c>
      <c r="AA717" s="316" t="str">
        <f t="shared" ca="1" si="343"/>
        <v/>
      </c>
      <c r="AC717" s="310" t="e">
        <f t="shared" ca="1" si="344"/>
        <v>#N/A</v>
      </c>
      <c r="AD717" s="323" t="e">
        <f t="shared" ca="1" si="345"/>
        <v>#N/A</v>
      </c>
      <c r="AE717" s="324" t="e">
        <f t="shared" ca="1" si="324"/>
        <v>#N/A</v>
      </c>
      <c r="AG717" s="306">
        <f t="shared" ca="1" si="346"/>
        <v>1.270559631518335</v>
      </c>
      <c r="AH717" s="304">
        <f t="shared" ca="1" si="347"/>
        <v>-8.5030958301974842</v>
      </c>
    </row>
    <row r="718" spans="1:34" x14ac:dyDescent="0.2">
      <c r="A718" s="347">
        <f t="shared" ca="1" si="325"/>
        <v>1E-4</v>
      </c>
      <c r="B718" s="304">
        <f t="shared" ca="1" si="326"/>
        <v>29.233200000000071</v>
      </c>
      <c r="D718" s="306">
        <f t="shared" ca="1" si="327"/>
        <v>-0.73126040196083364</v>
      </c>
      <c r="E718" s="307">
        <f t="shared" ca="1" si="328"/>
        <v>-1.3383771208384676</v>
      </c>
      <c r="F718" s="304">
        <f t="shared" ca="1" si="329"/>
        <v>1.5251213371596983</v>
      </c>
      <c r="G718" s="306">
        <f t="shared" ca="1" si="330"/>
        <v>9.216034559619585</v>
      </c>
      <c r="H718" s="307">
        <f t="shared" ca="1" si="331"/>
        <v>-106.76837743096169</v>
      </c>
      <c r="I718" s="304">
        <f t="shared" ca="1" si="332"/>
        <v>107.16539419161576</v>
      </c>
      <c r="J718" s="306">
        <f t="shared" ca="1" si="333"/>
        <v>746.86410190403069</v>
      </c>
      <c r="K718" s="307">
        <f t="shared" ca="1" si="334"/>
        <v>-5.7912671959045818</v>
      </c>
      <c r="L718" s="304">
        <f t="shared" ca="1" si="319"/>
        <v>746.88655463105556</v>
      </c>
      <c r="M718" s="306">
        <f t="shared" ca="1" si="335"/>
        <v>-1.4846917364598968</v>
      </c>
      <c r="N718" s="304">
        <f t="shared" ca="1" si="336"/>
        <v>-85.06657037710157</v>
      </c>
      <c r="P718" s="310">
        <f t="shared" ca="1" si="337"/>
        <v>23</v>
      </c>
      <c r="Q718" s="304">
        <f t="shared" ca="1" si="338"/>
        <v>0</v>
      </c>
      <c r="R718" s="306">
        <f t="shared" ca="1" si="339"/>
        <v>0</v>
      </c>
      <c r="S718" s="307">
        <f t="shared" ca="1" si="340"/>
        <v>5.083000000000002</v>
      </c>
      <c r="T718" s="304">
        <f t="shared" ca="1" si="320"/>
        <v>49.86423000000002</v>
      </c>
      <c r="U718" s="311">
        <f t="shared" ca="1" si="321"/>
        <v>0</v>
      </c>
      <c r="V718" s="306">
        <f t="shared" ca="1" si="322"/>
        <v>1.2257096357160007</v>
      </c>
      <c r="W718" s="304">
        <f t="shared" ca="1" si="323"/>
        <v>43.221533370498463</v>
      </c>
      <c r="Y718" s="314" t="str">
        <f t="shared" ca="1" si="341"/>
        <v/>
      </c>
      <c r="Z718" s="315" t="str">
        <f t="shared" ca="1" si="342"/>
        <v/>
      </c>
      <c r="AA718" s="316" t="str">
        <f t="shared" ca="1" si="343"/>
        <v/>
      </c>
      <c r="AC718" s="310" t="e">
        <f t="shared" ca="1" si="344"/>
        <v>#N/A</v>
      </c>
      <c r="AD718" s="323" t="e">
        <f t="shared" ca="1" si="345"/>
        <v>#N/A</v>
      </c>
      <c r="AE718" s="324" t="e">
        <f t="shared" ca="1" si="324"/>
        <v>#N/A</v>
      </c>
      <c r="AG718" s="306">
        <f t="shared" ca="1" si="346"/>
        <v>1.2705310543447261</v>
      </c>
      <c r="AH718" s="304">
        <f t="shared" ca="1" si="347"/>
        <v>-8.5031250715374682</v>
      </c>
    </row>
    <row r="719" spans="1:34" x14ac:dyDescent="0.2">
      <c r="A719" s="347">
        <f t="shared" ca="1" si="325"/>
        <v>1E-4</v>
      </c>
      <c r="B719" s="304">
        <f t="shared" ca="1" si="326"/>
        <v>29.233300000000071</v>
      </c>
      <c r="D719" s="306">
        <f t="shared" ca="1" si="327"/>
        <v>-0.73125624742039863</v>
      </c>
      <c r="E719" s="307">
        <f t="shared" ca="1" si="328"/>
        <v>-1.3383474125174448</v>
      </c>
      <c r="F719" s="304">
        <f t="shared" ca="1" si="329"/>
        <v>1.5250932745191368</v>
      </c>
      <c r="G719" s="306">
        <f t="shared" ca="1" si="330"/>
        <v>9.2159614339948437</v>
      </c>
      <c r="H719" s="307">
        <f t="shared" ca="1" si="331"/>
        <v>-106.76851126570294</v>
      </c>
      <c r="I719" s="304">
        <f t="shared" ca="1" si="332"/>
        <v>107.16552124189671</v>
      </c>
      <c r="J719" s="306">
        <f t="shared" ca="1" si="333"/>
        <v>746.86410190403069</v>
      </c>
      <c r="K719" s="307">
        <f t="shared" ca="1" si="334"/>
        <v>-5.8019440403394151</v>
      </c>
      <c r="L719" s="304">
        <f t="shared" ca="1" si="319"/>
        <v>746.88663749431316</v>
      </c>
      <c r="M719" s="306">
        <f t="shared" ca="1" si="335"/>
        <v>-1.4846925236931952</v>
      </c>
      <c r="N719" s="304">
        <f t="shared" ca="1" si="336"/>
        <v>-85.066615482247059</v>
      </c>
      <c r="P719" s="310">
        <f t="shared" ca="1" si="337"/>
        <v>23</v>
      </c>
      <c r="Q719" s="304">
        <f t="shared" ca="1" si="338"/>
        <v>0</v>
      </c>
      <c r="R719" s="306">
        <f t="shared" ca="1" si="339"/>
        <v>0</v>
      </c>
      <c r="S719" s="307">
        <f t="shared" ca="1" si="340"/>
        <v>5.083000000000002</v>
      </c>
      <c r="T719" s="304">
        <f t="shared" ca="1" si="320"/>
        <v>49.86423000000002</v>
      </c>
      <c r="U719" s="311">
        <f t="shared" ca="1" si="321"/>
        <v>0</v>
      </c>
      <c r="V719" s="306">
        <f t="shared" ca="1" si="322"/>
        <v>1.2257109443879195</v>
      </c>
      <c r="W719" s="304">
        <f t="shared" ca="1" si="323"/>
        <v>43.221682000514313</v>
      </c>
      <c r="Y719" s="314" t="str">
        <f t="shared" ca="1" si="341"/>
        <v/>
      </c>
      <c r="Z719" s="315" t="str">
        <f t="shared" ca="1" si="342"/>
        <v/>
      </c>
      <c r="AA719" s="316" t="str">
        <f t="shared" ca="1" si="343"/>
        <v/>
      </c>
      <c r="AC719" s="310" t="e">
        <f t="shared" ca="1" si="344"/>
        <v>#N/A</v>
      </c>
      <c r="AD719" s="323" t="e">
        <f t="shared" ca="1" si="345"/>
        <v>#N/A</v>
      </c>
      <c r="AE719" s="324" t="e">
        <f t="shared" ca="1" si="324"/>
        <v>#N/A</v>
      </c>
      <c r="AG719" s="306">
        <f t="shared" ca="1" si="346"/>
        <v>1.270502477523678</v>
      </c>
      <c r="AH719" s="304">
        <f t="shared" ca="1" si="347"/>
        <v>-8.5031543125119899</v>
      </c>
    </row>
    <row r="720" spans="1:34" x14ac:dyDescent="0.2">
      <c r="A720" s="347">
        <f t="shared" ca="1" si="325"/>
        <v>1E-4</v>
      </c>
      <c r="B720" s="304">
        <f t="shared" ca="1" si="326"/>
        <v>29.233400000000071</v>
      </c>
      <c r="D720" s="306">
        <f t="shared" ca="1" si="327"/>
        <v>-0.73125209287094595</v>
      </c>
      <c r="E720" s="307">
        <f t="shared" ca="1" si="328"/>
        <v>-1.3383177045677535</v>
      </c>
      <c r="F720" s="304">
        <f t="shared" ca="1" si="329"/>
        <v>1.52506521227377</v>
      </c>
      <c r="G720" s="306">
        <f t="shared" ca="1" si="330"/>
        <v>9.2158883087855568</v>
      </c>
      <c r="H720" s="307">
        <f t="shared" ca="1" si="331"/>
        <v>-106.7686450974734</v>
      </c>
      <c r="I720" s="304">
        <f t="shared" ca="1" si="332"/>
        <v>107.16564828932003</v>
      </c>
      <c r="J720" s="306">
        <f t="shared" ca="1" si="333"/>
        <v>746.86410190403069</v>
      </c>
      <c r="K720" s="307">
        <f t="shared" ca="1" si="334"/>
        <v>-5.812620898157574</v>
      </c>
      <c r="L720" s="304">
        <f t="shared" ca="1" si="319"/>
        <v>746.88672051029266</v>
      </c>
      <c r="M720" s="306">
        <f t="shared" ca="1" si="335"/>
        <v>-1.4846933109183804</v>
      </c>
      <c r="N720" s="304">
        <f t="shared" ca="1" si="336"/>
        <v>-85.066660586927711</v>
      </c>
      <c r="P720" s="310">
        <f t="shared" ca="1" si="337"/>
        <v>23</v>
      </c>
      <c r="Q720" s="304">
        <f t="shared" ca="1" si="338"/>
        <v>0</v>
      </c>
      <c r="R720" s="306">
        <f t="shared" ca="1" si="339"/>
        <v>0</v>
      </c>
      <c r="S720" s="307">
        <f t="shared" ca="1" si="340"/>
        <v>5.083000000000002</v>
      </c>
      <c r="T720" s="304">
        <f t="shared" ca="1" si="320"/>
        <v>49.86423000000002</v>
      </c>
      <c r="U720" s="311">
        <f t="shared" ca="1" si="321"/>
        <v>0</v>
      </c>
      <c r="V720" s="306">
        <f t="shared" ca="1" si="322"/>
        <v>1.2257122530628766</v>
      </c>
      <c r="W720" s="304">
        <f t="shared" ca="1" si="323"/>
        <v>43.221830628672578</v>
      </c>
      <c r="Y720" s="314" t="str">
        <f t="shared" ca="1" si="341"/>
        <v/>
      </c>
      <c r="Z720" s="315" t="str">
        <f t="shared" ca="1" si="342"/>
        <v/>
      </c>
      <c r="AA720" s="316" t="str">
        <f t="shared" ca="1" si="343"/>
        <v/>
      </c>
      <c r="AC720" s="310" t="e">
        <f t="shared" ca="1" si="344"/>
        <v>#N/A</v>
      </c>
      <c r="AD720" s="323" t="e">
        <f t="shared" ca="1" si="345"/>
        <v>#N/A</v>
      </c>
      <c r="AE720" s="324" t="e">
        <f t="shared" ca="1" si="324"/>
        <v>#N/A</v>
      </c>
      <c r="AG720" s="306">
        <f t="shared" ca="1" si="346"/>
        <v>1.2704739010551886</v>
      </c>
      <c r="AH720" s="304">
        <f t="shared" ca="1" si="347"/>
        <v>-8.5031835531210493</v>
      </c>
    </row>
    <row r="721" spans="1:34" x14ac:dyDescent="0.2">
      <c r="A721" s="347">
        <f t="shared" ca="1" si="325"/>
        <v>1E-4</v>
      </c>
      <c r="B721" s="304">
        <f t="shared" ca="1" si="326"/>
        <v>29.23350000000007</v>
      </c>
      <c r="D721" s="306">
        <f t="shared" ca="1" si="327"/>
        <v>-0.73124793831247636</v>
      </c>
      <c r="E721" s="307">
        <f t="shared" ca="1" si="328"/>
        <v>-1.3382879969893846</v>
      </c>
      <c r="F721" s="304">
        <f t="shared" ca="1" si="329"/>
        <v>1.5250371504235909</v>
      </c>
      <c r="G721" s="306">
        <f t="shared" ca="1" si="330"/>
        <v>9.2158151839917259</v>
      </c>
      <c r="H721" s="307">
        <f t="shared" ca="1" si="331"/>
        <v>-106.7687789262731</v>
      </c>
      <c r="I721" s="304">
        <f t="shared" ca="1" si="332"/>
        <v>107.16577533388573</v>
      </c>
      <c r="J721" s="306">
        <f t="shared" ca="1" si="333"/>
        <v>746.86410190403069</v>
      </c>
      <c r="K721" s="307">
        <f t="shared" ca="1" si="334"/>
        <v>-5.8232977693587618</v>
      </c>
      <c r="L721" s="304">
        <f t="shared" ca="1" si="319"/>
        <v>746.88680367899451</v>
      </c>
      <c r="M721" s="306">
        <f t="shared" ca="1" si="335"/>
        <v>-1.4846940981354531</v>
      </c>
      <c r="N721" s="304">
        <f t="shared" ca="1" si="336"/>
        <v>-85.066705691143525</v>
      </c>
      <c r="P721" s="310">
        <f t="shared" ca="1" si="337"/>
        <v>23</v>
      </c>
      <c r="Q721" s="304">
        <f t="shared" ca="1" si="338"/>
        <v>0</v>
      </c>
      <c r="R721" s="306">
        <f t="shared" ca="1" si="339"/>
        <v>0</v>
      </c>
      <c r="S721" s="307">
        <f t="shared" ca="1" si="340"/>
        <v>5.083000000000002</v>
      </c>
      <c r="T721" s="304">
        <f t="shared" ca="1" si="320"/>
        <v>49.86423000000002</v>
      </c>
      <c r="U721" s="311">
        <f t="shared" ca="1" si="321"/>
        <v>0</v>
      </c>
      <c r="V721" s="306">
        <f t="shared" ca="1" si="322"/>
        <v>1.2257135617408712</v>
      </c>
      <c r="W721" s="304">
        <f t="shared" ca="1" si="323"/>
        <v>43.221979254973228</v>
      </c>
      <c r="Y721" s="314" t="str">
        <f t="shared" ca="1" si="341"/>
        <v/>
      </c>
      <c r="Z721" s="315" t="str">
        <f t="shared" ca="1" si="342"/>
        <v/>
      </c>
      <c r="AA721" s="316" t="str">
        <f t="shared" ca="1" si="343"/>
        <v/>
      </c>
      <c r="AC721" s="310" t="e">
        <f t="shared" ca="1" si="344"/>
        <v>#N/A</v>
      </c>
      <c r="AD721" s="323" t="e">
        <f t="shared" ca="1" si="345"/>
        <v>#N/A</v>
      </c>
      <c r="AE721" s="324" t="e">
        <f t="shared" ca="1" si="324"/>
        <v>#N/A</v>
      </c>
      <c r="AG721" s="306">
        <f t="shared" ca="1" si="346"/>
        <v>1.2704453249392493</v>
      </c>
      <c r="AH721" s="304">
        <f t="shared" ca="1" si="347"/>
        <v>-8.5032127933646589</v>
      </c>
    </row>
    <row r="722" spans="1:34" x14ac:dyDescent="0.2">
      <c r="A722" s="347">
        <f t="shared" ca="1" si="325"/>
        <v>1E-4</v>
      </c>
      <c r="B722" s="304">
        <f t="shared" ca="1" si="326"/>
        <v>29.23360000000007</v>
      </c>
      <c r="D722" s="306">
        <f t="shared" ca="1" si="327"/>
        <v>-0.731243783744987</v>
      </c>
      <c r="E722" s="307">
        <f t="shared" ca="1" si="328"/>
        <v>-1.3382582897823401</v>
      </c>
      <c r="F722" s="304">
        <f t="shared" ca="1" si="329"/>
        <v>1.5250090889685999</v>
      </c>
      <c r="G722" s="306">
        <f t="shared" ca="1" si="330"/>
        <v>9.2157420596133512</v>
      </c>
      <c r="H722" s="307">
        <f t="shared" ca="1" si="331"/>
        <v>-106.76891275210208</v>
      </c>
      <c r="I722" s="304">
        <f t="shared" ca="1" si="332"/>
        <v>107.16590237559386</v>
      </c>
      <c r="J722" s="306">
        <f t="shared" ca="1" si="333"/>
        <v>746.86410190403069</v>
      </c>
      <c r="K722" s="307">
        <f t="shared" ca="1" si="334"/>
        <v>-5.8339746539426809</v>
      </c>
      <c r="L722" s="304">
        <f t="shared" ca="1" si="319"/>
        <v>746.88688700041939</v>
      </c>
      <c r="M722" s="306">
        <f t="shared" ca="1" si="335"/>
        <v>-1.4846948853444129</v>
      </c>
      <c r="N722" s="304">
        <f t="shared" ca="1" si="336"/>
        <v>-85.066750794894517</v>
      </c>
      <c r="P722" s="310">
        <f t="shared" ca="1" si="337"/>
        <v>23</v>
      </c>
      <c r="Q722" s="304">
        <f t="shared" ca="1" si="338"/>
        <v>0</v>
      </c>
      <c r="R722" s="306">
        <f t="shared" ca="1" si="339"/>
        <v>0</v>
      </c>
      <c r="S722" s="307">
        <f t="shared" ca="1" si="340"/>
        <v>5.083000000000002</v>
      </c>
      <c r="T722" s="304">
        <f t="shared" ca="1" si="320"/>
        <v>49.86423000000002</v>
      </c>
      <c r="U722" s="311">
        <f t="shared" ca="1" si="321"/>
        <v>0</v>
      </c>
      <c r="V722" s="306">
        <f t="shared" ca="1" si="322"/>
        <v>1.2257148704219041</v>
      </c>
      <c r="W722" s="304">
        <f t="shared" ca="1" si="323"/>
        <v>43.222127879416291</v>
      </c>
      <c r="Y722" s="314" t="str">
        <f t="shared" ca="1" si="341"/>
        <v/>
      </c>
      <c r="Z722" s="315" t="str">
        <f t="shared" ca="1" si="342"/>
        <v/>
      </c>
      <c r="AA722" s="316" t="str">
        <f t="shared" ca="1" si="343"/>
        <v/>
      </c>
      <c r="AC722" s="310" t="e">
        <f t="shared" ca="1" si="344"/>
        <v>#N/A</v>
      </c>
      <c r="AD722" s="323" t="e">
        <f t="shared" ca="1" si="345"/>
        <v>#N/A</v>
      </c>
      <c r="AE722" s="324" t="e">
        <f t="shared" ca="1" si="324"/>
        <v>#N/A</v>
      </c>
      <c r="AG722" s="306">
        <f t="shared" ca="1" si="346"/>
        <v>1.2704167491758653</v>
      </c>
      <c r="AH722" s="304">
        <f t="shared" ca="1" si="347"/>
        <v>-8.5032420332428114</v>
      </c>
    </row>
    <row r="723" spans="1:34" x14ac:dyDescent="0.2">
      <c r="A723" s="347">
        <f t="shared" ca="1" si="325"/>
        <v>1E-4</v>
      </c>
      <c r="B723" s="304">
        <f t="shared" ca="1" si="326"/>
        <v>29.23370000000007</v>
      </c>
      <c r="D723" s="306">
        <f t="shared" ca="1" si="327"/>
        <v>-0.73123962916848206</v>
      </c>
      <c r="E723" s="307">
        <f t="shared" ca="1" si="328"/>
        <v>-1.3382285829466145</v>
      </c>
      <c r="F723" s="304">
        <f t="shared" ca="1" si="329"/>
        <v>1.5249810279087943</v>
      </c>
      <c r="G723" s="306">
        <f t="shared" ca="1" si="330"/>
        <v>9.2156689356504344</v>
      </c>
      <c r="H723" s="307">
        <f t="shared" ca="1" si="331"/>
        <v>-106.76904657496037</v>
      </c>
      <c r="I723" s="304">
        <f t="shared" ca="1" si="332"/>
        <v>107.16602941444444</v>
      </c>
      <c r="J723" s="306">
        <f t="shared" ca="1" si="333"/>
        <v>746.86410190403069</v>
      </c>
      <c r="K723" s="307">
        <f t="shared" ca="1" si="334"/>
        <v>-5.8446515519090338</v>
      </c>
      <c r="L723" s="304">
        <f t="shared" ca="1" si="319"/>
        <v>746.88697047456753</v>
      </c>
      <c r="M723" s="306">
        <f t="shared" ca="1" si="335"/>
        <v>-1.48469567254526</v>
      </c>
      <c r="N723" s="304">
        <f t="shared" ca="1" si="336"/>
        <v>-85.066795898180686</v>
      </c>
      <c r="P723" s="310">
        <f t="shared" ca="1" si="337"/>
        <v>23</v>
      </c>
      <c r="Q723" s="304">
        <f t="shared" ca="1" si="338"/>
        <v>0</v>
      </c>
      <c r="R723" s="306">
        <f t="shared" ca="1" si="339"/>
        <v>0</v>
      </c>
      <c r="S723" s="307">
        <f t="shared" ca="1" si="340"/>
        <v>5.083000000000002</v>
      </c>
      <c r="T723" s="304">
        <f t="shared" ca="1" si="320"/>
        <v>49.86423000000002</v>
      </c>
      <c r="U723" s="311">
        <f t="shared" ca="1" si="321"/>
        <v>0</v>
      </c>
      <c r="V723" s="306">
        <f t="shared" ca="1" si="322"/>
        <v>1.2257161791059752</v>
      </c>
      <c r="W723" s="304">
        <f t="shared" ca="1" si="323"/>
        <v>43.222276502001797</v>
      </c>
      <c r="Y723" s="314" t="str">
        <f t="shared" ca="1" si="341"/>
        <v/>
      </c>
      <c r="Z723" s="315" t="str">
        <f t="shared" ca="1" si="342"/>
        <v/>
      </c>
      <c r="AA723" s="316" t="str">
        <f t="shared" ca="1" si="343"/>
        <v/>
      </c>
      <c r="AC723" s="310" t="e">
        <f t="shared" ca="1" si="344"/>
        <v>#N/A</v>
      </c>
      <c r="AD723" s="323" t="e">
        <f t="shared" ca="1" si="345"/>
        <v>#N/A</v>
      </c>
      <c r="AE723" s="324" t="e">
        <f t="shared" ca="1" si="324"/>
        <v>#N/A</v>
      </c>
      <c r="AG723" s="306">
        <f t="shared" ca="1" si="346"/>
        <v>1.2703881737650313</v>
      </c>
      <c r="AH723" s="304">
        <f t="shared" ca="1" si="347"/>
        <v>-8.503271272755514</v>
      </c>
    </row>
    <row r="724" spans="1:34" x14ac:dyDescent="0.2">
      <c r="A724" s="347">
        <f t="shared" ca="1" si="325"/>
        <v>1E-4</v>
      </c>
      <c r="B724" s="304">
        <f t="shared" ca="1" si="326"/>
        <v>29.23380000000007</v>
      </c>
      <c r="D724" s="306">
        <f t="shared" ca="1" si="327"/>
        <v>-0.73123547458296156</v>
      </c>
      <c r="E724" s="307">
        <f t="shared" ca="1" si="328"/>
        <v>-1.3381988764822079</v>
      </c>
      <c r="F724" s="304">
        <f t="shared" ca="1" si="329"/>
        <v>1.5249529672441746</v>
      </c>
      <c r="G724" s="306">
        <f t="shared" ca="1" si="330"/>
        <v>9.2155958121029755</v>
      </c>
      <c r="H724" s="307">
        <f t="shared" ca="1" si="331"/>
        <v>-106.76918039484802</v>
      </c>
      <c r="I724" s="304">
        <f t="shared" ca="1" si="332"/>
        <v>107.16615645043751</v>
      </c>
      <c r="J724" s="306">
        <f t="shared" ca="1" si="333"/>
        <v>746.86410190403069</v>
      </c>
      <c r="K724" s="307">
        <f t="shared" ca="1" si="334"/>
        <v>-5.855328463257524</v>
      </c>
      <c r="L724" s="304">
        <f t="shared" ca="1" si="319"/>
        <v>746.88705410143973</v>
      </c>
      <c r="M724" s="306">
        <f t="shared" ca="1" si="335"/>
        <v>-1.4846964597379948</v>
      </c>
      <c r="N724" s="304">
        <f t="shared" ca="1" si="336"/>
        <v>-85.066841001002061</v>
      </c>
      <c r="P724" s="310">
        <f t="shared" ca="1" si="337"/>
        <v>23</v>
      </c>
      <c r="Q724" s="304">
        <f t="shared" ca="1" si="338"/>
        <v>0</v>
      </c>
      <c r="R724" s="306">
        <f t="shared" ca="1" si="339"/>
        <v>0</v>
      </c>
      <c r="S724" s="307">
        <f t="shared" ca="1" si="340"/>
        <v>5.083000000000002</v>
      </c>
      <c r="T724" s="304">
        <f t="shared" ca="1" si="320"/>
        <v>49.86423000000002</v>
      </c>
      <c r="U724" s="311">
        <f t="shared" ca="1" si="321"/>
        <v>0</v>
      </c>
      <c r="V724" s="306">
        <f t="shared" ca="1" si="322"/>
        <v>1.2257174877930841</v>
      </c>
      <c r="W724" s="304">
        <f t="shared" ca="1" si="323"/>
        <v>43.222425122729724</v>
      </c>
      <c r="Y724" s="314" t="str">
        <f t="shared" ca="1" si="341"/>
        <v/>
      </c>
      <c r="Z724" s="315" t="str">
        <f t="shared" ca="1" si="342"/>
        <v/>
      </c>
      <c r="AA724" s="316" t="str">
        <f t="shared" ca="1" si="343"/>
        <v/>
      </c>
      <c r="AC724" s="310" t="e">
        <f t="shared" ca="1" si="344"/>
        <v>#N/A</v>
      </c>
      <c r="AD724" s="323" t="e">
        <f t="shared" ca="1" si="345"/>
        <v>#N/A</v>
      </c>
      <c r="AE724" s="324" t="e">
        <f t="shared" ca="1" si="324"/>
        <v>#N/A</v>
      </c>
      <c r="AG724" s="306">
        <f t="shared" ca="1" si="346"/>
        <v>1.270359598706742</v>
      </c>
      <c r="AH724" s="304">
        <f t="shared" ca="1" si="347"/>
        <v>-8.5033005119027703</v>
      </c>
    </row>
    <row r="725" spans="1:34" x14ac:dyDescent="0.2">
      <c r="A725" s="347">
        <f t="shared" ca="1" si="325"/>
        <v>1E-4</v>
      </c>
      <c r="B725" s="304">
        <f t="shared" ca="1" si="326"/>
        <v>29.233900000000069</v>
      </c>
      <c r="D725" s="306">
        <f t="shared" ca="1" si="327"/>
        <v>-0.73123131998842494</v>
      </c>
      <c r="E725" s="307">
        <f t="shared" ca="1" si="328"/>
        <v>-1.3381691703891168</v>
      </c>
      <c r="F725" s="304">
        <f t="shared" ca="1" si="329"/>
        <v>1.5249249069747373</v>
      </c>
      <c r="G725" s="306">
        <f t="shared" ca="1" si="330"/>
        <v>9.2155226889709763</v>
      </c>
      <c r="H725" s="307">
        <f t="shared" ca="1" si="331"/>
        <v>-106.76931421176506</v>
      </c>
      <c r="I725" s="304">
        <f t="shared" ca="1" si="332"/>
        <v>107.16628348357311</v>
      </c>
      <c r="J725" s="306">
        <f t="shared" ca="1" si="333"/>
        <v>746.86410190403069</v>
      </c>
      <c r="K725" s="307">
        <f t="shared" ca="1" si="334"/>
        <v>-5.8660053879878546</v>
      </c>
      <c r="L725" s="304">
        <f t="shared" ca="1" si="319"/>
        <v>746.88713788103632</v>
      </c>
      <c r="M725" s="306">
        <f t="shared" ca="1" si="335"/>
        <v>-1.4846972469226172</v>
      </c>
      <c r="N725" s="304">
        <f t="shared" ca="1" si="336"/>
        <v>-85.066886103358613</v>
      </c>
      <c r="P725" s="310">
        <f t="shared" ca="1" si="337"/>
        <v>23</v>
      </c>
      <c r="Q725" s="304">
        <f t="shared" ca="1" si="338"/>
        <v>0</v>
      </c>
      <c r="R725" s="306">
        <f t="shared" ca="1" si="339"/>
        <v>0</v>
      </c>
      <c r="S725" s="307">
        <f t="shared" ca="1" si="340"/>
        <v>5.083000000000002</v>
      </c>
      <c r="T725" s="304">
        <f t="shared" ca="1" si="320"/>
        <v>49.86423000000002</v>
      </c>
      <c r="U725" s="311">
        <f t="shared" ca="1" si="321"/>
        <v>0</v>
      </c>
      <c r="V725" s="306">
        <f t="shared" ca="1" si="322"/>
        <v>1.2257187964832306</v>
      </c>
      <c r="W725" s="304">
        <f t="shared" ca="1" si="323"/>
        <v>43.222573741600094</v>
      </c>
      <c r="Y725" s="314" t="str">
        <f t="shared" ca="1" si="341"/>
        <v/>
      </c>
      <c r="Z725" s="315" t="str">
        <f t="shared" ca="1" si="342"/>
        <v/>
      </c>
      <c r="AA725" s="316" t="str">
        <f t="shared" ca="1" si="343"/>
        <v/>
      </c>
      <c r="AC725" s="310" t="e">
        <f t="shared" ca="1" si="344"/>
        <v>#N/A</v>
      </c>
      <c r="AD725" s="323" t="e">
        <f t="shared" ca="1" si="345"/>
        <v>#N/A</v>
      </c>
      <c r="AE725" s="324" t="e">
        <f t="shared" ca="1" si="324"/>
        <v>#N/A</v>
      </c>
      <c r="AG725" s="306">
        <f t="shared" ca="1" si="346"/>
        <v>1.2703310240010008</v>
      </c>
      <c r="AH725" s="304">
        <f t="shared" ca="1" si="347"/>
        <v>-8.5033297506845784</v>
      </c>
    </row>
    <row r="726" spans="1:34" x14ac:dyDescent="0.2">
      <c r="A726" s="347">
        <f t="shared" ca="1" si="325"/>
        <v>1E-4</v>
      </c>
      <c r="B726" s="304">
        <f t="shared" ca="1" si="326"/>
        <v>29.234000000000069</v>
      </c>
      <c r="D726" s="306">
        <f t="shared" ca="1" si="327"/>
        <v>-0.73122716538487409</v>
      </c>
      <c r="E726" s="307">
        <f t="shared" ca="1" si="328"/>
        <v>-1.338139464667341</v>
      </c>
      <c r="F726" s="304">
        <f t="shared" ca="1" si="329"/>
        <v>1.5248968471004838</v>
      </c>
      <c r="G726" s="306">
        <f t="shared" ca="1" si="330"/>
        <v>9.2154495662544385</v>
      </c>
      <c r="H726" s="307">
        <f t="shared" ca="1" si="331"/>
        <v>-106.76944802571153</v>
      </c>
      <c r="I726" s="304">
        <f t="shared" ca="1" si="332"/>
        <v>107.16641051385128</v>
      </c>
      <c r="J726" s="306">
        <f t="shared" ca="1" si="333"/>
        <v>746.86410190403069</v>
      </c>
      <c r="K726" s="307">
        <f t="shared" ca="1" si="334"/>
        <v>-5.8766823260997283</v>
      </c>
      <c r="L726" s="304">
        <f t="shared" ca="1" si="319"/>
        <v>746.887221813358</v>
      </c>
      <c r="M726" s="306">
        <f t="shared" ca="1" si="335"/>
        <v>-1.4846980340991272</v>
      </c>
      <c r="N726" s="304">
        <f t="shared" ca="1" si="336"/>
        <v>-85.06693120525037</v>
      </c>
      <c r="P726" s="310">
        <f t="shared" ca="1" si="337"/>
        <v>23</v>
      </c>
      <c r="Q726" s="304">
        <f t="shared" ca="1" si="338"/>
        <v>0</v>
      </c>
      <c r="R726" s="306">
        <f t="shared" ca="1" si="339"/>
        <v>0</v>
      </c>
      <c r="S726" s="307">
        <f t="shared" ca="1" si="340"/>
        <v>5.083000000000002</v>
      </c>
      <c r="T726" s="304">
        <f t="shared" ca="1" si="320"/>
        <v>49.86423000000002</v>
      </c>
      <c r="U726" s="311">
        <f t="shared" ca="1" si="321"/>
        <v>0</v>
      </c>
      <c r="V726" s="306">
        <f t="shared" ca="1" si="322"/>
        <v>1.2257201051764153</v>
      </c>
      <c r="W726" s="304">
        <f t="shared" ca="1" si="323"/>
        <v>43.222722358612934</v>
      </c>
      <c r="Y726" s="314" t="str">
        <f t="shared" ca="1" si="341"/>
        <v/>
      </c>
      <c r="Z726" s="315" t="str">
        <f t="shared" ca="1" si="342"/>
        <v/>
      </c>
      <c r="AA726" s="316" t="str">
        <f t="shared" ca="1" si="343"/>
        <v/>
      </c>
      <c r="AC726" s="310" t="e">
        <f t="shared" ca="1" si="344"/>
        <v>#N/A</v>
      </c>
      <c r="AD726" s="323" t="e">
        <f t="shared" ca="1" si="345"/>
        <v>#N/A</v>
      </c>
      <c r="AE726" s="324" t="e">
        <f t="shared" ca="1" si="324"/>
        <v>#N/A</v>
      </c>
      <c r="AG726" s="306">
        <f t="shared" ca="1" si="346"/>
        <v>1.2703024496478061</v>
      </c>
      <c r="AH726" s="304">
        <f t="shared" ca="1" si="347"/>
        <v>-8.5033589891009402</v>
      </c>
    </row>
    <row r="727" spans="1:34" x14ac:dyDescent="0.2">
      <c r="A727" s="347">
        <f t="shared" ca="1" si="325"/>
        <v>1E-4</v>
      </c>
      <c r="B727" s="304">
        <f t="shared" ca="1" si="326"/>
        <v>29.234100000000069</v>
      </c>
      <c r="D727" s="306">
        <f t="shared" ca="1" si="327"/>
        <v>-0.731223010772311</v>
      </c>
      <c r="E727" s="307">
        <f t="shared" ca="1" si="328"/>
        <v>-1.3381097593168754</v>
      </c>
      <c r="F727" s="304">
        <f t="shared" ca="1" si="329"/>
        <v>1.5248687876214102</v>
      </c>
      <c r="G727" s="306">
        <f t="shared" ca="1" si="330"/>
        <v>9.2153764439533621</v>
      </c>
      <c r="H727" s="307">
        <f t="shared" ca="1" si="331"/>
        <v>-106.76958183668746</v>
      </c>
      <c r="I727" s="304">
        <f t="shared" ca="1" si="332"/>
        <v>107.16653754127205</v>
      </c>
      <c r="J727" s="306">
        <f t="shared" ca="1" si="333"/>
        <v>746.86410190403069</v>
      </c>
      <c r="K727" s="307">
        <f t="shared" ca="1" si="334"/>
        <v>-5.8873592775928483</v>
      </c>
      <c r="L727" s="304">
        <f t="shared" ca="1" si="319"/>
        <v>746.88730589840509</v>
      </c>
      <c r="M727" s="306">
        <f t="shared" ca="1" si="335"/>
        <v>-1.4846988212675249</v>
      </c>
      <c r="N727" s="304">
        <f t="shared" ca="1" si="336"/>
        <v>-85.066976306677333</v>
      </c>
      <c r="P727" s="310">
        <f t="shared" ca="1" si="337"/>
        <v>23</v>
      </c>
      <c r="Q727" s="304">
        <f t="shared" ca="1" si="338"/>
        <v>0</v>
      </c>
      <c r="R727" s="306">
        <f t="shared" ca="1" si="339"/>
        <v>0</v>
      </c>
      <c r="S727" s="307">
        <f t="shared" ca="1" si="340"/>
        <v>5.083000000000002</v>
      </c>
      <c r="T727" s="304">
        <f t="shared" ca="1" si="320"/>
        <v>49.86423000000002</v>
      </c>
      <c r="U727" s="311">
        <f t="shared" ca="1" si="321"/>
        <v>0</v>
      </c>
      <c r="V727" s="306">
        <f t="shared" ca="1" si="322"/>
        <v>1.225721413872638</v>
      </c>
      <c r="W727" s="304">
        <f t="shared" ca="1" si="323"/>
        <v>43.222870973768281</v>
      </c>
      <c r="Y727" s="314" t="str">
        <f t="shared" ca="1" si="341"/>
        <v/>
      </c>
      <c r="Z727" s="315" t="str">
        <f t="shared" ca="1" si="342"/>
        <v/>
      </c>
      <c r="AA727" s="316" t="str">
        <f t="shared" ca="1" si="343"/>
        <v/>
      </c>
      <c r="AC727" s="310" t="e">
        <f t="shared" ca="1" si="344"/>
        <v>#N/A</v>
      </c>
      <c r="AD727" s="323" t="e">
        <f t="shared" ca="1" si="345"/>
        <v>#N/A</v>
      </c>
      <c r="AE727" s="324" t="e">
        <f t="shared" ca="1" si="324"/>
        <v>#N/A</v>
      </c>
      <c r="AG727" s="306">
        <f t="shared" ca="1" si="346"/>
        <v>1.2702738756471526</v>
      </c>
      <c r="AH727" s="304">
        <f t="shared" ca="1" si="347"/>
        <v>-8.5033882271518628</v>
      </c>
    </row>
    <row r="728" spans="1:34" x14ac:dyDescent="0.2">
      <c r="A728" s="347">
        <f t="shared" ca="1" si="325"/>
        <v>1E-4</v>
      </c>
      <c r="B728" s="304">
        <f t="shared" ca="1" si="326"/>
        <v>29.234200000000069</v>
      </c>
      <c r="D728" s="306">
        <f t="shared" ca="1" si="327"/>
        <v>-0.73121885615073601</v>
      </c>
      <c r="E728" s="307">
        <f t="shared" ca="1" si="328"/>
        <v>-1.3380800543377109</v>
      </c>
      <c r="F728" s="304">
        <f t="shared" ca="1" si="329"/>
        <v>1.5248407285375094</v>
      </c>
      <c r="G728" s="306">
        <f t="shared" ca="1" si="330"/>
        <v>9.2153033220677472</v>
      </c>
      <c r="H728" s="307">
        <f t="shared" ca="1" si="331"/>
        <v>-106.76971564469289</v>
      </c>
      <c r="I728" s="304">
        <f t="shared" ca="1" si="332"/>
        <v>107.16666456583545</v>
      </c>
      <c r="J728" s="306">
        <f t="shared" ca="1" si="333"/>
        <v>746.86410190403069</v>
      </c>
      <c r="K728" s="307">
        <f t="shared" ca="1" si="334"/>
        <v>-5.898036242466917</v>
      </c>
      <c r="L728" s="304">
        <f t="shared" ca="1" si="319"/>
        <v>746.88739013617828</v>
      </c>
      <c r="M728" s="306">
        <f t="shared" ca="1" si="335"/>
        <v>-1.4846996084278108</v>
      </c>
      <c r="N728" s="304">
        <f t="shared" ca="1" si="336"/>
        <v>-85.067021407639515</v>
      </c>
      <c r="P728" s="310">
        <f t="shared" ca="1" si="337"/>
        <v>23</v>
      </c>
      <c r="Q728" s="304">
        <f t="shared" ca="1" si="338"/>
        <v>0</v>
      </c>
      <c r="R728" s="306">
        <f t="shared" ca="1" si="339"/>
        <v>0</v>
      </c>
      <c r="S728" s="307">
        <f t="shared" ca="1" si="340"/>
        <v>5.083000000000002</v>
      </c>
      <c r="T728" s="304">
        <f t="shared" ca="1" si="320"/>
        <v>49.86423000000002</v>
      </c>
      <c r="U728" s="311">
        <f t="shared" ca="1" si="321"/>
        <v>0</v>
      </c>
      <c r="V728" s="306">
        <f t="shared" ca="1" si="322"/>
        <v>1.2257227225718985</v>
      </c>
      <c r="W728" s="304">
        <f t="shared" ca="1" si="323"/>
        <v>43.223019587066098</v>
      </c>
      <c r="Y728" s="314" t="str">
        <f t="shared" ca="1" si="341"/>
        <v/>
      </c>
      <c r="Z728" s="315" t="str">
        <f t="shared" ca="1" si="342"/>
        <v/>
      </c>
      <c r="AA728" s="316" t="str">
        <f t="shared" ca="1" si="343"/>
        <v/>
      </c>
      <c r="AC728" s="310" t="e">
        <f t="shared" ca="1" si="344"/>
        <v>#N/A</v>
      </c>
      <c r="AD728" s="323" t="e">
        <f t="shared" ca="1" si="345"/>
        <v>#N/A</v>
      </c>
      <c r="AE728" s="324" t="e">
        <f t="shared" ca="1" si="324"/>
        <v>#N/A</v>
      </c>
      <c r="AG728" s="306">
        <f t="shared" ca="1" si="346"/>
        <v>1.2702453019990294</v>
      </c>
      <c r="AH728" s="304">
        <f t="shared" ca="1" si="347"/>
        <v>-8.5034174648373533</v>
      </c>
    </row>
    <row r="729" spans="1:34" x14ac:dyDescent="0.2">
      <c r="A729" s="347">
        <f t="shared" ca="1" si="325"/>
        <v>1E-4</v>
      </c>
      <c r="B729" s="304">
        <f t="shared" ca="1" si="326"/>
        <v>29.234300000000069</v>
      </c>
      <c r="D729" s="306">
        <f t="shared" ca="1" si="327"/>
        <v>-0.73121470152014822</v>
      </c>
      <c r="E729" s="307">
        <f t="shared" ca="1" si="328"/>
        <v>-1.3380503497298566</v>
      </c>
      <c r="F729" s="304">
        <f t="shared" ca="1" si="329"/>
        <v>1.5248126698487887</v>
      </c>
      <c r="G729" s="306">
        <f t="shared" ca="1" si="330"/>
        <v>9.2152302005975955</v>
      </c>
      <c r="H729" s="307">
        <f t="shared" ca="1" si="331"/>
        <v>-106.76984944972787</v>
      </c>
      <c r="I729" s="304">
        <f t="shared" ca="1" si="332"/>
        <v>107.16679158754154</v>
      </c>
      <c r="J729" s="306">
        <f t="shared" ca="1" si="333"/>
        <v>746.86410190403069</v>
      </c>
      <c r="K729" s="307">
        <f t="shared" ca="1" si="334"/>
        <v>-5.908713220721638</v>
      </c>
      <c r="L729" s="304">
        <f t="shared" ca="1" si="319"/>
        <v>746.88747452667792</v>
      </c>
      <c r="M729" s="306">
        <f t="shared" ca="1" si="335"/>
        <v>-1.4847003955799847</v>
      </c>
      <c r="N729" s="304">
        <f t="shared" ca="1" si="336"/>
        <v>-85.067066508136904</v>
      </c>
      <c r="P729" s="310">
        <f t="shared" ca="1" si="337"/>
        <v>23</v>
      </c>
      <c r="Q729" s="304">
        <f t="shared" ca="1" si="338"/>
        <v>0</v>
      </c>
      <c r="R729" s="306">
        <f t="shared" ca="1" si="339"/>
        <v>0</v>
      </c>
      <c r="S729" s="307">
        <f t="shared" ca="1" si="340"/>
        <v>5.083000000000002</v>
      </c>
      <c r="T729" s="304">
        <f t="shared" ca="1" si="320"/>
        <v>49.86423000000002</v>
      </c>
      <c r="U729" s="311">
        <f t="shared" ca="1" si="321"/>
        <v>0</v>
      </c>
      <c r="V729" s="306">
        <f t="shared" ca="1" si="322"/>
        <v>1.2257240312741964</v>
      </c>
      <c r="W729" s="304">
        <f t="shared" ca="1" si="323"/>
        <v>43.223168198506428</v>
      </c>
      <c r="Y729" s="314" t="str">
        <f t="shared" ca="1" si="341"/>
        <v/>
      </c>
      <c r="Z729" s="315" t="str">
        <f t="shared" ca="1" si="342"/>
        <v/>
      </c>
      <c r="AA729" s="316" t="str">
        <f t="shared" ca="1" si="343"/>
        <v/>
      </c>
      <c r="AC729" s="310" t="e">
        <f t="shared" ca="1" si="344"/>
        <v>#N/A</v>
      </c>
      <c r="AD729" s="323" t="e">
        <f t="shared" ca="1" si="345"/>
        <v>#N/A</v>
      </c>
      <c r="AE729" s="324" t="e">
        <f t="shared" ca="1" si="324"/>
        <v>#N/A</v>
      </c>
      <c r="AG729" s="306">
        <f t="shared" ca="1" si="346"/>
        <v>1.2702167287034474</v>
      </c>
      <c r="AH729" s="304">
        <f t="shared" ca="1" si="347"/>
        <v>-8.5034467021574027</v>
      </c>
    </row>
    <row r="730" spans="1:34" x14ac:dyDescent="0.2">
      <c r="A730" s="347">
        <f t="shared" ca="1" si="325"/>
        <v>1E-4</v>
      </c>
      <c r="B730" s="304">
        <f t="shared" ca="1" si="326"/>
        <v>29.234400000000068</v>
      </c>
      <c r="D730" s="306">
        <f t="shared" ca="1" si="327"/>
        <v>-0.73121054688055021</v>
      </c>
      <c r="E730" s="307">
        <f t="shared" ca="1" si="328"/>
        <v>-1.3380206454933017</v>
      </c>
      <c r="F730" s="304">
        <f t="shared" ca="1" si="329"/>
        <v>1.5247846115552404</v>
      </c>
      <c r="G730" s="306">
        <f t="shared" ca="1" si="330"/>
        <v>9.215157079542907</v>
      </c>
      <c r="H730" s="307">
        <f t="shared" ca="1" si="331"/>
        <v>-106.76998325179242</v>
      </c>
      <c r="I730" s="304">
        <f t="shared" ca="1" si="332"/>
        <v>107.16691860639031</v>
      </c>
      <c r="J730" s="306">
        <f t="shared" ca="1" si="333"/>
        <v>746.86410190403069</v>
      </c>
      <c r="K730" s="307">
        <f t="shared" ca="1" si="334"/>
        <v>-5.9193902123567144</v>
      </c>
      <c r="L730" s="304">
        <f t="shared" ca="1" si="319"/>
        <v>746.88755906990468</v>
      </c>
      <c r="M730" s="306">
        <f t="shared" ca="1" si="335"/>
        <v>-1.4847011827240468</v>
      </c>
      <c r="N730" s="304">
        <f t="shared" ca="1" si="336"/>
        <v>-85.06711160816954</v>
      </c>
      <c r="P730" s="310">
        <f t="shared" ca="1" si="337"/>
        <v>23</v>
      </c>
      <c r="Q730" s="304">
        <f t="shared" ca="1" si="338"/>
        <v>0</v>
      </c>
      <c r="R730" s="306">
        <f t="shared" ca="1" si="339"/>
        <v>0</v>
      </c>
      <c r="S730" s="307">
        <f t="shared" ca="1" si="340"/>
        <v>5.083000000000002</v>
      </c>
      <c r="T730" s="304">
        <f t="shared" ca="1" si="320"/>
        <v>49.86423000000002</v>
      </c>
      <c r="U730" s="311">
        <f t="shared" ca="1" si="321"/>
        <v>0</v>
      </c>
      <c r="V730" s="306">
        <f t="shared" ca="1" si="322"/>
        <v>1.2257253399795325</v>
      </c>
      <c r="W730" s="304">
        <f t="shared" ca="1" si="323"/>
        <v>43.223316808089265</v>
      </c>
      <c r="Y730" s="314" t="str">
        <f t="shared" ca="1" si="341"/>
        <v/>
      </c>
      <c r="Z730" s="315" t="str">
        <f t="shared" ca="1" si="342"/>
        <v/>
      </c>
      <c r="AA730" s="316" t="str">
        <f t="shared" ca="1" si="343"/>
        <v/>
      </c>
      <c r="AC730" s="310" t="e">
        <f t="shared" ca="1" si="344"/>
        <v>#N/A</v>
      </c>
      <c r="AD730" s="323" t="e">
        <f t="shared" ca="1" si="345"/>
        <v>#N/A</v>
      </c>
      <c r="AE730" s="324" t="e">
        <f t="shared" ca="1" si="324"/>
        <v>#N/A</v>
      </c>
      <c r="AG730" s="306">
        <f t="shared" ca="1" si="346"/>
        <v>1.2701881557603976</v>
      </c>
      <c r="AH730" s="304">
        <f t="shared" ca="1" si="347"/>
        <v>-8.5034759391120236</v>
      </c>
    </row>
    <row r="731" spans="1:34" x14ac:dyDescent="0.2">
      <c r="A731" s="347">
        <f t="shared" ca="1" si="325"/>
        <v>1E-4</v>
      </c>
      <c r="B731" s="304">
        <f t="shared" ca="1" si="326"/>
        <v>29.234500000000068</v>
      </c>
      <c r="D731" s="306">
        <f t="shared" ca="1" si="327"/>
        <v>-0.73120639223194106</v>
      </c>
      <c r="E731" s="307">
        <f t="shared" ca="1" si="328"/>
        <v>-1.3379909416280498</v>
      </c>
      <c r="F731" s="304">
        <f t="shared" ca="1" si="329"/>
        <v>1.524756553656867</v>
      </c>
      <c r="G731" s="306">
        <f t="shared" ca="1" si="330"/>
        <v>9.2150839589036835</v>
      </c>
      <c r="H731" s="307">
        <f t="shared" ca="1" si="331"/>
        <v>-106.77011705088658</v>
      </c>
      <c r="I731" s="304">
        <f t="shared" ca="1" si="332"/>
        <v>107.16704562238182</v>
      </c>
      <c r="J731" s="306">
        <f t="shared" ca="1" si="333"/>
        <v>746.86410190403069</v>
      </c>
      <c r="K731" s="307">
        <f t="shared" ca="1" si="334"/>
        <v>-5.9300672173718487</v>
      </c>
      <c r="L731" s="304">
        <f t="shared" ca="1" si="319"/>
        <v>746.88764376585914</v>
      </c>
      <c r="M731" s="306">
        <f t="shared" ca="1" si="335"/>
        <v>-1.4847019698599973</v>
      </c>
      <c r="N731" s="304">
        <f t="shared" ca="1" si="336"/>
        <v>-85.067156707737396</v>
      </c>
      <c r="P731" s="310">
        <f t="shared" ca="1" si="337"/>
        <v>23</v>
      </c>
      <c r="Q731" s="304">
        <f t="shared" ca="1" si="338"/>
        <v>0</v>
      </c>
      <c r="R731" s="306">
        <f t="shared" ca="1" si="339"/>
        <v>0</v>
      </c>
      <c r="S731" s="307">
        <f t="shared" ca="1" si="340"/>
        <v>5.083000000000002</v>
      </c>
      <c r="T731" s="304">
        <f t="shared" ca="1" si="320"/>
        <v>49.86423000000002</v>
      </c>
      <c r="U731" s="311">
        <f t="shared" ca="1" si="321"/>
        <v>0</v>
      </c>
      <c r="V731" s="306">
        <f t="shared" ca="1" si="322"/>
        <v>1.2257266486879062</v>
      </c>
      <c r="W731" s="304">
        <f t="shared" ca="1" si="323"/>
        <v>43.22346541581463</v>
      </c>
      <c r="Y731" s="314" t="str">
        <f t="shared" ca="1" si="341"/>
        <v/>
      </c>
      <c r="Z731" s="315" t="str">
        <f t="shared" ca="1" si="342"/>
        <v/>
      </c>
      <c r="AA731" s="316" t="str">
        <f t="shared" ca="1" si="343"/>
        <v/>
      </c>
      <c r="AC731" s="310" t="e">
        <f t="shared" ca="1" si="344"/>
        <v>#N/A</v>
      </c>
      <c r="AD731" s="323" t="e">
        <f t="shared" ca="1" si="345"/>
        <v>#N/A</v>
      </c>
      <c r="AE731" s="324" t="e">
        <f t="shared" ca="1" si="324"/>
        <v>#N/A</v>
      </c>
      <c r="AG731" s="306">
        <f t="shared" ca="1" si="346"/>
        <v>1.2701595831698835</v>
      </c>
      <c r="AH731" s="304">
        <f t="shared" ca="1" si="347"/>
        <v>-8.5035051757012088</v>
      </c>
    </row>
    <row r="732" spans="1:34" x14ac:dyDescent="0.2">
      <c r="A732" s="347">
        <f t="shared" ca="1" si="325"/>
        <v>1E-4</v>
      </c>
      <c r="B732" s="304">
        <f t="shared" ca="1" si="326"/>
        <v>29.234600000000068</v>
      </c>
      <c r="D732" s="306">
        <f t="shared" ca="1" si="327"/>
        <v>-0.73120223757432323</v>
      </c>
      <c r="E732" s="307">
        <f t="shared" ca="1" si="328"/>
        <v>-1.337961238134092</v>
      </c>
      <c r="F732" s="304">
        <f t="shared" ca="1" si="329"/>
        <v>1.5247284961536625</v>
      </c>
      <c r="G732" s="306">
        <f t="shared" ca="1" si="330"/>
        <v>9.2150108386799268</v>
      </c>
      <c r="H732" s="307">
        <f t="shared" ca="1" si="331"/>
        <v>-106.7702508470104</v>
      </c>
      <c r="I732" s="304">
        <f t="shared" ca="1" si="332"/>
        <v>107.16717263551611</v>
      </c>
      <c r="J732" s="306">
        <f t="shared" ca="1" si="333"/>
        <v>746.86410190403069</v>
      </c>
      <c r="K732" s="307">
        <f t="shared" ca="1" si="334"/>
        <v>-5.9407442357667435</v>
      </c>
      <c r="L732" s="304">
        <f t="shared" ca="1" si="319"/>
        <v>746.88772861454152</v>
      </c>
      <c r="M732" s="306">
        <f t="shared" ca="1" si="335"/>
        <v>-1.4847027569878359</v>
      </c>
      <c r="N732" s="304">
        <f t="shared" ca="1" si="336"/>
        <v>-85.067201806840487</v>
      </c>
      <c r="P732" s="310">
        <f t="shared" ca="1" si="337"/>
        <v>23</v>
      </c>
      <c r="Q732" s="304">
        <f t="shared" ca="1" si="338"/>
        <v>0</v>
      </c>
      <c r="R732" s="306">
        <f t="shared" ca="1" si="339"/>
        <v>0</v>
      </c>
      <c r="S732" s="307">
        <f t="shared" ca="1" si="340"/>
        <v>5.083000000000002</v>
      </c>
      <c r="T732" s="304">
        <f t="shared" ca="1" si="320"/>
        <v>49.86423000000002</v>
      </c>
      <c r="U732" s="311">
        <f t="shared" ca="1" si="321"/>
        <v>0</v>
      </c>
      <c r="V732" s="306">
        <f t="shared" ca="1" si="322"/>
        <v>1.2257279573993176</v>
      </c>
      <c r="W732" s="304">
        <f t="shared" ca="1" si="323"/>
        <v>43.223614021682543</v>
      </c>
      <c r="Y732" s="314" t="str">
        <f t="shared" ca="1" si="341"/>
        <v/>
      </c>
      <c r="Z732" s="315" t="str">
        <f t="shared" ca="1" si="342"/>
        <v/>
      </c>
      <c r="AA732" s="316" t="str">
        <f t="shared" ca="1" si="343"/>
        <v/>
      </c>
      <c r="AC732" s="310" t="e">
        <f t="shared" ca="1" si="344"/>
        <v>#N/A</v>
      </c>
      <c r="AD732" s="323" t="e">
        <f t="shared" ca="1" si="345"/>
        <v>#N/A</v>
      </c>
      <c r="AE732" s="324" t="e">
        <f t="shared" ca="1" si="324"/>
        <v>#N/A</v>
      </c>
      <c r="AG732" s="306">
        <f t="shared" ca="1" si="346"/>
        <v>1.2701310109318964</v>
      </c>
      <c r="AH732" s="304">
        <f t="shared" ca="1" si="347"/>
        <v>-8.5035344119249689</v>
      </c>
    </row>
    <row r="733" spans="1:34" x14ac:dyDescent="0.2">
      <c r="A733" s="347">
        <f t="shared" ca="1" si="325"/>
        <v>1E-4</v>
      </c>
      <c r="B733" s="304">
        <f t="shared" ca="1" si="326"/>
        <v>29.234700000000068</v>
      </c>
      <c r="D733" s="306">
        <f t="shared" ca="1" si="327"/>
        <v>-0.73119808290769817</v>
      </c>
      <c r="E733" s="307">
        <f t="shared" ca="1" si="328"/>
        <v>-1.3379315350114318</v>
      </c>
      <c r="F733" s="304">
        <f t="shared" ca="1" si="329"/>
        <v>1.5247004390456309</v>
      </c>
      <c r="G733" s="306">
        <f t="shared" ca="1" si="330"/>
        <v>9.2149377188716368</v>
      </c>
      <c r="H733" s="307">
        <f t="shared" ca="1" si="331"/>
        <v>-106.7703846401639</v>
      </c>
      <c r="I733" s="304">
        <f t="shared" ca="1" si="332"/>
        <v>107.16729964579321</v>
      </c>
      <c r="J733" s="306">
        <f t="shared" ca="1" si="333"/>
        <v>746.86410190403069</v>
      </c>
      <c r="K733" s="307">
        <f t="shared" ca="1" si="334"/>
        <v>-5.951421267541102</v>
      </c>
      <c r="L733" s="304">
        <f t="shared" ca="1" si="319"/>
        <v>746.88781361595261</v>
      </c>
      <c r="M733" s="306">
        <f t="shared" ca="1" si="335"/>
        <v>-1.4847035441075631</v>
      </c>
      <c r="N733" s="304">
        <f t="shared" ca="1" si="336"/>
        <v>-85.067246905478825</v>
      </c>
      <c r="P733" s="310">
        <f t="shared" ca="1" si="337"/>
        <v>23</v>
      </c>
      <c r="Q733" s="304">
        <f t="shared" ca="1" si="338"/>
        <v>0</v>
      </c>
      <c r="R733" s="306">
        <f t="shared" ca="1" si="339"/>
        <v>0</v>
      </c>
      <c r="S733" s="307">
        <f t="shared" ca="1" si="340"/>
        <v>5.083000000000002</v>
      </c>
      <c r="T733" s="304">
        <f t="shared" ca="1" si="320"/>
        <v>49.86423000000002</v>
      </c>
      <c r="U733" s="311">
        <f t="shared" ca="1" si="321"/>
        <v>0</v>
      </c>
      <c r="V733" s="306">
        <f t="shared" ca="1" si="322"/>
        <v>1.2257292661137669</v>
      </c>
      <c r="W733" s="304">
        <f t="shared" ca="1" si="323"/>
        <v>43.223762625693013</v>
      </c>
      <c r="Y733" s="314" t="str">
        <f t="shared" ca="1" si="341"/>
        <v/>
      </c>
      <c r="Z733" s="315" t="str">
        <f t="shared" ca="1" si="342"/>
        <v/>
      </c>
      <c r="AA733" s="316" t="str">
        <f t="shared" ca="1" si="343"/>
        <v/>
      </c>
      <c r="AC733" s="310" t="e">
        <f t="shared" ca="1" si="344"/>
        <v>#N/A</v>
      </c>
      <c r="AD733" s="323" t="e">
        <f t="shared" ca="1" si="345"/>
        <v>#N/A</v>
      </c>
      <c r="AE733" s="324" t="e">
        <f t="shared" ca="1" si="324"/>
        <v>#N/A</v>
      </c>
      <c r="AG733" s="306">
        <f t="shared" ca="1" si="346"/>
        <v>1.2701024390464397</v>
      </c>
      <c r="AH733" s="304">
        <f t="shared" ca="1" si="347"/>
        <v>-8.5035636477833023</v>
      </c>
    </row>
    <row r="734" spans="1:34" x14ac:dyDescent="0.2">
      <c r="A734" s="347">
        <f t="shared" ca="1" si="325"/>
        <v>1E-4</v>
      </c>
      <c r="B734" s="304">
        <f t="shared" ca="1" si="326"/>
        <v>29.234800000000067</v>
      </c>
      <c r="D734" s="306">
        <f t="shared" ca="1" si="327"/>
        <v>-0.73119392823206597</v>
      </c>
      <c r="E734" s="307">
        <f t="shared" ca="1" si="328"/>
        <v>-1.3379018322600604</v>
      </c>
      <c r="F734" s="304">
        <f t="shared" ca="1" si="329"/>
        <v>1.5246723823327641</v>
      </c>
      <c r="G734" s="306">
        <f t="shared" ca="1" si="330"/>
        <v>9.2148645994788136</v>
      </c>
      <c r="H734" s="307">
        <f t="shared" ca="1" si="331"/>
        <v>-106.77051843034712</v>
      </c>
      <c r="I734" s="304">
        <f t="shared" ca="1" si="332"/>
        <v>107.16742665321316</v>
      </c>
      <c r="J734" s="306">
        <f t="shared" ca="1" si="333"/>
        <v>746.86410190403069</v>
      </c>
      <c r="K734" s="307">
        <f t="shared" ca="1" si="334"/>
        <v>-5.9620983126946276</v>
      </c>
      <c r="L734" s="304">
        <f t="shared" ca="1" si="319"/>
        <v>746.88789877009287</v>
      </c>
      <c r="M734" s="306">
        <f t="shared" ca="1" si="335"/>
        <v>-1.484704331219179</v>
      </c>
      <c r="N734" s="304">
        <f t="shared" ca="1" si="336"/>
        <v>-85.067292003652426</v>
      </c>
      <c r="P734" s="310">
        <f t="shared" ca="1" si="337"/>
        <v>23</v>
      </c>
      <c r="Q734" s="304">
        <f t="shared" ca="1" si="338"/>
        <v>0</v>
      </c>
      <c r="R734" s="306">
        <f t="shared" ca="1" si="339"/>
        <v>0</v>
      </c>
      <c r="S734" s="307">
        <f t="shared" ca="1" si="340"/>
        <v>5.083000000000002</v>
      </c>
      <c r="T734" s="304">
        <f t="shared" ca="1" si="320"/>
        <v>49.86423000000002</v>
      </c>
      <c r="U734" s="311">
        <f t="shared" ca="1" si="321"/>
        <v>0</v>
      </c>
      <c r="V734" s="306">
        <f t="shared" ca="1" si="322"/>
        <v>1.2257305748312537</v>
      </c>
      <c r="W734" s="304">
        <f t="shared" ca="1" si="323"/>
        <v>43.223911227846045</v>
      </c>
      <c r="Y734" s="314" t="str">
        <f t="shared" ca="1" si="341"/>
        <v/>
      </c>
      <c r="Z734" s="315" t="str">
        <f t="shared" ca="1" si="342"/>
        <v/>
      </c>
      <c r="AA734" s="316" t="str">
        <f t="shared" ca="1" si="343"/>
        <v/>
      </c>
      <c r="AC734" s="310" t="e">
        <f t="shared" ca="1" si="344"/>
        <v>#N/A</v>
      </c>
      <c r="AD734" s="323" t="e">
        <f t="shared" ca="1" si="345"/>
        <v>#N/A</v>
      </c>
      <c r="AE734" s="324" t="e">
        <f t="shared" ca="1" si="324"/>
        <v>#N/A</v>
      </c>
      <c r="AG734" s="306">
        <f t="shared" ca="1" si="346"/>
        <v>1.2700738675135046</v>
      </c>
      <c r="AH734" s="304">
        <f t="shared" ca="1" si="347"/>
        <v>-8.5035928832762142</v>
      </c>
    </row>
    <row r="735" spans="1:34" x14ac:dyDescent="0.2">
      <c r="A735" s="347">
        <f t="shared" ca="1" si="325"/>
        <v>1E-4</v>
      </c>
      <c r="B735" s="304">
        <f t="shared" ca="1" si="326"/>
        <v>29.234900000000067</v>
      </c>
      <c r="D735" s="306">
        <f t="shared" ca="1" si="327"/>
        <v>-0.73118977354742654</v>
      </c>
      <c r="E735" s="307">
        <f t="shared" ca="1" si="328"/>
        <v>-1.3378721298799814</v>
      </c>
      <c r="F735" s="304">
        <f t="shared" ca="1" si="329"/>
        <v>1.5246443260150659</v>
      </c>
      <c r="G735" s="306">
        <f t="shared" ca="1" si="330"/>
        <v>9.214791480501459</v>
      </c>
      <c r="H735" s="307">
        <f t="shared" ca="1" si="331"/>
        <v>-106.77065221756011</v>
      </c>
      <c r="I735" s="304">
        <f t="shared" ca="1" si="332"/>
        <v>107.167553657776</v>
      </c>
      <c r="J735" s="306">
        <f t="shared" ca="1" si="333"/>
        <v>746.86410190403069</v>
      </c>
      <c r="K735" s="307">
        <f t="shared" ca="1" si="334"/>
        <v>-5.9727753712270228</v>
      </c>
      <c r="L735" s="304">
        <f t="shared" ca="1" si="319"/>
        <v>746.88798407696277</v>
      </c>
      <c r="M735" s="306">
        <f t="shared" ca="1" si="335"/>
        <v>-1.4847051183226836</v>
      </c>
      <c r="N735" s="304">
        <f t="shared" ca="1" si="336"/>
        <v>-85.067337101361275</v>
      </c>
      <c r="P735" s="310">
        <f t="shared" ca="1" si="337"/>
        <v>23</v>
      </c>
      <c r="Q735" s="304">
        <f t="shared" ca="1" si="338"/>
        <v>0</v>
      </c>
      <c r="R735" s="306">
        <f t="shared" ca="1" si="339"/>
        <v>0</v>
      </c>
      <c r="S735" s="307">
        <f t="shared" ca="1" si="340"/>
        <v>5.083000000000002</v>
      </c>
      <c r="T735" s="304">
        <f t="shared" ca="1" si="320"/>
        <v>49.86423000000002</v>
      </c>
      <c r="U735" s="311">
        <f t="shared" ca="1" si="321"/>
        <v>0</v>
      </c>
      <c r="V735" s="306">
        <f t="shared" ca="1" si="322"/>
        <v>1.2257318835517783</v>
      </c>
      <c r="W735" s="304">
        <f t="shared" ca="1" si="323"/>
        <v>43.224059828141691</v>
      </c>
      <c r="Y735" s="314" t="str">
        <f t="shared" ca="1" si="341"/>
        <v/>
      </c>
      <c r="Z735" s="315" t="str">
        <f t="shared" ca="1" si="342"/>
        <v/>
      </c>
      <c r="AA735" s="316" t="str">
        <f t="shared" ca="1" si="343"/>
        <v/>
      </c>
      <c r="AC735" s="310" t="e">
        <f t="shared" ca="1" si="344"/>
        <v>#N/A</v>
      </c>
      <c r="AD735" s="323" t="e">
        <f t="shared" ca="1" si="345"/>
        <v>#N/A</v>
      </c>
      <c r="AE735" s="324" t="e">
        <f t="shared" ca="1" si="324"/>
        <v>#N/A</v>
      </c>
      <c r="AG735" s="306">
        <f t="shared" ca="1" si="346"/>
        <v>1.2700452963330946</v>
      </c>
      <c r="AH735" s="304">
        <f t="shared" ca="1" si="347"/>
        <v>-8.5036221184037046</v>
      </c>
    </row>
    <row r="736" spans="1:34" x14ac:dyDescent="0.2">
      <c r="A736" s="347">
        <f t="shared" ca="1" si="325"/>
        <v>1E-4</v>
      </c>
      <c r="B736" s="304">
        <f t="shared" ca="1" si="326"/>
        <v>29.235000000000067</v>
      </c>
      <c r="D736" s="306">
        <f t="shared" ca="1" si="327"/>
        <v>-0.73118561885378208</v>
      </c>
      <c r="E736" s="307">
        <f t="shared" ca="1" si="328"/>
        <v>-1.337842427871184</v>
      </c>
      <c r="F736" s="304">
        <f t="shared" ca="1" si="329"/>
        <v>1.5246162700925281</v>
      </c>
      <c r="G736" s="306">
        <f t="shared" ca="1" si="330"/>
        <v>9.2147183619395729</v>
      </c>
      <c r="H736" s="307">
        <f t="shared" ca="1" si="331"/>
        <v>-106.7707860018029</v>
      </c>
      <c r="I736" s="304">
        <f t="shared" ca="1" si="332"/>
        <v>107.16768065948175</v>
      </c>
      <c r="J736" s="306">
        <f t="shared" ca="1" si="333"/>
        <v>746.86410190403069</v>
      </c>
      <c r="K736" s="307">
        <f t="shared" ca="1" si="334"/>
        <v>-5.983452443137991</v>
      </c>
      <c r="L736" s="304">
        <f t="shared" ca="1" si="319"/>
        <v>746.88806953656297</v>
      </c>
      <c r="M736" s="306">
        <f t="shared" ca="1" si="335"/>
        <v>-1.4847059054180771</v>
      </c>
      <c r="N736" s="304">
        <f t="shared" ca="1" si="336"/>
        <v>-85.067382198605401</v>
      </c>
      <c r="P736" s="310">
        <f t="shared" ca="1" si="337"/>
        <v>23</v>
      </c>
      <c r="Q736" s="304">
        <f t="shared" ca="1" si="338"/>
        <v>0</v>
      </c>
      <c r="R736" s="306">
        <f t="shared" ca="1" si="339"/>
        <v>0</v>
      </c>
      <c r="S736" s="307">
        <f t="shared" ca="1" si="340"/>
        <v>5.083000000000002</v>
      </c>
      <c r="T736" s="304">
        <f t="shared" ca="1" si="320"/>
        <v>49.86423000000002</v>
      </c>
      <c r="U736" s="311">
        <f t="shared" ca="1" si="321"/>
        <v>0</v>
      </c>
      <c r="V736" s="306">
        <f t="shared" ca="1" si="322"/>
        <v>1.2257331922753403</v>
      </c>
      <c r="W736" s="304">
        <f t="shared" ca="1" si="323"/>
        <v>43.224208426579899</v>
      </c>
      <c r="Y736" s="314" t="str">
        <f t="shared" ca="1" si="341"/>
        <v/>
      </c>
      <c r="Z736" s="315" t="str">
        <f t="shared" ca="1" si="342"/>
        <v/>
      </c>
      <c r="AA736" s="316" t="str">
        <f t="shared" ca="1" si="343"/>
        <v/>
      </c>
      <c r="AC736" s="310" t="e">
        <f t="shared" ca="1" si="344"/>
        <v>#N/A</v>
      </c>
      <c r="AD736" s="323" t="e">
        <f t="shared" ca="1" si="345"/>
        <v>#N/A</v>
      </c>
      <c r="AE736" s="324" t="e">
        <f t="shared" ca="1" si="324"/>
        <v>#N/A</v>
      </c>
      <c r="AG736" s="306">
        <f t="shared" ca="1" si="346"/>
        <v>1.2700167255051973</v>
      </c>
      <c r="AH736" s="304">
        <f t="shared" ca="1" si="347"/>
        <v>-8.5036513531657825</v>
      </c>
    </row>
    <row r="737" spans="1:34" x14ac:dyDescent="0.2">
      <c r="A737" s="347">
        <f t="shared" ca="1" si="325"/>
        <v>1E-4</v>
      </c>
      <c r="B737" s="304">
        <f t="shared" ca="1" si="326"/>
        <v>29.235100000000067</v>
      </c>
      <c r="D737" s="306">
        <f t="shared" ca="1" si="327"/>
        <v>-0.73118146415113161</v>
      </c>
      <c r="E737" s="307">
        <f t="shared" ca="1" si="328"/>
        <v>-1.3378127262336736</v>
      </c>
      <c r="F737" s="304">
        <f t="shared" ca="1" si="329"/>
        <v>1.5245882145651548</v>
      </c>
      <c r="G737" s="306">
        <f t="shared" ca="1" si="330"/>
        <v>9.2146452437931572</v>
      </c>
      <c r="H737" s="307">
        <f t="shared" ca="1" si="331"/>
        <v>-106.77091978307553</v>
      </c>
      <c r="I737" s="304">
        <f t="shared" ca="1" si="332"/>
        <v>107.16780765833045</v>
      </c>
      <c r="J737" s="306">
        <f t="shared" ca="1" si="333"/>
        <v>746.86410190403069</v>
      </c>
      <c r="K737" s="307">
        <f t="shared" ca="1" si="334"/>
        <v>-5.9941295284272345</v>
      </c>
      <c r="L737" s="304">
        <f t="shared" ca="1" si="319"/>
        <v>746.8881551488937</v>
      </c>
      <c r="M737" s="306">
        <f t="shared" ca="1" si="335"/>
        <v>-1.4847066925053596</v>
      </c>
      <c r="N737" s="304">
        <f t="shared" ca="1" si="336"/>
        <v>-85.067427295384803</v>
      </c>
      <c r="P737" s="310">
        <f t="shared" ca="1" si="337"/>
        <v>23</v>
      </c>
      <c r="Q737" s="304">
        <f t="shared" ca="1" si="338"/>
        <v>0</v>
      </c>
      <c r="R737" s="306">
        <f t="shared" ca="1" si="339"/>
        <v>0</v>
      </c>
      <c r="S737" s="307">
        <f t="shared" ca="1" si="340"/>
        <v>5.083000000000002</v>
      </c>
      <c r="T737" s="304">
        <f t="shared" ca="1" si="320"/>
        <v>49.86423000000002</v>
      </c>
      <c r="U737" s="311">
        <f t="shared" ca="1" si="321"/>
        <v>0</v>
      </c>
      <c r="V737" s="306">
        <f t="shared" ca="1" si="322"/>
        <v>1.2257345010019396</v>
      </c>
      <c r="W737" s="304">
        <f t="shared" ca="1" si="323"/>
        <v>43.224357023160721</v>
      </c>
      <c r="Y737" s="314" t="str">
        <f t="shared" ca="1" si="341"/>
        <v/>
      </c>
      <c r="Z737" s="315" t="str">
        <f t="shared" ca="1" si="342"/>
        <v/>
      </c>
      <c r="AA737" s="316" t="str">
        <f t="shared" ca="1" si="343"/>
        <v/>
      </c>
      <c r="AC737" s="310" t="e">
        <f t="shared" ca="1" si="344"/>
        <v>#N/A</v>
      </c>
      <c r="AD737" s="323" t="e">
        <f t="shared" ca="1" si="345"/>
        <v>#N/A</v>
      </c>
      <c r="AE737" s="324" t="e">
        <f t="shared" ca="1" si="324"/>
        <v>#N/A</v>
      </c>
      <c r="AG737" s="306">
        <f t="shared" ca="1" si="346"/>
        <v>1.2699881550298269</v>
      </c>
      <c r="AH737" s="304">
        <f t="shared" ca="1" si="347"/>
        <v>-8.5036805875624406</v>
      </c>
    </row>
    <row r="738" spans="1:34" x14ac:dyDescent="0.2">
      <c r="A738" s="347">
        <f t="shared" ca="1" si="325"/>
        <v>1E-4</v>
      </c>
      <c r="B738" s="304">
        <f t="shared" ca="1" si="326"/>
        <v>29.235200000000066</v>
      </c>
      <c r="D738" s="306">
        <f t="shared" ca="1" si="327"/>
        <v>-0.73117730943947756</v>
      </c>
      <c r="E738" s="307">
        <f t="shared" ca="1" si="328"/>
        <v>-1.3377830249674467</v>
      </c>
      <c r="F738" s="304">
        <f t="shared" ca="1" si="329"/>
        <v>1.5245601594329448</v>
      </c>
      <c r="G738" s="306">
        <f t="shared" ca="1" si="330"/>
        <v>9.2145721260622135</v>
      </c>
      <c r="H738" s="307">
        <f t="shared" ca="1" si="331"/>
        <v>-106.77105356137803</v>
      </c>
      <c r="I738" s="304">
        <f t="shared" ca="1" si="332"/>
        <v>107.16793465432212</v>
      </c>
      <c r="J738" s="306">
        <f t="shared" ca="1" si="333"/>
        <v>746.86410190403069</v>
      </c>
      <c r="K738" s="307">
        <f t="shared" ca="1" si="334"/>
        <v>-6.0048066270944576</v>
      </c>
      <c r="L738" s="304">
        <f t="shared" ca="1" si="319"/>
        <v>746.88824091395566</v>
      </c>
      <c r="M738" s="306">
        <f t="shared" ca="1" si="335"/>
        <v>-1.4847074795845312</v>
      </c>
      <c r="N738" s="304">
        <f t="shared" ca="1" si="336"/>
        <v>-85.067472391699468</v>
      </c>
      <c r="P738" s="310">
        <f t="shared" ca="1" si="337"/>
        <v>23</v>
      </c>
      <c r="Q738" s="304">
        <f t="shared" ca="1" si="338"/>
        <v>0</v>
      </c>
      <c r="R738" s="306">
        <f t="shared" ca="1" si="339"/>
        <v>0</v>
      </c>
      <c r="S738" s="307">
        <f t="shared" ca="1" si="340"/>
        <v>5.083000000000002</v>
      </c>
      <c r="T738" s="304">
        <f t="shared" ca="1" si="320"/>
        <v>49.86423000000002</v>
      </c>
      <c r="U738" s="311">
        <f t="shared" ca="1" si="321"/>
        <v>0</v>
      </c>
      <c r="V738" s="306">
        <f t="shared" ca="1" si="322"/>
        <v>1.2257358097315767</v>
      </c>
      <c r="W738" s="304">
        <f t="shared" ca="1" si="323"/>
        <v>43.224505617884155</v>
      </c>
      <c r="Y738" s="314" t="str">
        <f t="shared" ca="1" si="341"/>
        <v/>
      </c>
      <c r="Z738" s="315" t="str">
        <f t="shared" ca="1" si="342"/>
        <v/>
      </c>
      <c r="AA738" s="316" t="str">
        <f t="shared" ca="1" si="343"/>
        <v/>
      </c>
      <c r="AC738" s="310" t="e">
        <f t="shared" ca="1" si="344"/>
        <v>#N/A</v>
      </c>
      <c r="AD738" s="323" t="e">
        <f t="shared" ca="1" si="345"/>
        <v>#N/A</v>
      </c>
      <c r="AE738" s="324" t="e">
        <f t="shared" ca="1" si="324"/>
        <v>#N/A</v>
      </c>
      <c r="AG738" s="306">
        <f t="shared" ca="1" si="346"/>
        <v>1.2699595849069691</v>
      </c>
      <c r="AH738" s="304">
        <f t="shared" ca="1" si="347"/>
        <v>-8.5037098215936862</v>
      </c>
    </row>
    <row r="739" spans="1:34" x14ac:dyDescent="0.2">
      <c r="A739" s="347">
        <f t="shared" ca="1" si="325"/>
        <v>1E-4</v>
      </c>
      <c r="B739" s="304">
        <f t="shared" ca="1" si="326"/>
        <v>29.235300000000066</v>
      </c>
      <c r="D739" s="306">
        <f t="shared" ca="1" si="327"/>
        <v>-0.73117315471881938</v>
      </c>
      <c r="E739" s="307">
        <f t="shared" ca="1" si="328"/>
        <v>-1.3377533240724997</v>
      </c>
      <c r="F739" s="304">
        <f t="shared" ca="1" si="329"/>
        <v>1.5245321046958942</v>
      </c>
      <c r="G739" s="306">
        <f t="shared" ca="1" si="330"/>
        <v>9.214499008746742</v>
      </c>
      <c r="H739" s="307">
        <f t="shared" ca="1" si="331"/>
        <v>-106.77118733671043</v>
      </c>
      <c r="I739" s="304">
        <f t="shared" ca="1" si="332"/>
        <v>107.16806164745682</v>
      </c>
      <c r="J739" s="306">
        <f t="shared" ca="1" si="333"/>
        <v>746.86410190403069</v>
      </c>
      <c r="K739" s="307">
        <f t="shared" ca="1" si="334"/>
        <v>-6.0154837391393619</v>
      </c>
      <c r="L739" s="304">
        <f t="shared" ca="1" si="319"/>
        <v>746.8883268317494</v>
      </c>
      <c r="M739" s="306">
        <f t="shared" ca="1" si="335"/>
        <v>-1.484708266655592</v>
      </c>
      <c r="N739" s="304">
        <f t="shared" ca="1" si="336"/>
        <v>-85.067517487549438</v>
      </c>
      <c r="P739" s="310">
        <f t="shared" ca="1" si="337"/>
        <v>23</v>
      </c>
      <c r="Q739" s="304">
        <f t="shared" ca="1" si="338"/>
        <v>0</v>
      </c>
      <c r="R739" s="306">
        <f t="shared" ca="1" si="339"/>
        <v>0</v>
      </c>
      <c r="S739" s="307">
        <f t="shared" ca="1" si="340"/>
        <v>5.083000000000002</v>
      </c>
      <c r="T739" s="304">
        <f t="shared" ca="1" si="320"/>
        <v>49.86423000000002</v>
      </c>
      <c r="U739" s="311">
        <f t="shared" ca="1" si="321"/>
        <v>0</v>
      </c>
      <c r="V739" s="306">
        <f t="shared" ca="1" si="322"/>
        <v>1.2257371184642512</v>
      </c>
      <c r="W739" s="304">
        <f t="shared" ca="1" si="323"/>
        <v>43.224654210750217</v>
      </c>
      <c r="Y739" s="314" t="str">
        <f t="shared" ca="1" si="341"/>
        <v/>
      </c>
      <c r="Z739" s="315" t="str">
        <f t="shared" ca="1" si="342"/>
        <v/>
      </c>
      <c r="AA739" s="316" t="str">
        <f t="shared" ca="1" si="343"/>
        <v/>
      </c>
      <c r="AC739" s="310" t="e">
        <f t="shared" ca="1" si="344"/>
        <v>#N/A</v>
      </c>
      <c r="AD739" s="323" t="e">
        <f t="shared" ca="1" si="345"/>
        <v>#N/A</v>
      </c>
      <c r="AE739" s="324" t="e">
        <f t="shared" ca="1" si="324"/>
        <v>#N/A</v>
      </c>
      <c r="AG739" s="306">
        <f t="shared" ca="1" si="346"/>
        <v>1.2699310151366294</v>
      </c>
      <c r="AH739" s="304">
        <f t="shared" ca="1" si="347"/>
        <v>-8.5037390552595191</v>
      </c>
    </row>
    <row r="740" spans="1:34" x14ac:dyDescent="0.2">
      <c r="A740" s="347">
        <f t="shared" ca="1" si="325"/>
        <v>1E-4</v>
      </c>
      <c r="B740" s="304">
        <f t="shared" ca="1" si="326"/>
        <v>29.235400000000066</v>
      </c>
      <c r="D740" s="306">
        <f t="shared" ca="1" si="327"/>
        <v>-0.73116899998915919</v>
      </c>
      <c r="E740" s="307">
        <f t="shared" ca="1" si="328"/>
        <v>-1.337723623548829</v>
      </c>
      <c r="F740" s="304">
        <f t="shared" ca="1" si="329"/>
        <v>1.5245040503540015</v>
      </c>
      <c r="G740" s="306">
        <f t="shared" ca="1" si="330"/>
        <v>9.2144258918467425</v>
      </c>
      <c r="H740" s="307">
        <f t="shared" ca="1" si="331"/>
        <v>-106.77132110907279</v>
      </c>
      <c r="I740" s="304">
        <f t="shared" ca="1" si="332"/>
        <v>107.1681886377346</v>
      </c>
      <c r="J740" s="306">
        <f t="shared" ca="1" si="333"/>
        <v>746.86410190403069</v>
      </c>
      <c r="K740" s="307">
        <f t="shared" ca="1" si="334"/>
        <v>-6.0261608645616507</v>
      </c>
      <c r="L740" s="304">
        <f t="shared" ca="1" si="319"/>
        <v>746.88841290227549</v>
      </c>
      <c r="M740" s="306">
        <f t="shared" ca="1" si="335"/>
        <v>-1.4847090537185421</v>
      </c>
      <c r="N740" s="304">
        <f t="shared" ca="1" si="336"/>
        <v>-85.067562582934684</v>
      </c>
      <c r="P740" s="310">
        <f t="shared" ca="1" si="337"/>
        <v>23</v>
      </c>
      <c r="Q740" s="304">
        <f t="shared" ca="1" si="338"/>
        <v>0</v>
      </c>
      <c r="R740" s="306">
        <f t="shared" ca="1" si="339"/>
        <v>0</v>
      </c>
      <c r="S740" s="307">
        <f t="shared" ca="1" si="340"/>
        <v>5.083000000000002</v>
      </c>
      <c r="T740" s="304">
        <f t="shared" ca="1" si="320"/>
        <v>49.86423000000002</v>
      </c>
      <c r="U740" s="311">
        <f t="shared" ca="1" si="321"/>
        <v>0</v>
      </c>
      <c r="V740" s="306">
        <f t="shared" ca="1" si="322"/>
        <v>1.2257384271999636</v>
      </c>
      <c r="W740" s="304">
        <f t="shared" ca="1" si="323"/>
        <v>43.224802801758962</v>
      </c>
      <c r="Y740" s="314" t="str">
        <f t="shared" ca="1" si="341"/>
        <v/>
      </c>
      <c r="Z740" s="315" t="str">
        <f t="shared" ca="1" si="342"/>
        <v/>
      </c>
      <c r="AA740" s="316" t="str">
        <f t="shared" ca="1" si="343"/>
        <v/>
      </c>
      <c r="AC740" s="310" t="e">
        <f t="shared" ca="1" si="344"/>
        <v>#N/A</v>
      </c>
      <c r="AD740" s="323" t="e">
        <f t="shared" ca="1" si="345"/>
        <v>#N/A</v>
      </c>
      <c r="AE740" s="324" t="e">
        <f t="shared" ca="1" si="324"/>
        <v>#N/A</v>
      </c>
      <c r="AG740" s="306">
        <f t="shared" ca="1" si="346"/>
        <v>1.2699024457188006</v>
      </c>
      <c r="AH740" s="304">
        <f t="shared" ca="1" si="347"/>
        <v>-8.5037682885599448</v>
      </c>
    </row>
    <row r="741" spans="1:34" x14ac:dyDescent="0.2">
      <c r="A741" s="347">
        <f t="shared" ca="1" si="325"/>
        <v>1E-4</v>
      </c>
      <c r="B741" s="304">
        <f t="shared" ca="1" si="326"/>
        <v>29.235500000000066</v>
      </c>
      <c r="D741" s="306">
        <f t="shared" ca="1" si="327"/>
        <v>-0.73116484525049752</v>
      </c>
      <c r="E741" s="307">
        <f t="shared" ca="1" si="328"/>
        <v>-1.3376939233964258</v>
      </c>
      <c r="F741" s="304">
        <f t="shared" ca="1" si="329"/>
        <v>1.5244759964072596</v>
      </c>
      <c r="G741" s="306">
        <f t="shared" ca="1" si="330"/>
        <v>9.214352775362217</v>
      </c>
      <c r="H741" s="307">
        <f t="shared" ca="1" si="331"/>
        <v>-106.77145487846512</v>
      </c>
      <c r="I741" s="304">
        <f t="shared" ca="1" si="332"/>
        <v>107.16831562515546</v>
      </c>
      <c r="J741" s="306">
        <f t="shared" ca="1" si="333"/>
        <v>746.86410190403069</v>
      </c>
      <c r="K741" s="307">
        <f t="shared" ca="1" si="334"/>
        <v>-6.0368380033610274</v>
      </c>
      <c r="L741" s="304">
        <f t="shared" ca="1" si="319"/>
        <v>746.88849912553417</v>
      </c>
      <c r="M741" s="306">
        <f t="shared" ca="1" si="335"/>
        <v>-1.4847098407733814</v>
      </c>
      <c r="N741" s="304">
        <f t="shared" ca="1" si="336"/>
        <v>-85.067607677855221</v>
      </c>
      <c r="P741" s="310">
        <f t="shared" ca="1" si="337"/>
        <v>23</v>
      </c>
      <c r="Q741" s="304">
        <f t="shared" ca="1" si="338"/>
        <v>0</v>
      </c>
      <c r="R741" s="306">
        <f t="shared" ca="1" si="339"/>
        <v>0</v>
      </c>
      <c r="S741" s="307">
        <f t="shared" ca="1" si="340"/>
        <v>5.083000000000002</v>
      </c>
      <c r="T741" s="304">
        <f t="shared" ca="1" si="320"/>
        <v>49.86423000000002</v>
      </c>
      <c r="U741" s="311">
        <f t="shared" ca="1" si="321"/>
        <v>0</v>
      </c>
      <c r="V741" s="306">
        <f t="shared" ca="1" si="322"/>
        <v>1.2257397359387132</v>
      </c>
      <c r="W741" s="304">
        <f t="shared" ca="1" si="323"/>
        <v>43.224951390910341</v>
      </c>
      <c r="Y741" s="314" t="str">
        <f t="shared" ca="1" si="341"/>
        <v/>
      </c>
      <c r="Z741" s="315" t="str">
        <f t="shared" ca="1" si="342"/>
        <v/>
      </c>
      <c r="AA741" s="316" t="str">
        <f t="shared" ca="1" si="343"/>
        <v/>
      </c>
      <c r="AC741" s="310" t="e">
        <f t="shared" ca="1" si="344"/>
        <v>#N/A</v>
      </c>
      <c r="AD741" s="323" t="e">
        <f t="shared" ca="1" si="345"/>
        <v>#N/A</v>
      </c>
      <c r="AE741" s="324" t="e">
        <f t="shared" ca="1" si="324"/>
        <v>#N/A</v>
      </c>
      <c r="AG741" s="306">
        <f t="shared" ca="1" si="346"/>
        <v>1.2698738766534738</v>
      </c>
      <c r="AH741" s="304">
        <f t="shared" ca="1" si="347"/>
        <v>-8.5037975214949721</v>
      </c>
    </row>
    <row r="742" spans="1:34" x14ac:dyDescent="0.2">
      <c r="A742" s="347">
        <f t="shared" ca="1" si="325"/>
        <v>1E-4</v>
      </c>
      <c r="B742" s="304">
        <f t="shared" ca="1" si="326"/>
        <v>29.235600000000066</v>
      </c>
      <c r="D742" s="306">
        <f t="shared" ca="1" si="327"/>
        <v>-0.73116069050283705</v>
      </c>
      <c r="E742" s="307">
        <f t="shared" ca="1" si="328"/>
        <v>-1.3376642236152989</v>
      </c>
      <c r="F742" s="304">
        <f t="shared" ca="1" si="329"/>
        <v>1.5244479428556772</v>
      </c>
      <c r="G742" s="306">
        <f t="shared" ca="1" si="330"/>
        <v>9.2142796592931671</v>
      </c>
      <c r="H742" s="307">
        <f t="shared" ca="1" si="331"/>
        <v>-106.77158864488749</v>
      </c>
      <c r="I742" s="304">
        <f t="shared" ca="1" si="332"/>
        <v>107.16844260971943</v>
      </c>
      <c r="J742" s="306">
        <f t="shared" ca="1" si="333"/>
        <v>746.86410190403069</v>
      </c>
      <c r="K742" s="307">
        <f t="shared" ca="1" si="334"/>
        <v>-6.0475151555371953</v>
      </c>
      <c r="L742" s="304">
        <f t="shared" ca="1" si="319"/>
        <v>746.88858550152634</v>
      </c>
      <c r="M742" s="306">
        <f t="shared" ca="1" si="335"/>
        <v>-1.4847106278201105</v>
      </c>
      <c r="N742" s="304">
        <f t="shared" ca="1" si="336"/>
        <v>-85.067652772311078</v>
      </c>
      <c r="P742" s="310">
        <f t="shared" ca="1" si="337"/>
        <v>23</v>
      </c>
      <c r="Q742" s="304">
        <f t="shared" ca="1" si="338"/>
        <v>0</v>
      </c>
      <c r="R742" s="306">
        <f t="shared" ca="1" si="339"/>
        <v>0</v>
      </c>
      <c r="S742" s="307">
        <f t="shared" ca="1" si="340"/>
        <v>5.083000000000002</v>
      </c>
      <c r="T742" s="304">
        <f t="shared" ca="1" si="320"/>
        <v>49.86423000000002</v>
      </c>
      <c r="U742" s="311">
        <f t="shared" ca="1" si="321"/>
        <v>0</v>
      </c>
      <c r="V742" s="306">
        <f t="shared" ca="1" si="322"/>
        <v>1.2257410446805002</v>
      </c>
      <c r="W742" s="304">
        <f t="shared" ca="1" si="323"/>
        <v>43.225099978204391</v>
      </c>
      <c r="Y742" s="314" t="str">
        <f t="shared" ca="1" si="341"/>
        <v/>
      </c>
      <c r="Z742" s="315" t="str">
        <f t="shared" ca="1" si="342"/>
        <v/>
      </c>
      <c r="AA742" s="316" t="str">
        <f t="shared" ca="1" si="343"/>
        <v/>
      </c>
      <c r="AC742" s="310" t="e">
        <f t="shared" ca="1" si="344"/>
        <v>#N/A</v>
      </c>
      <c r="AD742" s="323" t="e">
        <f t="shared" ca="1" si="345"/>
        <v>#N/A</v>
      </c>
      <c r="AE742" s="324" t="e">
        <f t="shared" ca="1" si="324"/>
        <v>#N/A</v>
      </c>
      <c r="AG742" s="306">
        <f t="shared" ca="1" si="346"/>
        <v>1.2698453079406615</v>
      </c>
      <c r="AH742" s="304">
        <f t="shared" ca="1" si="347"/>
        <v>-8.5038267540645922</v>
      </c>
    </row>
    <row r="743" spans="1:34" x14ac:dyDescent="0.2">
      <c r="A743" s="347">
        <f t="shared" ca="1" si="325"/>
        <v>1E-4</v>
      </c>
      <c r="B743" s="304">
        <f t="shared" ca="1" si="326"/>
        <v>29.235700000000065</v>
      </c>
      <c r="D743" s="306">
        <f t="shared" ca="1" si="327"/>
        <v>-0.73115653574617423</v>
      </c>
      <c r="E743" s="307">
        <f t="shared" ca="1" si="328"/>
        <v>-1.3376345242054413</v>
      </c>
      <c r="F743" s="304">
        <f t="shared" ca="1" si="329"/>
        <v>1.5244198896992467</v>
      </c>
      <c r="G743" s="306">
        <f t="shared" ca="1" si="330"/>
        <v>9.2142065436395928</v>
      </c>
      <c r="H743" s="307">
        <f t="shared" ca="1" si="331"/>
        <v>-106.77172240833991</v>
      </c>
      <c r="I743" s="304">
        <f t="shared" ca="1" si="332"/>
        <v>107.1685695914266</v>
      </c>
      <c r="J743" s="306">
        <f t="shared" ca="1" si="333"/>
        <v>746.86410190403069</v>
      </c>
      <c r="K743" s="307">
        <f t="shared" ca="1" si="334"/>
        <v>-6.0581923210898569</v>
      </c>
      <c r="L743" s="304">
        <f t="shared" ca="1" si="319"/>
        <v>746.88867203025222</v>
      </c>
      <c r="M743" s="306">
        <f t="shared" ca="1" si="335"/>
        <v>-1.4847114148587293</v>
      </c>
      <c r="N743" s="304">
        <f t="shared" ca="1" si="336"/>
        <v>-85.067697866302254</v>
      </c>
      <c r="P743" s="310">
        <f t="shared" ca="1" si="337"/>
        <v>23</v>
      </c>
      <c r="Q743" s="304">
        <f t="shared" ca="1" si="338"/>
        <v>0</v>
      </c>
      <c r="R743" s="306">
        <f t="shared" ca="1" si="339"/>
        <v>0</v>
      </c>
      <c r="S743" s="307">
        <f t="shared" ca="1" si="340"/>
        <v>5.083000000000002</v>
      </c>
      <c r="T743" s="304">
        <f t="shared" ca="1" si="320"/>
        <v>49.86423000000002</v>
      </c>
      <c r="U743" s="311">
        <f t="shared" ca="1" si="321"/>
        <v>0</v>
      </c>
      <c r="V743" s="306">
        <f t="shared" ca="1" si="322"/>
        <v>1.2257423534253244</v>
      </c>
      <c r="W743" s="304">
        <f t="shared" ca="1" si="323"/>
        <v>43.225248563641152</v>
      </c>
      <c r="Y743" s="314" t="str">
        <f t="shared" ca="1" si="341"/>
        <v/>
      </c>
      <c r="Z743" s="315" t="str">
        <f t="shared" ca="1" si="342"/>
        <v/>
      </c>
      <c r="AA743" s="316" t="str">
        <f t="shared" ca="1" si="343"/>
        <v/>
      </c>
      <c r="AC743" s="310" t="e">
        <f t="shared" ca="1" si="344"/>
        <v>#N/A</v>
      </c>
      <c r="AD743" s="323" t="e">
        <f t="shared" ca="1" si="345"/>
        <v>#N/A</v>
      </c>
      <c r="AE743" s="324" t="e">
        <f t="shared" ca="1" si="324"/>
        <v>#N/A</v>
      </c>
      <c r="AG743" s="306">
        <f t="shared" ca="1" si="346"/>
        <v>1.2698167395803512</v>
      </c>
      <c r="AH743" s="304">
        <f t="shared" ca="1" si="347"/>
        <v>-8.5038559862688121</v>
      </c>
    </row>
    <row r="744" spans="1:34" x14ac:dyDescent="0.2">
      <c r="A744" s="347">
        <f t="shared" ca="1" si="325"/>
        <v>1E-4</v>
      </c>
      <c r="B744" s="304">
        <f t="shared" ca="1" si="326"/>
        <v>29.235800000000065</v>
      </c>
      <c r="D744" s="306">
        <f t="shared" ca="1" si="327"/>
        <v>-0.73115238098051338</v>
      </c>
      <c r="E744" s="307">
        <f t="shared" ca="1" si="328"/>
        <v>-1.337604825166844</v>
      </c>
      <c r="F744" s="304">
        <f t="shared" ca="1" si="329"/>
        <v>1.5243918369379628</v>
      </c>
      <c r="G744" s="306">
        <f t="shared" ca="1" si="330"/>
        <v>9.2141334284014942</v>
      </c>
      <c r="H744" s="307">
        <f t="shared" ca="1" si="331"/>
        <v>-106.77185616882242</v>
      </c>
      <c r="I744" s="304">
        <f t="shared" ca="1" si="332"/>
        <v>107.16869657027694</v>
      </c>
      <c r="J744" s="306">
        <f t="shared" ca="1" si="333"/>
        <v>746.86410190403069</v>
      </c>
      <c r="K744" s="307">
        <f t="shared" ca="1" si="334"/>
        <v>-6.0688695000187147</v>
      </c>
      <c r="L744" s="304">
        <f t="shared" ca="1" si="319"/>
        <v>746.8887587117124</v>
      </c>
      <c r="M744" s="306">
        <f t="shared" ca="1" si="335"/>
        <v>-1.4847122018892376</v>
      </c>
      <c r="N744" s="304">
        <f t="shared" ca="1" si="336"/>
        <v>-85.06774295982872</v>
      </c>
      <c r="P744" s="310">
        <f t="shared" ca="1" si="337"/>
        <v>23</v>
      </c>
      <c r="Q744" s="304">
        <f t="shared" ca="1" si="338"/>
        <v>0</v>
      </c>
      <c r="R744" s="306">
        <f t="shared" ca="1" si="339"/>
        <v>0</v>
      </c>
      <c r="S744" s="307">
        <f t="shared" ca="1" si="340"/>
        <v>5.083000000000002</v>
      </c>
      <c r="T744" s="304">
        <f t="shared" ca="1" si="320"/>
        <v>49.86423000000002</v>
      </c>
      <c r="U744" s="311">
        <f t="shared" ca="1" si="321"/>
        <v>0</v>
      </c>
      <c r="V744" s="306">
        <f t="shared" ca="1" si="322"/>
        <v>1.2257436621731863</v>
      </c>
      <c r="W744" s="304">
        <f t="shared" ca="1" si="323"/>
        <v>43.225397147220576</v>
      </c>
      <c r="Y744" s="314" t="str">
        <f t="shared" ca="1" si="341"/>
        <v/>
      </c>
      <c r="Z744" s="315" t="str">
        <f t="shared" ca="1" si="342"/>
        <v/>
      </c>
      <c r="AA744" s="316" t="str">
        <f t="shared" ca="1" si="343"/>
        <v/>
      </c>
      <c r="AC744" s="310" t="e">
        <f t="shared" ca="1" si="344"/>
        <v>#N/A</v>
      </c>
      <c r="AD744" s="323" t="e">
        <f t="shared" ca="1" si="345"/>
        <v>#N/A</v>
      </c>
      <c r="AE744" s="324" t="e">
        <f t="shared" ca="1" si="324"/>
        <v>#N/A</v>
      </c>
      <c r="AG744" s="306">
        <f t="shared" ca="1" si="346"/>
        <v>1.2697881715725376</v>
      </c>
      <c r="AH744" s="304">
        <f t="shared" ca="1" si="347"/>
        <v>-8.5038852181076408</v>
      </c>
    </row>
    <row r="745" spans="1:34" x14ac:dyDescent="0.2">
      <c r="A745" s="347">
        <f t="shared" ca="1" si="325"/>
        <v>1E-4</v>
      </c>
      <c r="B745" s="304">
        <f t="shared" ca="1" si="326"/>
        <v>29.235900000000065</v>
      </c>
      <c r="D745" s="306">
        <f t="shared" ca="1" si="327"/>
        <v>-0.73114822620585507</v>
      </c>
      <c r="E745" s="307">
        <f t="shared" ca="1" si="328"/>
        <v>-1.3375751264995177</v>
      </c>
      <c r="F745" s="304">
        <f t="shared" ca="1" si="329"/>
        <v>1.5243637845718354</v>
      </c>
      <c r="G745" s="306">
        <f t="shared" ca="1" si="330"/>
        <v>9.214060313578873</v>
      </c>
      <c r="H745" s="307">
        <f t="shared" ca="1" si="331"/>
        <v>-106.77198992633508</v>
      </c>
      <c r="I745" s="304">
        <f t="shared" ca="1" si="332"/>
        <v>107.16882354627053</v>
      </c>
      <c r="J745" s="306">
        <f t="shared" ca="1" si="333"/>
        <v>746.86410190403069</v>
      </c>
      <c r="K745" s="307">
        <f t="shared" ca="1" si="334"/>
        <v>-6.0795466923234729</v>
      </c>
      <c r="L745" s="304">
        <f t="shared" ca="1" si="319"/>
        <v>746.88884554590754</v>
      </c>
      <c r="M745" s="306">
        <f t="shared" ca="1" si="335"/>
        <v>-1.4847129889116359</v>
      </c>
      <c r="N745" s="304">
        <f t="shared" ca="1" si="336"/>
        <v>-85.067788052890535</v>
      </c>
      <c r="P745" s="310">
        <f t="shared" ca="1" si="337"/>
        <v>23</v>
      </c>
      <c r="Q745" s="304">
        <f t="shared" ca="1" si="338"/>
        <v>0</v>
      </c>
      <c r="R745" s="306">
        <f t="shared" ca="1" si="339"/>
        <v>0</v>
      </c>
      <c r="S745" s="307">
        <f t="shared" ca="1" si="340"/>
        <v>5.083000000000002</v>
      </c>
      <c r="T745" s="304">
        <f t="shared" ca="1" si="320"/>
        <v>49.86423000000002</v>
      </c>
      <c r="U745" s="311">
        <f t="shared" ca="1" si="321"/>
        <v>0</v>
      </c>
      <c r="V745" s="306">
        <f t="shared" ca="1" si="322"/>
        <v>1.2257449709240855</v>
      </c>
      <c r="W745" s="304">
        <f t="shared" ca="1" si="323"/>
        <v>43.225545728942748</v>
      </c>
      <c r="Y745" s="314" t="str">
        <f t="shared" ca="1" si="341"/>
        <v/>
      </c>
      <c r="Z745" s="315" t="str">
        <f t="shared" ca="1" si="342"/>
        <v/>
      </c>
      <c r="AA745" s="316" t="str">
        <f t="shared" ca="1" si="343"/>
        <v/>
      </c>
      <c r="AC745" s="310" t="e">
        <f t="shared" ca="1" si="344"/>
        <v>#N/A</v>
      </c>
      <c r="AD745" s="323" t="e">
        <f t="shared" ca="1" si="345"/>
        <v>#N/A</v>
      </c>
      <c r="AE745" s="324" t="e">
        <f t="shared" ca="1" si="324"/>
        <v>#N/A</v>
      </c>
      <c r="AG745" s="306">
        <f t="shared" ca="1" si="346"/>
        <v>1.269759603917235</v>
      </c>
      <c r="AH745" s="304">
        <f t="shared" ca="1" si="347"/>
        <v>-8.5039144495810657</v>
      </c>
    </row>
    <row r="746" spans="1:34" x14ac:dyDescent="0.2">
      <c r="A746" s="347">
        <f t="shared" ca="1" si="325"/>
        <v>1E-4</v>
      </c>
      <c r="B746" s="304">
        <f t="shared" ca="1" si="326"/>
        <v>29.236000000000065</v>
      </c>
      <c r="D746" s="306">
        <f t="shared" ca="1" si="327"/>
        <v>-0.73114407142219862</v>
      </c>
      <c r="E746" s="307">
        <f t="shared" ca="1" si="328"/>
        <v>-1.3375454282034447</v>
      </c>
      <c r="F746" s="304">
        <f t="shared" ca="1" si="329"/>
        <v>1.5243357326008484</v>
      </c>
      <c r="G746" s="306">
        <f t="shared" ca="1" si="330"/>
        <v>9.213987199171731</v>
      </c>
      <c r="H746" s="307">
        <f t="shared" ca="1" si="331"/>
        <v>-106.7721236808779</v>
      </c>
      <c r="I746" s="304">
        <f t="shared" ca="1" si="332"/>
        <v>107.16895051940739</v>
      </c>
      <c r="J746" s="306">
        <f t="shared" ca="1" si="333"/>
        <v>746.86410190403069</v>
      </c>
      <c r="K746" s="307">
        <f t="shared" ca="1" si="334"/>
        <v>-6.0902238980038339</v>
      </c>
      <c r="L746" s="304">
        <f t="shared" ca="1" si="319"/>
        <v>746.88893253283788</v>
      </c>
      <c r="M746" s="306">
        <f t="shared" ca="1" si="335"/>
        <v>-1.4847137759259244</v>
      </c>
      <c r="N746" s="304">
        <f t="shared" ca="1" si="336"/>
        <v>-85.067833145487668</v>
      </c>
      <c r="P746" s="310">
        <f t="shared" ca="1" si="337"/>
        <v>23</v>
      </c>
      <c r="Q746" s="304">
        <f t="shared" ca="1" si="338"/>
        <v>0</v>
      </c>
      <c r="R746" s="306">
        <f t="shared" ca="1" si="339"/>
        <v>0</v>
      </c>
      <c r="S746" s="307">
        <f t="shared" ca="1" si="340"/>
        <v>5.083000000000002</v>
      </c>
      <c r="T746" s="304">
        <f t="shared" ca="1" si="320"/>
        <v>49.86423000000002</v>
      </c>
      <c r="U746" s="311">
        <f t="shared" ca="1" si="321"/>
        <v>0</v>
      </c>
      <c r="V746" s="306">
        <f t="shared" ca="1" si="322"/>
        <v>1.2257462796780223</v>
      </c>
      <c r="W746" s="304">
        <f t="shared" ca="1" si="323"/>
        <v>43.225694308807647</v>
      </c>
      <c r="Y746" s="314" t="str">
        <f t="shared" ca="1" si="341"/>
        <v/>
      </c>
      <c r="Z746" s="315" t="str">
        <f t="shared" ca="1" si="342"/>
        <v/>
      </c>
      <c r="AA746" s="316" t="str">
        <f t="shared" ca="1" si="343"/>
        <v/>
      </c>
      <c r="AC746" s="310" t="e">
        <f t="shared" ca="1" si="344"/>
        <v>#N/A</v>
      </c>
      <c r="AD746" s="323" t="e">
        <f t="shared" ca="1" si="345"/>
        <v>#N/A</v>
      </c>
      <c r="AE746" s="324" t="e">
        <f t="shared" ca="1" si="324"/>
        <v>#N/A</v>
      </c>
      <c r="AG746" s="306">
        <f t="shared" ca="1" si="346"/>
        <v>1.2697310366144201</v>
      </c>
      <c r="AH746" s="304">
        <f t="shared" ca="1" si="347"/>
        <v>-8.5039436806891064</v>
      </c>
    </row>
    <row r="747" spans="1:34" x14ac:dyDescent="0.2">
      <c r="A747" s="347">
        <f t="shared" ca="1" si="325"/>
        <v>1E-4</v>
      </c>
      <c r="B747" s="304">
        <f t="shared" ca="1" si="326"/>
        <v>29.236100000000064</v>
      </c>
      <c r="D747" s="306">
        <f t="shared" ca="1" si="327"/>
        <v>-0.73113991662954536</v>
      </c>
      <c r="E747" s="307">
        <f t="shared" ca="1" si="328"/>
        <v>-1.3375157302786285</v>
      </c>
      <c r="F747" s="304">
        <f t="shared" ca="1" si="329"/>
        <v>1.5243076810250058</v>
      </c>
      <c r="G747" s="306">
        <f t="shared" ca="1" si="330"/>
        <v>9.2139140851800683</v>
      </c>
      <c r="H747" s="307">
        <f t="shared" ca="1" si="331"/>
        <v>-106.77225743245093</v>
      </c>
      <c r="I747" s="304">
        <f t="shared" ca="1" si="332"/>
        <v>107.16907748968754</v>
      </c>
      <c r="J747" s="306">
        <f t="shared" ca="1" si="333"/>
        <v>746.86410190403069</v>
      </c>
      <c r="K747" s="307">
        <f t="shared" ca="1" si="334"/>
        <v>-6.1009011170595002</v>
      </c>
      <c r="L747" s="304">
        <f t="shared" ca="1" si="319"/>
        <v>746.88901967250422</v>
      </c>
      <c r="M747" s="306">
        <f t="shared" ca="1" si="335"/>
        <v>-1.4847145629321028</v>
      </c>
      <c r="N747" s="304">
        <f t="shared" ca="1" si="336"/>
        <v>-85.06787823762015</v>
      </c>
      <c r="P747" s="310">
        <f t="shared" ca="1" si="337"/>
        <v>23</v>
      </c>
      <c r="Q747" s="304">
        <f t="shared" ca="1" si="338"/>
        <v>0</v>
      </c>
      <c r="R747" s="306">
        <f t="shared" ca="1" si="339"/>
        <v>0</v>
      </c>
      <c r="S747" s="307">
        <f t="shared" ca="1" si="340"/>
        <v>5.083000000000002</v>
      </c>
      <c r="T747" s="304">
        <f t="shared" ca="1" si="320"/>
        <v>49.86423000000002</v>
      </c>
      <c r="U747" s="311">
        <f t="shared" ca="1" si="321"/>
        <v>0</v>
      </c>
      <c r="V747" s="306">
        <f t="shared" ca="1" si="322"/>
        <v>1.225747588434996</v>
      </c>
      <c r="W747" s="304">
        <f t="shared" ca="1" si="323"/>
        <v>43.225842886815251</v>
      </c>
      <c r="Y747" s="314" t="str">
        <f t="shared" ca="1" si="341"/>
        <v/>
      </c>
      <c r="Z747" s="315" t="str">
        <f t="shared" ca="1" si="342"/>
        <v/>
      </c>
      <c r="AA747" s="316" t="str">
        <f t="shared" ca="1" si="343"/>
        <v/>
      </c>
      <c r="AC747" s="310" t="e">
        <f t="shared" ca="1" si="344"/>
        <v>#N/A</v>
      </c>
      <c r="AD747" s="323" t="e">
        <f t="shared" ca="1" si="345"/>
        <v>#N/A</v>
      </c>
      <c r="AE747" s="324" t="e">
        <f t="shared" ca="1" si="324"/>
        <v>#N/A</v>
      </c>
      <c r="AG747" s="306">
        <f t="shared" ca="1" si="346"/>
        <v>1.2697024696641002</v>
      </c>
      <c r="AH747" s="304">
        <f t="shared" ca="1" si="347"/>
        <v>-8.5039729114317595</v>
      </c>
    </row>
    <row r="748" spans="1:34" x14ac:dyDescent="0.2">
      <c r="A748" s="347">
        <f t="shared" ca="1" si="325"/>
        <v>1E-4</v>
      </c>
      <c r="B748" s="304">
        <f t="shared" ca="1" si="326"/>
        <v>29.236200000000064</v>
      </c>
      <c r="D748" s="306">
        <f t="shared" ca="1" si="327"/>
        <v>-0.73113576182789641</v>
      </c>
      <c r="E748" s="307">
        <f t="shared" ca="1" si="328"/>
        <v>-1.3374860327250744</v>
      </c>
      <c r="F748" s="304">
        <f t="shared" ca="1" si="329"/>
        <v>1.5242796298443133</v>
      </c>
      <c r="G748" s="306">
        <f t="shared" ca="1" si="330"/>
        <v>9.2138409716038847</v>
      </c>
      <c r="H748" s="307">
        <f t="shared" ca="1" si="331"/>
        <v>-106.7723911810542</v>
      </c>
      <c r="I748" s="304">
        <f t="shared" ca="1" si="332"/>
        <v>107.16920445711104</v>
      </c>
      <c r="J748" s="306">
        <f t="shared" ca="1" si="333"/>
        <v>746.86410190403069</v>
      </c>
      <c r="K748" s="307">
        <f t="shared" ca="1" si="334"/>
        <v>-6.1115783494901752</v>
      </c>
      <c r="L748" s="304">
        <f t="shared" ca="1" si="319"/>
        <v>746.889106964907</v>
      </c>
      <c r="M748" s="306">
        <f t="shared" ca="1" si="335"/>
        <v>-1.4847153499301715</v>
      </c>
      <c r="N748" s="304">
        <f t="shared" ca="1" si="336"/>
        <v>-85.067923329287979</v>
      </c>
      <c r="P748" s="310">
        <f t="shared" ca="1" si="337"/>
        <v>23</v>
      </c>
      <c r="Q748" s="304">
        <f t="shared" ca="1" si="338"/>
        <v>0</v>
      </c>
      <c r="R748" s="306">
        <f t="shared" ca="1" si="339"/>
        <v>0</v>
      </c>
      <c r="S748" s="307">
        <f t="shared" ca="1" si="340"/>
        <v>5.083000000000002</v>
      </c>
      <c r="T748" s="304">
        <f t="shared" ca="1" si="320"/>
        <v>49.86423000000002</v>
      </c>
      <c r="U748" s="311">
        <f t="shared" ca="1" si="321"/>
        <v>0</v>
      </c>
      <c r="V748" s="306">
        <f t="shared" ca="1" si="322"/>
        <v>1.2257488971950068</v>
      </c>
      <c r="W748" s="304">
        <f t="shared" ca="1" si="323"/>
        <v>43.225991462965617</v>
      </c>
      <c r="Y748" s="314" t="str">
        <f t="shared" ca="1" si="341"/>
        <v/>
      </c>
      <c r="Z748" s="315" t="str">
        <f t="shared" ca="1" si="342"/>
        <v/>
      </c>
      <c r="AA748" s="316" t="str">
        <f t="shared" ca="1" si="343"/>
        <v/>
      </c>
      <c r="AC748" s="310" t="e">
        <f t="shared" ca="1" si="344"/>
        <v>#N/A</v>
      </c>
      <c r="AD748" s="323" t="e">
        <f t="shared" ca="1" si="345"/>
        <v>#N/A</v>
      </c>
      <c r="AE748" s="324" t="e">
        <f t="shared" ca="1" si="324"/>
        <v>#N/A</v>
      </c>
      <c r="AG748" s="306">
        <f t="shared" ca="1" si="346"/>
        <v>1.2696739030662823</v>
      </c>
      <c r="AH748" s="304">
        <f t="shared" ca="1" si="347"/>
        <v>-8.5040021418090177</v>
      </c>
    </row>
    <row r="749" spans="1:34" x14ac:dyDescent="0.2">
      <c r="A749" s="347">
        <f t="shared" ca="1" si="325"/>
        <v>1E-4</v>
      </c>
      <c r="B749" s="304">
        <f t="shared" ca="1" si="326"/>
        <v>29.236300000000064</v>
      </c>
      <c r="D749" s="306">
        <f t="shared" ca="1" si="327"/>
        <v>-0.73113160701725244</v>
      </c>
      <c r="E749" s="307">
        <f t="shared" ca="1" si="328"/>
        <v>-1.3374563355427718</v>
      </c>
      <c r="F749" s="304">
        <f t="shared" ca="1" si="329"/>
        <v>1.5242515790587621</v>
      </c>
      <c r="G749" s="306">
        <f t="shared" ca="1" si="330"/>
        <v>9.2137678584431821</v>
      </c>
      <c r="H749" s="307">
        <f t="shared" ca="1" si="331"/>
        <v>-106.77252492668775</v>
      </c>
      <c r="I749" s="304">
        <f t="shared" ca="1" si="332"/>
        <v>107.1693314216779</v>
      </c>
      <c r="J749" s="306">
        <f t="shared" ca="1" si="333"/>
        <v>746.86410190403069</v>
      </c>
      <c r="K749" s="307">
        <f t="shared" ca="1" si="334"/>
        <v>-6.1222555952955622</v>
      </c>
      <c r="L749" s="304">
        <f t="shared" ca="1" si="319"/>
        <v>746.88919441004657</v>
      </c>
      <c r="M749" s="306">
        <f t="shared" ca="1" si="335"/>
        <v>-1.4847161369201305</v>
      </c>
      <c r="N749" s="304">
        <f t="shared" ca="1" si="336"/>
        <v>-85.067968420491141</v>
      </c>
      <c r="P749" s="310">
        <f t="shared" ca="1" si="337"/>
        <v>23</v>
      </c>
      <c r="Q749" s="304">
        <f t="shared" ca="1" si="338"/>
        <v>0</v>
      </c>
      <c r="R749" s="306">
        <f t="shared" ca="1" si="339"/>
        <v>0</v>
      </c>
      <c r="S749" s="307">
        <f t="shared" ca="1" si="340"/>
        <v>5.083000000000002</v>
      </c>
      <c r="T749" s="304">
        <f t="shared" ca="1" si="320"/>
        <v>49.86423000000002</v>
      </c>
      <c r="U749" s="311">
        <f t="shared" ca="1" si="321"/>
        <v>0</v>
      </c>
      <c r="V749" s="306">
        <f t="shared" ca="1" si="322"/>
        <v>1.225750205958055</v>
      </c>
      <c r="W749" s="304">
        <f t="shared" ca="1" si="323"/>
        <v>43.22614003725873</v>
      </c>
      <c r="Y749" s="314" t="str">
        <f t="shared" ca="1" si="341"/>
        <v/>
      </c>
      <c r="Z749" s="315" t="str">
        <f t="shared" ca="1" si="342"/>
        <v/>
      </c>
      <c r="AA749" s="316" t="str">
        <f t="shared" ca="1" si="343"/>
        <v/>
      </c>
      <c r="AC749" s="310" t="e">
        <f t="shared" ca="1" si="344"/>
        <v>#N/A</v>
      </c>
      <c r="AD749" s="323" t="e">
        <f t="shared" ca="1" si="345"/>
        <v>#N/A</v>
      </c>
      <c r="AE749" s="324" t="e">
        <f t="shared" ca="1" si="324"/>
        <v>#N/A</v>
      </c>
      <c r="AG749" s="306">
        <f t="shared" ca="1" si="346"/>
        <v>1.2696453368209504</v>
      </c>
      <c r="AH749" s="304">
        <f t="shared" ca="1" si="347"/>
        <v>-8.5040313718208935</v>
      </c>
    </row>
    <row r="750" spans="1:34" x14ac:dyDescent="0.2">
      <c r="A750" s="347">
        <f t="shared" ca="1" si="325"/>
        <v>1E-4</v>
      </c>
      <c r="B750" s="304">
        <f t="shared" ca="1" si="326"/>
        <v>29.236400000000064</v>
      </c>
      <c r="D750" s="306">
        <f t="shared" ca="1" si="327"/>
        <v>-0.73112745219761466</v>
      </c>
      <c r="E750" s="307">
        <f t="shared" ca="1" si="328"/>
        <v>-1.3374266387317242</v>
      </c>
      <c r="F750" s="304">
        <f t="shared" ca="1" si="329"/>
        <v>1.5242235286683554</v>
      </c>
      <c r="G750" s="306">
        <f t="shared" ca="1" si="330"/>
        <v>9.2136947456979623</v>
      </c>
      <c r="H750" s="307">
        <f t="shared" ca="1" si="331"/>
        <v>-106.77265866935163</v>
      </c>
      <c r="I750" s="304">
        <f t="shared" ca="1" si="332"/>
        <v>107.16945838338819</v>
      </c>
      <c r="J750" s="306">
        <f t="shared" ca="1" si="333"/>
        <v>746.86410190403069</v>
      </c>
      <c r="K750" s="307">
        <f t="shared" ca="1" si="334"/>
        <v>-6.1329328544753645</v>
      </c>
      <c r="L750" s="304">
        <f t="shared" ca="1" si="319"/>
        <v>746.88928200792373</v>
      </c>
      <c r="M750" s="306">
        <f t="shared" ca="1" si="335"/>
        <v>-1.48471692390198</v>
      </c>
      <c r="N750" s="304">
        <f t="shared" ca="1" si="336"/>
        <v>-85.068013511229665</v>
      </c>
      <c r="P750" s="310">
        <f t="shared" ca="1" si="337"/>
        <v>23</v>
      </c>
      <c r="Q750" s="304">
        <f t="shared" ca="1" si="338"/>
        <v>0</v>
      </c>
      <c r="R750" s="306">
        <f t="shared" ca="1" si="339"/>
        <v>0</v>
      </c>
      <c r="S750" s="307">
        <f t="shared" ca="1" si="340"/>
        <v>5.083000000000002</v>
      </c>
      <c r="T750" s="304">
        <f t="shared" ca="1" si="320"/>
        <v>49.86423000000002</v>
      </c>
      <c r="U750" s="311">
        <f t="shared" ca="1" si="321"/>
        <v>0</v>
      </c>
      <c r="V750" s="306">
        <f t="shared" ca="1" si="322"/>
        <v>1.2257515147241402</v>
      </c>
      <c r="W750" s="304">
        <f t="shared" ca="1" si="323"/>
        <v>43.226288609694649</v>
      </c>
      <c r="Y750" s="314" t="str">
        <f t="shared" ca="1" si="341"/>
        <v/>
      </c>
      <c r="Z750" s="315" t="str">
        <f t="shared" ca="1" si="342"/>
        <v/>
      </c>
      <c r="AA750" s="316" t="str">
        <f t="shared" ca="1" si="343"/>
        <v/>
      </c>
      <c r="AC750" s="310" t="e">
        <f t="shared" ca="1" si="344"/>
        <v>#N/A</v>
      </c>
      <c r="AD750" s="323" t="e">
        <f t="shared" ca="1" si="345"/>
        <v>#N/A</v>
      </c>
      <c r="AE750" s="324" t="e">
        <f t="shared" ca="1" si="324"/>
        <v>#N/A</v>
      </c>
      <c r="AG750" s="306">
        <f t="shared" ca="1" si="346"/>
        <v>1.2696167709281116</v>
      </c>
      <c r="AH750" s="304">
        <f t="shared" ca="1" si="347"/>
        <v>-8.5040606014673834</v>
      </c>
    </row>
    <row r="751" spans="1:34" x14ac:dyDescent="0.2">
      <c r="A751" s="347">
        <f t="shared" ca="1" si="325"/>
        <v>1E-4</v>
      </c>
      <c r="B751" s="304">
        <f t="shared" ca="1" si="326"/>
        <v>29.236500000000063</v>
      </c>
      <c r="D751" s="306">
        <f t="shared" ca="1" si="327"/>
        <v>-0.73112329736898407</v>
      </c>
      <c r="E751" s="307">
        <f t="shared" ca="1" si="328"/>
        <v>-1.3373969422919156</v>
      </c>
      <c r="F751" s="304">
        <f t="shared" ca="1" si="329"/>
        <v>1.5241954786730807</v>
      </c>
      <c r="G751" s="306">
        <f t="shared" ca="1" si="330"/>
        <v>9.2136216333682253</v>
      </c>
      <c r="H751" s="307">
        <f t="shared" ca="1" si="331"/>
        <v>-106.77279240904586</v>
      </c>
      <c r="I751" s="304">
        <f t="shared" ca="1" si="332"/>
        <v>107.16958534224192</v>
      </c>
      <c r="J751" s="306">
        <f t="shared" ca="1" si="333"/>
        <v>746.86410190403069</v>
      </c>
      <c r="K751" s="307">
        <f t="shared" ca="1" si="334"/>
        <v>-6.1436101270292847</v>
      </c>
      <c r="L751" s="304">
        <f t="shared" ca="1" si="319"/>
        <v>746.88936975853869</v>
      </c>
      <c r="M751" s="306">
        <f t="shared" ca="1" si="335"/>
        <v>-1.4847177108757199</v>
      </c>
      <c r="N751" s="304">
        <f t="shared" ca="1" si="336"/>
        <v>-85.068058601503552</v>
      </c>
      <c r="P751" s="310">
        <f t="shared" ca="1" si="337"/>
        <v>23</v>
      </c>
      <c r="Q751" s="304">
        <f t="shared" ca="1" si="338"/>
        <v>0</v>
      </c>
      <c r="R751" s="306">
        <f t="shared" ca="1" si="339"/>
        <v>0</v>
      </c>
      <c r="S751" s="307">
        <f t="shared" ca="1" si="340"/>
        <v>5.083000000000002</v>
      </c>
      <c r="T751" s="304">
        <f t="shared" ca="1" si="320"/>
        <v>49.86423000000002</v>
      </c>
      <c r="U751" s="311">
        <f t="shared" ca="1" si="321"/>
        <v>0</v>
      </c>
      <c r="V751" s="306">
        <f t="shared" ca="1" si="322"/>
        <v>1.2257528234932631</v>
      </c>
      <c r="W751" s="304">
        <f t="shared" ca="1" si="323"/>
        <v>43.226437180273365</v>
      </c>
      <c r="Y751" s="314" t="str">
        <f t="shared" ca="1" si="341"/>
        <v/>
      </c>
      <c r="Z751" s="315" t="str">
        <f t="shared" ca="1" si="342"/>
        <v/>
      </c>
      <c r="AA751" s="316" t="str">
        <f t="shared" ca="1" si="343"/>
        <v/>
      </c>
      <c r="AC751" s="310" t="e">
        <f t="shared" ca="1" si="344"/>
        <v>#N/A</v>
      </c>
      <c r="AD751" s="323" t="e">
        <f t="shared" ca="1" si="345"/>
        <v>#N/A</v>
      </c>
      <c r="AE751" s="324" t="e">
        <f t="shared" ca="1" si="324"/>
        <v>#N/A</v>
      </c>
      <c r="AG751" s="306">
        <f t="shared" ca="1" si="346"/>
        <v>1.2695882053877536</v>
      </c>
      <c r="AH751" s="304">
        <f t="shared" ca="1" si="347"/>
        <v>-8.5040898307485016</v>
      </c>
    </row>
    <row r="752" spans="1:34" x14ac:dyDescent="0.2">
      <c r="A752" s="347">
        <f t="shared" ca="1" si="325"/>
        <v>1E-4</v>
      </c>
      <c r="B752" s="304">
        <f t="shared" ca="1" si="326"/>
        <v>29.236600000000063</v>
      </c>
      <c r="D752" s="306">
        <f t="shared" ca="1" si="327"/>
        <v>-0.73111914253136179</v>
      </c>
      <c r="E752" s="307">
        <f t="shared" ca="1" si="328"/>
        <v>-1.3373672462233532</v>
      </c>
      <c r="F752" s="304">
        <f t="shared" ca="1" si="329"/>
        <v>1.5241674290729443</v>
      </c>
      <c r="G752" s="306">
        <f t="shared" ca="1" si="330"/>
        <v>9.2135485214539727</v>
      </c>
      <c r="H752" s="307">
        <f t="shared" ca="1" si="331"/>
        <v>-106.77292614577048</v>
      </c>
      <c r="I752" s="304">
        <f t="shared" ca="1" si="332"/>
        <v>107.16971229823912</v>
      </c>
      <c r="J752" s="306">
        <f t="shared" ca="1" si="333"/>
        <v>746.86410190403069</v>
      </c>
      <c r="K752" s="307">
        <f t="shared" ca="1" si="334"/>
        <v>-6.1542874129570251</v>
      </c>
      <c r="L752" s="304">
        <f t="shared" ca="1" si="319"/>
        <v>746.88945766189227</v>
      </c>
      <c r="M752" s="306">
        <f t="shared" ca="1" si="335"/>
        <v>-1.4847184978413506</v>
      </c>
      <c r="N752" s="304">
        <f t="shared" ca="1" si="336"/>
        <v>-85.068103691312814</v>
      </c>
      <c r="P752" s="310">
        <f t="shared" ca="1" si="337"/>
        <v>23</v>
      </c>
      <c r="Q752" s="304">
        <f t="shared" ca="1" si="338"/>
        <v>0</v>
      </c>
      <c r="R752" s="306">
        <f t="shared" ca="1" si="339"/>
        <v>0</v>
      </c>
      <c r="S752" s="307">
        <f t="shared" ca="1" si="340"/>
        <v>5.083000000000002</v>
      </c>
      <c r="T752" s="304">
        <f t="shared" ca="1" si="320"/>
        <v>49.86423000000002</v>
      </c>
      <c r="U752" s="311">
        <f t="shared" ca="1" si="321"/>
        <v>0</v>
      </c>
      <c r="V752" s="306">
        <f t="shared" ca="1" si="322"/>
        <v>1.2257541322654226</v>
      </c>
      <c r="W752" s="304">
        <f t="shared" ca="1" si="323"/>
        <v>43.22658574899485</v>
      </c>
      <c r="Y752" s="314" t="str">
        <f t="shared" ca="1" si="341"/>
        <v/>
      </c>
      <c r="Z752" s="315" t="str">
        <f t="shared" ca="1" si="342"/>
        <v/>
      </c>
      <c r="AA752" s="316" t="str">
        <f t="shared" ca="1" si="343"/>
        <v/>
      </c>
      <c r="AC752" s="310" t="e">
        <f t="shared" ca="1" si="344"/>
        <v>#N/A</v>
      </c>
      <c r="AD752" s="323" t="e">
        <f t="shared" ca="1" si="345"/>
        <v>#N/A</v>
      </c>
      <c r="AE752" s="324" t="e">
        <f t="shared" ca="1" si="324"/>
        <v>#N/A</v>
      </c>
      <c r="AG752" s="306">
        <f t="shared" ca="1" si="346"/>
        <v>1.2695596401998781</v>
      </c>
      <c r="AH752" s="304">
        <f t="shared" ca="1" si="347"/>
        <v>-8.5041190596642426</v>
      </c>
    </row>
    <row r="753" spans="1:34" x14ac:dyDescent="0.2">
      <c r="A753" s="347">
        <f t="shared" ca="1" si="325"/>
        <v>1E-4</v>
      </c>
      <c r="B753" s="304">
        <f t="shared" ca="1" si="326"/>
        <v>29.236700000000063</v>
      </c>
      <c r="D753" s="306">
        <f t="shared" ca="1" si="327"/>
        <v>-0.73111498768474736</v>
      </c>
      <c r="E753" s="307">
        <f t="shared" ca="1" si="328"/>
        <v>-1.3373375505260388</v>
      </c>
      <c r="F753" s="304">
        <f t="shared" ca="1" si="329"/>
        <v>1.5241393798679481</v>
      </c>
      <c r="G753" s="306">
        <f t="shared" ca="1" si="330"/>
        <v>9.2134754099552048</v>
      </c>
      <c r="H753" s="307">
        <f t="shared" ca="1" si="331"/>
        <v>-106.77305987952553</v>
      </c>
      <c r="I753" s="304">
        <f t="shared" ca="1" si="332"/>
        <v>107.16983925137984</v>
      </c>
      <c r="J753" s="306">
        <f t="shared" ca="1" si="333"/>
        <v>746.86410190403069</v>
      </c>
      <c r="K753" s="307">
        <f t="shared" ca="1" si="334"/>
        <v>-6.16496471225829</v>
      </c>
      <c r="L753" s="304">
        <f t="shared" ca="1" si="319"/>
        <v>746.88954571798479</v>
      </c>
      <c r="M753" s="306">
        <f t="shared" ca="1" si="335"/>
        <v>-1.4847192847988719</v>
      </c>
      <c r="N753" s="304">
        <f t="shared" ca="1" si="336"/>
        <v>-85.068148780657452</v>
      </c>
      <c r="P753" s="310">
        <f t="shared" ca="1" si="337"/>
        <v>23</v>
      </c>
      <c r="Q753" s="304">
        <f t="shared" ca="1" si="338"/>
        <v>0</v>
      </c>
      <c r="R753" s="306">
        <f t="shared" ca="1" si="339"/>
        <v>0</v>
      </c>
      <c r="S753" s="307">
        <f t="shared" ca="1" si="340"/>
        <v>5.083000000000002</v>
      </c>
      <c r="T753" s="304">
        <f t="shared" ca="1" si="320"/>
        <v>49.86423000000002</v>
      </c>
      <c r="U753" s="311">
        <f t="shared" ca="1" si="321"/>
        <v>0</v>
      </c>
      <c r="V753" s="306">
        <f t="shared" ca="1" si="322"/>
        <v>1.2257554410406195</v>
      </c>
      <c r="W753" s="304">
        <f t="shared" ca="1" si="323"/>
        <v>43.226734315859176</v>
      </c>
      <c r="Y753" s="314" t="str">
        <f t="shared" ca="1" si="341"/>
        <v/>
      </c>
      <c r="Z753" s="315" t="str">
        <f t="shared" ca="1" si="342"/>
        <v/>
      </c>
      <c r="AA753" s="316" t="str">
        <f t="shared" ca="1" si="343"/>
        <v/>
      </c>
      <c r="AC753" s="310" t="e">
        <f t="shared" ca="1" si="344"/>
        <v>#N/A</v>
      </c>
      <c r="AD753" s="323" t="e">
        <f t="shared" ca="1" si="345"/>
        <v>#N/A</v>
      </c>
      <c r="AE753" s="324" t="e">
        <f t="shared" ca="1" si="324"/>
        <v>#N/A</v>
      </c>
      <c r="AG753" s="306">
        <f t="shared" ca="1" si="346"/>
        <v>1.2695310753644904</v>
      </c>
      <c r="AH753" s="304">
        <f t="shared" ca="1" si="347"/>
        <v>-8.5041482882146049</v>
      </c>
    </row>
    <row r="754" spans="1:34" x14ac:dyDescent="0.2">
      <c r="A754" s="347">
        <f t="shared" ca="1" si="325"/>
        <v>1E-4</v>
      </c>
      <c r="B754" s="304">
        <f t="shared" ca="1" si="326"/>
        <v>29.236800000000063</v>
      </c>
      <c r="D754" s="306">
        <f t="shared" ca="1" si="327"/>
        <v>-0.73111083282914324</v>
      </c>
      <c r="E754" s="307">
        <f t="shared" ca="1" si="328"/>
        <v>-1.3373078551999598</v>
      </c>
      <c r="F754" s="304">
        <f t="shared" ca="1" si="329"/>
        <v>1.5241113310580825</v>
      </c>
      <c r="G754" s="306">
        <f t="shared" ca="1" si="330"/>
        <v>9.2134022988719213</v>
      </c>
      <c r="H754" s="307">
        <f t="shared" ca="1" si="331"/>
        <v>-106.77319361031105</v>
      </c>
      <c r="I754" s="304">
        <f t="shared" ca="1" si="332"/>
        <v>107.16996620166411</v>
      </c>
      <c r="J754" s="306">
        <f t="shared" ca="1" si="333"/>
        <v>746.86410190403069</v>
      </c>
      <c r="K754" s="307">
        <f t="shared" ca="1" si="334"/>
        <v>-6.1756420249327819</v>
      </c>
      <c r="L754" s="304">
        <f t="shared" ca="1" si="319"/>
        <v>746.88963392681683</v>
      </c>
      <c r="M754" s="306">
        <f t="shared" ca="1" si="335"/>
        <v>-1.4847200717482845</v>
      </c>
      <c r="N754" s="304">
        <f t="shared" ca="1" si="336"/>
        <v>-85.068193869537467</v>
      </c>
      <c r="P754" s="310">
        <f t="shared" ca="1" si="337"/>
        <v>23</v>
      </c>
      <c r="Q754" s="304">
        <f t="shared" ca="1" si="338"/>
        <v>0</v>
      </c>
      <c r="R754" s="306">
        <f t="shared" ca="1" si="339"/>
        <v>0</v>
      </c>
      <c r="S754" s="307">
        <f t="shared" ca="1" si="340"/>
        <v>5.083000000000002</v>
      </c>
      <c r="T754" s="304">
        <f t="shared" ca="1" si="320"/>
        <v>49.86423000000002</v>
      </c>
      <c r="U754" s="311">
        <f t="shared" ca="1" si="321"/>
        <v>0</v>
      </c>
      <c r="V754" s="306">
        <f t="shared" ca="1" si="322"/>
        <v>1.2257567498188537</v>
      </c>
      <c r="W754" s="304">
        <f t="shared" ca="1" si="323"/>
        <v>43.226882880866327</v>
      </c>
      <c r="Y754" s="314" t="str">
        <f t="shared" ca="1" si="341"/>
        <v/>
      </c>
      <c r="Z754" s="315" t="str">
        <f t="shared" ca="1" si="342"/>
        <v/>
      </c>
      <c r="AA754" s="316" t="str">
        <f t="shared" ca="1" si="343"/>
        <v/>
      </c>
      <c r="AC754" s="310" t="e">
        <f t="shared" ca="1" si="344"/>
        <v>#N/A</v>
      </c>
      <c r="AD754" s="323" t="e">
        <f t="shared" ca="1" si="345"/>
        <v>#N/A</v>
      </c>
      <c r="AE754" s="324" t="e">
        <f t="shared" ca="1" si="324"/>
        <v>#N/A</v>
      </c>
      <c r="AG754" s="306">
        <f t="shared" ca="1" si="346"/>
        <v>1.2695025108815781</v>
      </c>
      <c r="AH754" s="304">
        <f t="shared" ca="1" si="347"/>
        <v>-8.504177516399599</v>
      </c>
    </row>
    <row r="755" spans="1:34" x14ac:dyDescent="0.2">
      <c r="A755" s="347">
        <f t="shared" ca="1" si="325"/>
        <v>1E-4</v>
      </c>
      <c r="B755" s="304">
        <f t="shared" ca="1" si="326"/>
        <v>29.236900000000063</v>
      </c>
      <c r="D755" s="306">
        <f t="shared" ca="1" si="327"/>
        <v>-0.7311066779645472</v>
      </c>
      <c r="E755" s="307">
        <f t="shared" ca="1" si="328"/>
        <v>-1.337278160245118</v>
      </c>
      <c r="F755" s="304">
        <f t="shared" ca="1" si="329"/>
        <v>1.5240832826433481</v>
      </c>
      <c r="G755" s="306">
        <f t="shared" ca="1" si="330"/>
        <v>9.2133291882041242</v>
      </c>
      <c r="H755" s="307">
        <f t="shared" ca="1" si="331"/>
        <v>-106.77332733812707</v>
      </c>
      <c r="I755" s="304">
        <f t="shared" ca="1" si="332"/>
        <v>107.17009314909197</v>
      </c>
      <c r="J755" s="306">
        <f t="shared" ca="1" si="333"/>
        <v>746.86410190403069</v>
      </c>
      <c r="K755" s="307">
        <f t="shared" ca="1" si="334"/>
        <v>-6.1863193509802041</v>
      </c>
      <c r="L755" s="304">
        <f t="shared" ca="1" si="319"/>
        <v>746.88972228838884</v>
      </c>
      <c r="M755" s="306">
        <f t="shared" ca="1" si="335"/>
        <v>-1.4847208586895879</v>
      </c>
      <c r="N755" s="304">
        <f t="shared" ca="1" si="336"/>
        <v>-85.068238957952886</v>
      </c>
      <c r="P755" s="310">
        <f t="shared" ca="1" si="337"/>
        <v>23</v>
      </c>
      <c r="Q755" s="304">
        <f t="shared" ca="1" si="338"/>
        <v>0</v>
      </c>
      <c r="R755" s="306">
        <f t="shared" ca="1" si="339"/>
        <v>0</v>
      </c>
      <c r="S755" s="307">
        <f t="shared" ca="1" si="340"/>
        <v>5.083000000000002</v>
      </c>
      <c r="T755" s="304">
        <f t="shared" ca="1" si="320"/>
        <v>49.86423000000002</v>
      </c>
      <c r="U755" s="311">
        <f t="shared" ca="1" si="321"/>
        <v>0</v>
      </c>
      <c r="V755" s="306">
        <f t="shared" ca="1" si="322"/>
        <v>1.2257580586001249</v>
      </c>
      <c r="W755" s="304">
        <f t="shared" ca="1" si="323"/>
        <v>43.227031444016319</v>
      </c>
      <c r="Y755" s="314" t="str">
        <f t="shared" ca="1" si="341"/>
        <v/>
      </c>
      <c r="Z755" s="315" t="str">
        <f t="shared" ca="1" si="342"/>
        <v/>
      </c>
      <c r="AA755" s="316" t="str">
        <f t="shared" ca="1" si="343"/>
        <v/>
      </c>
      <c r="AC755" s="310" t="e">
        <f t="shared" ca="1" si="344"/>
        <v>#N/A</v>
      </c>
      <c r="AD755" s="323" t="e">
        <f t="shared" ca="1" si="345"/>
        <v>#N/A</v>
      </c>
      <c r="AE755" s="324" t="e">
        <f t="shared" ca="1" si="324"/>
        <v>#N/A</v>
      </c>
      <c r="AG755" s="306">
        <f t="shared" ca="1" si="346"/>
        <v>1.2694739467511464</v>
      </c>
      <c r="AH755" s="304">
        <f t="shared" ca="1" si="347"/>
        <v>-8.5042067442192231</v>
      </c>
    </row>
    <row r="756" spans="1:34" x14ac:dyDescent="0.2">
      <c r="A756" s="347">
        <f t="shared" ca="1" si="325"/>
        <v>1E-4</v>
      </c>
      <c r="B756" s="304">
        <f t="shared" ca="1" si="326"/>
        <v>29.237000000000062</v>
      </c>
      <c r="D756" s="306">
        <f t="shared" ca="1" si="327"/>
        <v>-0.7311025230909628</v>
      </c>
      <c r="E756" s="307">
        <f t="shared" ca="1" si="328"/>
        <v>-1.3372484656615118</v>
      </c>
      <c r="F756" s="304">
        <f t="shared" ca="1" si="329"/>
        <v>1.5240552346237453</v>
      </c>
      <c r="G756" s="306">
        <f t="shared" ca="1" si="330"/>
        <v>9.2132560779518151</v>
      </c>
      <c r="H756" s="307">
        <f t="shared" ca="1" si="331"/>
        <v>-106.77346106297364</v>
      </c>
      <c r="I756" s="304">
        <f t="shared" ca="1" si="332"/>
        <v>107.17022009366345</v>
      </c>
      <c r="J756" s="306">
        <f t="shared" ca="1" si="333"/>
        <v>746.86410190403069</v>
      </c>
      <c r="K756" s="307">
        <f t="shared" ca="1" si="334"/>
        <v>-6.1969966904002591</v>
      </c>
      <c r="L756" s="304">
        <f t="shared" ca="1" si="319"/>
        <v>746.88981080270139</v>
      </c>
      <c r="M756" s="306">
        <f t="shared" ca="1" si="335"/>
        <v>-1.4847216456227823</v>
      </c>
      <c r="N756" s="304">
        <f t="shared" ca="1" si="336"/>
        <v>-85.068284045903681</v>
      </c>
      <c r="P756" s="310">
        <f t="shared" ca="1" si="337"/>
        <v>23</v>
      </c>
      <c r="Q756" s="304">
        <f t="shared" ca="1" si="338"/>
        <v>0</v>
      </c>
      <c r="R756" s="306">
        <f t="shared" ca="1" si="339"/>
        <v>0</v>
      </c>
      <c r="S756" s="307">
        <f t="shared" ca="1" si="340"/>
        <v>5.083000000000002</v>
      </c>
      <c r="T756" s="304">
        <f t="shared" ca="1" si="320"/>
        <v>49.86423000000002</v>
      </c>
      <c r="U756" s="311">
        <f t="shared" ca="1" si="321"/>
        <v>0</v>
      </c>
      <c r="V756" s="306">
        <f t="shared" ca="1" si="322"/>
        <v>1.2257593673844325</v>
      </c>
      <c r="W756" s="304">
        <f t="shared" ca="1" si="323"/>
        <v>43.227180005309151</v>
      </c>
      <c r="Y756" s="314" t="str">
        <f t="shared" ca="1" si="341"/>
        <v/>
      </c>
      <c r="Z756" s="315" t="str">
        <f t="shared" ca="1" si="342"/>
        <v/>
      </c>
      <c r="AA756" s="316" t="str">
        <f t="shared" ca="1" si="343"/>
        <v/>
      </c>
      <c r="AC756" s="310" t="e">
        <f t="shared" ca="1" si="344"/>
        <v>#N/A</v>
      </c>
      <c r="AD756" s="323" t="e">
        <f t="shared" ca="1" si="345"/>
        <v>#N/A</v>
      </c>
      <c r="AE756" s="324" t="e">
        <f t="shared" ca="1" si="324"/>
        <v>#N/A</v>
      </c>
      <c r="AG756" s="306">
        <f t="shared" ca="1" si="346"/>
        <v>1.2694453829731867</v>
      </c>
      <c r="AH756" s="304">
        <f t="shared" ca="1" si="347"/>
        <v>-8.5042359716734808</v>
      </c>
    </row>
    <row r="757" spans="1:34" x14ac:dyDescent="0.2">
      <c r="A757" s="347">
        <f t="shared" ca="1" si="325"/>
        <v>1E-4</v>
      </c>
      <c r="B757" s="304">
        <f t="shared" ca="1" si="326"/>
        <v>29.237100000000062</v>
      </c>
      <c r="D757" s="306">
        <f t="shared" ca="1" si="327"/>
        <v>-0.73109836820839191</v>
      </c>
      <c r="E757" s="307">
        <f t="shared" ca="1" si="328"/>
        <v>-1.3372187714491393</v>
      </c>
      <c r="F757" s="304">
        <f t="shared" ca="1" si="329"/>
        <v>1.5240271869992736</v>
      </c>
      <c r="G757" s="306">
        <f t="shared" ca="1" si="330"/>
        <v>9.2131829681149942</v>
      </c>
      <c r="H757" s="307">
        <f t="shared" ca="1" si="331"/>
        <v>-106.77359478485079</v>
      </c>
      <c r="I757" s="304">
        <f t="shared" ca="1" si="332"/>
        <v>107.17034703537858</v>
      </c>
      <c r="J757" s="306">
        <f t="shared" ca="1" si="333"/>
        <v>746.86410190403069</v>
      </c>
      <c r="K757" s="307">
        <f t="shared" ca="1" si="334"/>
        <v>-6.2076740431926503</v>
      </c>
      <c r="L757" s="304">
        <f t="shared" ca="1" si="319"/>
        <v>746.88989946975505</v>
      </c>
      <c r="M757" s="306">
        <f t="shared" ca="1" si="335"/>
        <v>-1.4847224325478681</v>
      </c>
      <c r="N757" s="304">
        <f t="shared" ca="1" si="336"/>
        <v>-85.068329133389895</v>
      </c>
      <c r="P757" s="310">
        <f t="shared" ca="1" si="337"/>
        <v>23</v>
      </c>
      <c r="Q757" s="304">
        <f t="shared" ca="1" si="338"/>
        <v>0</v>
      </c>
      <c r="R757" s="306">
        <f t="shared" ca="1" si="339"/>
        <v>0</v>
      </c>
      <c r="S757" s="307">
        <f t="shared" ca="1" si="340"/>
        <v>5.083000000000002</v>
      </c>
      <c r="T757" s="304">
        <f t="shared" ca="1" si="320"/>
        <v>49.86423000000002</v>
      </c>
      <c r="U757" s="311">
        <f t="shared" ca="1" si="321"/>
        <v>0</v>
      </c>
      <c r="V757" s="306">
        <f t="shared" ca="1" si="322"/>
        <v>1.2257606761717774</v>
      </c>
      <c r="W757" s="304">
        <f t="shared" ca="1" si="323"/>
        <v>43.227328564744852</v>
      </c>
      <c r="Y757" s="314" t="str">
        <f t="shared" ca="1" si="341"/>
        <v/>
      </c>
      <c r="Z757" s="315" t="str">
        <f t="shared" ca="1" si="342"/>
        <v/>
      </c>
      <c r="AA757" s="316" t="str">
        <f t="shared" ca="1" si="343"/>
        <v/>
      </c>
      <c r="AC757" s="310" t="e">
        <f t="shared" ca="1" si="344"/>
        <v>#N/A</v>
      </c>
      <c r="AD757" s="323" t="e">
        <f t="shared" ca="1" si="345"/>
        <v>#N/A</v>
      </c>
      <c r="AE757" s="324" t="e">
        <f t="shared" ca="1" si="324"/>
        <v>#N/A</v>
      </c>
      <c r="AG757" s="306">
        <f t="shared" ca="1" si="346"/>
        <v>1.2694168195477022</v>
      </c>
      <c r="AH757" s="304">
        <f t="shared" ca="1" si="347"/>
        <v>-8.5042651987623721</v>
      </c>
    </row>
    <row r="758" spans="1:34" x14ac:dyDescent="0.2">
      <c r="A758" s="347">
        <f t="shared" ca="1" si="325"/>
        <v>1E-4</v>
      </c>
      <c r="B758" s="304">
        <f t="shared" ca="1" si="326"/>
        <v>29.237200000000062</v>
      </c>
      <c r="D758" s="306">
        <f t="shared" ca="1" si="327"/>
        <v>-0.73109421331683233</v>
      </c>
      <c r="E758" s="307">
        <f t="shared" ca="1" si="328"/>
        <v>-1.3371890776079987</v>
      </c>
      <c r="F758" s="304">
        <f t="shared" ca="1" si="329"/>
        <v>1.5239991397699306</v>
      </c>
      <c r="G758" s="306">
        <f t="shared" ca="1" si="330"/>
        <v>9.2131098586936631</v>
      </c>
      <c r="H758" s="307">
        <f t="shared" ca="1" si="331"/>
        <v>-106.77372850375855</v>
      </c>
      <c r="I758" s="304">
        <f t="shared" ca="1" si="332"/>
        <v>107.17047397423742</v>
      </c>
      <c r="J758" s="306">
        <f t="shared" ca="1" si="333"/>
        <v>746.86410190403069</v>
      </c>
      <c r="K758" s="307">
        <f t="shared" ca="1" si="334"/>
        <v>-6.2183514093570809</v>
      </c>
      <c r="L758" s="304">
        <f t="shared" ca="1" si="319"/>
        <v>746.88998828955027</v>
      </c>
      <c r="M758" s="306">
        <f t="shared" ca="1" si="335"/>
        <v>-1.4847232194648452</v>
      </c>
      <c r="N758" s="304">
        <f t="shared" ca="1" si="336"/>
        <v>-85.068374220411513</v>
      </c>
      <c r="P758" s="310">
        <f t="shared" ca="1" si="337"/>
        <v>23</v>
      </c>
      <c r="Q758" s="304">
        <f t="shared" ca="1" si="338"/>
        <v>0</v>
      </c>
      <c r="R758" s="306">
        <f t="shared" ca="1" si="339"/>
        <v>0</v>
      </c>
      <c r="S758" s="307">
        <f t="shared" ca="1" si="340"/>
        <v>5.083000000000002</v>
      </c>
      <c r="T758" s="304">
        <f t="shared" ca="1" si="320"/>
        <v>49.86423000000002</v>
      </c>
      <c r="U758" s="311">
        <f t="shared" ca="1" si="321"/>
        <v>0</v>
      </c>
      <c r="V758" s="306">
        <f t="shared" ca="1" si="322"/>
        <v>1.2257619849621593</v>
      </c>
      <c r="W758" s="304">
        <f t="shared" ca="1" si="323"/>
        <v>43.22747712232345</v>
      </c>
      <c r="Y758" s="314" t="str">
        <f t="shared" ca="1" si="341"/>
        <v/>
      </c>
      <c r="Z758" s="315" t="str">
        <f t="shared" ca="1" si="342"/>
        <v/>
      </c>
      <c r="AA758" s="316" t="str">
        <f t="shared" ca="1" si="343"/>
        <v/>
      </c>
      <c r="AC758" s="310" t="e">
        <f t="shared" ca="1" si="344"/>
        <v>#N/A</v>
      </c>
      <c r="AD758" s="323" t="e">
        <f t="shared" ca="1" si="345"/>
        <v>#N/A</v>
      </c>
      <c r="AE758" s="324" t="e">
        <f t="shared" ca="1" si="324"/>
        <v>#N/A</v>
      </c>
      <c r="AG758" s="306">
        <f t="shared" ca="1" si="346"/>
        <v>1.2693882564746897</v>
      </c>
      <c r="AH758" s="304">
        <f t="shared" ca="1" si="347"/>
        <v>-8.5042944254859005</v>
      </c>
    </row>
    <row r="759" spans="1:34" x14ac:dyDescent="0.2">
      <c r="A759" s="347">
        <f t="shared" ca="1" si="325"/>
        <v>1E-4</v>
      </c>
      <c r="B759" s="304">
        <f t="shared" ca="1" si="326"/>
        <v>29.237300000000062</v>
      </c>
      <c r="D759" s="306">
        <f t="shared" ca="1" si="327"/>
        <v>-0.73109005841628671</v>
      </c>
      <c r="E759" s="307">
        <f t="shared" ca="1" si="328"/>
        <v>-1.3371593841380793</v>
      </c>
      <c r="F759" s="304">
        <f t="shared" ca="1" si="329"/>
        <v>1.5239710929357082</v>
      </c>
      <c r="G759" s="306">
        <f t="shared" ca="1" si="330"/>
        <v>9.2130367496878218</v>
      </c>
      <c r="H759" s="307">
        <f t="shared" ca="1" si="331"/>
        <v>-106.77386221969697</v>
      </c>
      <c r="I759" s="304">
        <f t="shared" ca="1" si="332"/>
        <v>107.17060091023997</v>
      </c>
      <c r="J759" s="306">
        <f t="shared" ca="1" si="333"/>
        <v>746.86410190403069</v>
      </c>
      <c r="K759" s="307">
        <f t="shared" ca="1" si="334"/>
        <v>-6.2290287888932534</v>
      </c>
      <c r="L759" s="304">
        <f t="shared" ca="1" si="319"/>
        <v>746.89007726208752</v>
      </c>
      <c r="M759" s="306">
        <f t="shared" ca="1" si="335"/>
        <v>-1.4847240063737139</v>
      </c>
      <c r="N759" s="304">
        <f t="shared" ca="1" si="336"/>
        <v>-85.068419306968551</v>
      </c>
      <c r="P759" s="310">
        <f t="shared" ca="1" si="337"/>
        <v>23</v>
      </c>
      <c r="Q759" s="304">
        <f t="shared" ca="1" si="338"/>
        <v>0</v>
      </c>
      <c r="R759" s="306">
        <f t="shared" ca="1" si="339"/>
        <v>0</v>
      </c>
      <c r="S759" s="307">
        <f t="shared" ca="1" si="340"/>
        <v>5.083000000000002</v>
      </c>
      <c r="T759" s="304">
        <f t="shared" ca="1" si="320"/>
        <v>49.86423000000002</v>
      </c>
      <c r="U759" s="311">
        <f t="shared" ca="1" si="321"/>
        <v>0</v>
      </c>
      <c r="V759" s="306">
        <f t="shared" ca="1" si="322"/>
        <v>1.2257632937555785</v>
      </c>
      <c r="W759" s="304">
        <f t="shared" ca="1" si="323"/>
        <v>43.22762567804493</v>
      </c>
      <c r="Y759" s="314" t="str">
        <f t="shared" ca="1" si="341"/>
        <v/>
      </c>
      <c r="Z759" s="315" t="str">
        <f t="shared" ca="1" si="342"/>
        <v/>
      </c>
      <c r="AA759" s="316" t="str">
        <f t="shared" ca="1" si="343"/>
        <v/>
      </c>
      <c r="AC759" s="310" t="e">
        <f t="shared" ca="1" si="344"/>
        <v>#N/A</v>
      </c>
      <c r="AD759" s="323" t="e">
        <f t="shared" ca="1" si="345"/>
        <v>#N/A</v>
      </c>
      <c r="AE759" s="324" t="e">
        <f t="shared" ca="1" si="324"/>
        <v>#N/A</v>
      </c>
      <c r="AG759" s="306">
        <f t="shared" ca="1" si="346"/>
        <v>1.2693596937541418</v>
      </c>
      <c r="AH759" s="304">
        <f t="shared" ca="1" si="347"/>
        <v>-8.504323651844075</v>
      </c>
    </row>
    <row r="760" spans="1:34" x14ac:dyDescent="0.2">
      <c r="A760" s="347">
        <f t="shared" ca="1" si="325"/>
        <v>1E-4</v>
      </c>
      <c r="B760" s="304">
        <f t="shared" ca="1" si="326"/>
        <v>29.237400000000061</v>
      </c>
      <c r="D760" s="306">
        <f t="shared" ca="1" si="327"/>
        <v>-0.73108590350675418</v>
      </c>
      <c r="E760" s="307">
        <f t="shared" ca="1" si="328"/>
        <v>-1.3371296910393884</v>
      </c>
      <c r="F760" s="304">
        <f t="shared" ca="1" si="329"/>
        <v>1.5239430464966128</v>
      </c>
      <c r="G760" s="306">
        <f t="shared" ca="1" si="330"/>
        <v>9.2129636410974705</v>
      </c>
      <c r="H760" s="307">
        <f t="shared" ca="1" si="331"/>
        <v>-106.77399593266607</v>
      </c>
      <c r="I760" s="304">
        <f t="shared" ca="1" si="332"/>
        <v>107.17072784338629</v>
      </c>
      <c r="J760" s="306">
        <f t="shared" ca="1" si="333"/>
        <v>746.86410190403069</v>
      </c>
      <c r="K760" s="307">
        <f t="shared" ca="1" si="334"/>
        <v>-6.2397061818008712</v>
      </c>
      <c r="L760" s="304">
        <f t="shared" ca="1" si="319"/>
        <v>746.89016638736757</v>
      </c>
      <c r="M760" s="306">
        <f t="shared" ca="1" si="335"/>
        <v>-1.484724793274474</v>
      </c>
      <c r="N760" s="304">
        <f t="shared" ca="1" si="336"/>
        <v>-85.068464393060992</v>
      </c>
      <c r="P760" s="310">
        <f t="shared" ca="1" si="337"/>
        <v>23</v>
      </c>
      <c r="Q760" s="304">
        <f t="shared" ca="1" si="338"/>
        <v>0</v>
      </c>
      <c r="R760" s="306">
        <f t="shared" ca="1" si="339"/>
        <v>0</v>
      </c>
      <c r="S760" s="307">
        <f t="shared" ca="1" si="340"/>
        <v>5.083000000000002</v>
      </c>
      <c r="T760" s="304">
        <f t="shared" ca="1" si="320"/>
        <v>49.86423000000002</v>
      </c>
      <c r="U760" s="311">
        <f t="shared" ca="1" si="321"/>
        <v>0</v>
      </c>
      <c r="V760" s="306">
        <f t="shared" ca="1" si="322"/>
        <v>1.2257646025520341</v>
      </c>
      <c r="W760" s="304">
        <f t="shared" ca="1" si="323"/>
        <v>43.227774231909322</v>
      </c>
      <c r="Y760" s="314" t="str">
        <f t="shared" ca="1" si="341"/>
        <v/>
      </c>
      <c r="Z760" s="315" t="str">
        <f t="shared" ca="1" si="342"/>
        <v/>
      </c>
      <c r="AA760" s="316" t="str">
        <f t="shared" ca="1" si="343"/>
        <v/>
      </c>
      <c r="AC760" s="310" t="e">
        <f t="shared" ca="1" si="344"/>
        <v>#N/A</v>
      </c>
      <c r="AD760" s="323" t="e">
        <f t="shared" ca="1" si="345"/>
        <v>#N/A</v>
      </c>
      <c r="AE760" s="324" t="e">
        <f t="shared" ca="1" si="324"/>
        <v>#N/A</v>
      </c>
      <c r="AG760" s="306">
        <f t="shared" ca="1" si="346"/>
        <v>1.2693311313860622</v>
      </c>
      <c r="AH760" s="304">
        <f t="shared" ca="1" si="347"/>
        <v>-8.5043528778368902</v>
      </c>
    </row>
    <row r="761" spans="1:34" x14ac:dyDescent="0.2">
      <c r="A761" s="347">
        <f t="shared" ca="1" si="325"/>
        <v>1E-4</v>
      </c>
      <c r="B761" s="304">
        <f t="shared" ca="1" si="326"/>
        <v>29.237500000000061</v>
      </c>
      <c r="D761" s="306">
        <f t="shared" ca="1" si="327"/>
        <v>-0.73108174858823871</v>
      </c>
      <c r="E761" s="307">
        <f t="shared" ca="1" si="328"/>
        <v>-1.3370999983119152</v>
      </c>
      <c r="F761" s="304">
        <f t="shared" ca="1" si="329"/>
        <v>1.5239150004526369</v>
      </c>
      <c r="G761" s="306">
        <f t="shared" ca="1" si="330"/>
        <v>9.2128905329226125</v>
      </c>
      <c r="H761" s="307">
        <f t="shared" ca="1" si="331"/>
        <v>-106.7741296426659</v>
      </c>
      <c r="I761" s="304">
        <f t="shared" ca="1" si="332"/>
        <v>107.17085477367641</v>
      </c>
      <c r="J761" s="306">
        <f t="shared" ca="1" si="333"/>
        <v>746.86410190403069</v>
      </c>
      <c r="K761" s="307">
        <f t="shared" ca="1" si="334"/>
        <v>-6.2503835880796377</v>
      </c>
      <c r="L761" s="304">
        <f t="shared" ca="1" si="319"/>
        <v>746.89025566539055</v>
      </c>
      <c r="M761" s="306">
        <f t="shared" ca="1" si="335"/>
        <v>-1.484725580167126</v>
      </c>
      <c r="N761" s="304">
        <f t="shared" ca="1" si="336"/>
        <v>-85.068509478688881</v>
      </c>
      <c r="P761" s="310">
        <f t="shared" ca="1" si="337"/>
        <v>23</v>
      </c>
      <c r="Q761" s="304">
        <f t="shared" ca="1" si="338"/>
        <v>0</v>
      </c>
      <c r="R761" s="306">
        <f t="shared" ca="1" si="339"/>
        <v>0</v>
      </c>
      <c r="S761" s="307">
        <f t="shared" ca="1" si="340"/>
        <v>5.083000000000002</v>
      </c>
      <c r="T761" s="304">
        <f t="shared" ca="1" si="320"/>
        <v>49.86423000000002</v>
      </c>
      <c r="U761" s="311">
        <f t="shared" ca="1" si="321"/>
        <v>0</v>
      </c>
      <c r="V761" s="306">
        <f t="shared" ca="1" si="322"/>
        <v>1.2257659113515267</v>
      </c>
      <c r="W761" s="304">
        <f t="shared" ca="1" si="323"/>
        <v>43.22792278391664</v>
      </c>
      <c r="Y761" s="314" t="str">
        <f t="shared" ca="1" si="341"/>
        <v/>
      </c>
      <c r="Z761" s="315" t="str">
        <f t="shared" ca="1" si="342"/>
        <v/>
      </c>
      <c r="AA761" s="316" t="str">
        <f t="shared" ca="1" si="343"/>
        <v/>
      </c>
      <c r="AC761" s="310" t="e">
        <f t="shared" ca="1" si="344"/>
        <v>#N/A</v>
      </c>
      <c r="AD761" s="323" t="e">
        <f t="shared" ca="1" si="345"/>
        <v>#N/A</v>
      </c>
      <c r="AE761" s="324" t="e">
        <f t="shared" ca="1" si="324"/>
        <v>#N/A</v>
      </c>
      <c r="AG761" s="306">
        <f t="shared" ca="1" si="346"/>
        <v>1.2693025693704456</v>
      </c>
      <c r="AH761" s="304">
        <f t="shared" ca="1" si="347"/>
        <v>-8.5043821034643532</v>
      </c>
    </row>
    <row r="762" spans="1:34" x14ac:dyDescent="0.2">
      <c r="A762" s="347">
        <f t="shared" ca="1" si="325"/>
        <v>1E-4</v>
      </c>
      <c r="B762" s="304">
        <f t="shared" ca="1" si="326"/>
        <v>29.237600000000061</v>
      </c>
      <c r="D762" s="306">
        <f t="shared" ca="1" si="327"/>
        <v>-0.73107759366073832</v>
      </c>
      <c r="E762" s="307">
        <f t="shared" ca="1" si="328"/>
        <v>-1.3370703059556632</v>
      </c>
      <c r="F762" s="304">
        <f t="shared" ca="1" si="329"/>
        <v>1.5238869548037828</v>
      </c>
      <c r="G762" s="306">
        <f t="shared" ca="1" si="330"/>
        <v>9.2128174251632462</v>
      </c>
      <c r="H762" s="307">
        <f t="shared" ca="1" si="331"/>
        <v>-106.7742633496965</v>
      </c>
      <c r="I762" s="304">
        <f t="shared" ca="1" si="332"/>
        <v>107.17098170111035</v>
      </c>
      <c r="J762" s="306">
        <f t="shared" ca="1" si="333"/>
        <v>746.86410190403069</v>
      </c>
      <c r="K762" s="307">
        <f t="shared" ca="1" si="334"/>
        <v>-6.2610610077292561</v>
      </c>
      <c r="L762" s="304">
        <f t="shared" ca="1" si="319"/>
        <v>746.89034509615726</v>
      </c>
      <c r="M762" s="306">
        <f t="shared" ca="1" si="335"/>
        <v>-1.4847263670516695</v>
      </c>
      <c r="N762" s="304">
        <f t="shared" ca="1" si="336"/>
        <v>-85.068554563852189</v>
      </c>
      <c r="P762" s="310">
        <f t="shared" ca="1" si="337"/>
        <v>23</v>
      </c>
      <c r="Q762" s="304">
        <f t="shared" ca="1" si="338"/>
        <v>0</v>
      </c>
      <c r="R762" s="306">
        <f t="shared" ca="1" si="339"/>
        <v>0</v>
      </c>
      <c r="S762" s="307">
        <f t="shared" ca="1" si="340"/>
        <v>5.083000000000002</v>
      </c>
      <c r="T762" s="304">
        <f t="shared" ca="1" si="320"/>
        <v>49.86423000000002</v>
      </c>
      <c r="U762" s="311">
        <f t="shared" ca="1" si="321"/>
        <v>0</v>
      </c>
      <c r="V762" s="306">
        <f t="shared" ca="1" si="322"/>
        <v>1.2257672201540561</v>
      </c>
      <c r="W762" s="304">
        <f t="shared" ca="1" si="323"/>
        <v>43.228071334066868</v>
      </c>
      <c r="Y762" s="314" t="str">
        <f t="shared" ca="1" si="341"/>
        <v/>
      </c>
      <c r="Z762" s="315" t="str">
        <f t="shared" ca="1" si="342"/>
        <v/>
      </c>
      <c r="AA762" s="316" t="str">
        <f t="shared" ca="1" si="343"/>
        <v/>
      </c>
      <c r="AC762" s="310" t="e">
        <f t="shared" ca="1" si="344"/>
        <v>#N/A</v>
      </c>
      <c r="AD762" s="323" t="e">
        <f t="shared" ca="1" si="345"/>
        <v>#N/A</v>
      </c>
      <c r="AE762" s="324" t="e">
        <f t="shared" ca="1" si="324"/>
        <v>#N/A</v>
      </c>
      <c r="AG762" s="306">
        <f t="shared" ca="1" si="346"/>
        <v>1.2692740077072884</v>
      </c>
      <c r="AH762" s="304">
        <f t="shared" ca="1" si="347"/>
        <v>-8.5044113287264658</v>
      </c>
    </row>
    <row r="763" spans="1:34" x14ac:dyDescent="0.2">
      <c r="A763" s="347">
        <f t="shared" ca="1" si="325"/>
        <v>1E-4</v>
      </c>
      <c r="B763" s="304">
        <f t="shared" ca="1" si="326"/>
        <v>29.237700000000061</v>
      </c>
      <c r="D763" s="306">
        <f t="shared" ca="1" si="327"/>
        <v>-0.73107343872425623</v>
      </c>
      <c r="E763" s="307">
        <f t="shared" ca="1" si="328"/>
        <v>-1.3370406139706308</v>
      </c>
      <c r="F763" s="304">
        <f t="shared" ca="1" si="329"/>
        <v>1.5238589095500508</v>
      </c>
      <c r="G763" s="306">
        <f t="shared" ca="1" si="330"/>
        <v>9.2127443178193733</v>
      </c>
      <c r="H763" s="307">
        <f t="shared" ca="1" si="331"/>
        <v>-106.77439705375789</v>
      </c>
      <c r="I763" s="304">
        <f t="shared" ca="1" si="332"/>
        <v>107.17110862568819</v>
      </c>
      <c r="J763" s="306">
        <f t="shared" ca="1" si="333"/>
        <v>746.86410190403069</v>
      </c>
      <c r="K763" s="307">
        <f t="shared" ca="1" si="334"/>
        <v>-6.271738440749429</v>
      </c>
      <c r="L763" s="304">
        <f t="shared" ca="1" si="319"/>
        <v>746.89043467966803</v>
      </c>
      <c r="M763" s="306">
        <f t="shared" ca="1" si="335"/>
        <v>-1.4847271539281053</v>
      </c>
      <c r="N763" s="304">
        <f t="shared" ca="1" si="336"/>
        <v>-85.068599648550958</v>
      </c>
      <c r="P763" s="310">
        <f t="shared" ca="1" si="337"/>
        <v>23</v>
      </c>
      <c r="Q763" s="304">
        <f t="shared" ca="1" si="338"/>
        <v>0</v>
      </c>
      <c r="R763" s="306">
        <f t="shared" ca="1" si="339"/>
        <v>0</v>
      </c>
      <c r="S763" s="307">
        <f t="shared" ca="1" si="340"/>
        <v>5.083000000000002</v>
      </c>
      <c r="T763" s="304">
        <f t="shared" ca="1" si="320"/>
        <v>49.86423000000002</v>
      </c>
      <c r="U763" s="311">
        <f t="shared" ca="1" si="321"/>
        <v>0</v>
      </c>
      <c r="V763" s="306">
        <f t="shared" ca="1" si="322"/>
        <v>1.2257685289596225</v>
      </c>
      <c r="W763" s="304">
        <f t="shared" ca="1" si="323"/>
        <v>43.228219882360079</v>
      </c>
      <c r="Y763" s="314" t="str">
        <f t="shared" ca="1" si="341"/>
        <v/>
      </c>
      <c r="Z763" s="315" t="str">
        <f t="shared" ca="1" si="342"/>
        <v/>
      </c>
      <c r="AA763" s="316" t="str">
        <f t="shared" ca="1" si="343"/>
        <v/>
      </c>
      <c r="AC763" s="310" t="e">
        <f t="shared" ca="1" si="344"/>
        <v>#N/A</v>
      </c>
      <c r="AD763" s="323" t="e">
        <f t="shared" ca="1" si="345"/>
        <v>#N/A</v>
      </c>
      <c r="AE763" s="324" t="e">
        <f t="shared" ca="1" si="324"/>
        <v>#N/A</v>
      </c>
      <c r="AG763" s="306">
        <f t="shared" ca="1" si="346"/>
        <v>1.2692454463965959</v>
      </c>
      <c r="AH763" s="304">
        <f t="shared" ca="1" si="347"/>
        <v>-8.5044405536232244</v>
      </c>
    </row>
    <row r="764" spans="1:34" x14ac:dyDescent="0.2">
      <c r="A764" s="347">
        <f t="shared" ca="1" si="325"/>
        <v>1E-4</v>
      </c>
      <c r="B764" s="304">
        <f t="shared" ca="1" si="326"/>
        <v>29.23780000000006</v>
      </c>
      <c r="D764" s="306">
        <f t="shared" ca="1" si="327"/>
        <v>-0.73106928377878977</v>
      </c>
      <c r="E764" s="307">
        <f t="shared" ca="1" si="328"/>
        <v>-1.3370109223568054</v>
      </c>
      <c r="F764" s="304">
        <f t="shared" ca="1" si="329"/>
        <v>1.5238308646914291</v>
      </c>
      <c r="G764" s="306">
        <f t="shared" ca="1" si="330"/>
        <v>9.2126712108909956</v>
      </c>
      <c r="H764" s="307">
        <f t="shared" ca="1" si="331"/>
        <v>-106.77453075485013</v>
      </c>
      <c r="I764" s="304">
        <f t="shared" ca="1" si="332"/>
        <v>107.17123554740991</v>
      </c>
      <c r="J764" s="306">
        <f t="shared" ca="1" si="333"/>
        <v>746.86410190403069</v>
      </c>
      <c r="K764" s="307">
        <f t="shared" ca="1" si="334"/>
        <v>-6.2824158871398597</v>
      </c>
      <c r="L764" s="304">
        <f t="shared" ca="1" si="319"/>
        <v>746.89052441592355</v>
      </c>
      <c r="M764" s="306">
        <f t="shared" ca="1" si="335"/>
        <v>-1.4847279407964329</v>
      </c>
      <c r="N764" s="304">
        <f t="shared" ca="1" si="336"/>
        <v>-85.06864473278516</v>
      </c>
      <c r="P764" s="310">
        <f t="shared" ca="1" si="337"/>
        <v>23</v>
      </c>
      <c r="Q764" s="304">
        <f t="shared" ca="1" si="338"/>
        <v>0</v>
      </c>
      <c r="R764" s="306">
        <f t="shared" ca="1" si="339"/>
        <v>0</v>
      </c>
      <c r="S764" s="307">
        <f t="shared" ca="1" si="340"/>
        <v>5.083000000000002</v>
      </c>
      <c r="T764" s="304">
        <f t="shared" ca="1" si="320"/>
        <v>49.86423000000002</v>
      </c>
      <c r="U764" s="311">
        <f t="shared" ca="1" si="321"/>
        <v>0</v>
      </c>
      <c r="V764" s="306">
        <f t="shared" ca="1" si="322"/>
        <v>1.2257698377682262</v>
      </c>
      <c r="W764" s="304">
        <f t="shared" ca="1" si="323"/>
        <v>43.228368428796244</v>
      </c>
      <c r="Y764" s="314" t="str">
        <f t="shared" ca="1" si="341"/>
        <v/>
      </c>
      <c r="Z764" s="315" t="str">
        <f t="shared" ca="1" si="342"/>
        <v/>
      </c>
      <c r="AA764" s="316" t="str">
        <f t="shared" ca="1" si="343"/>
        <v/>
      </c>
      <c r="AC764" s="310" t="e">
        <f t="shared" ca="1" si="344"/>
        <v>#N/A</v>
      </c>
      <c r="AD764" s="323" t="e">
        <f t="shared" ca="1" si="345"/>
        <v>#N/A</v>
      </c>
      <c r="AE764" s="324" t="e">
        <f t="shared" ca="1" si="324"/>
        <v>#N/A</v>
      </c>
      <c r="AG764" s="306">
        <f t="shared" ca="1" si="346"/>
        <v>1.2692168854383521</v>
      </c>
      <c r="AH764" s="304">
        <f t="shared" ca="1" si="347"/>
        <v>-8.504469778154645</v>
      </c>
    </row>
    <row r="765" spans="1:34" x14ac:dyDescent="0.2">
      <c r="A765" s="347">
        <f t="shared" ca="1" si="325"/>
        <v>1E-4</v>
      </c>
      <c r="B765" s="304">
        <f t="shared" ca="1" si="326"/>
        <v>29.23790000000006</v>
      </c>
      <c r="D765" s="306">
        <f t="shared" ca="1" si="327"/>
        <v>-0.73106512882434382</v>
      </c>
      <c r="E765" s="307">
        <f t="shared" ca="1" si="328"/>
        <v>-1.3369812311141906</v>
      </c>
      <c r="F765" s="304">
        <f t="shared" ca="1" si="329"/>
        <v>1.5238028202279228</v>
      </c>
      <c r="G765" s="306">
        <f t="shared" ca="1" si="330"/>
        <v>9.2125981043781131</v>
      </c>
      <c r="H765" s="307">
        <f t="shared" ca="1" si="331"/>
        <v>-106.77466445297324</v>
      </c>
      <c r="I765" s="304">
        <f t="shared" ca="1" si="332"/>
        <v>107.17136246627557</v>
      </c>
      <c r="J765" s="306">
        <f t="shared" ca="1" si="333"/>
        <v>746.86410190403069</v>
      </c>
      <c r="K765" s="307">
        <f t="shared" ca="1" si="334"/>
        <v>-6.2930933469002506</v>
      </c>
      <c r="L765" s="304">
        <f t="shared" ca="1" si="319"/>
        <v>746.89061430492427</v>
      </c>
      <c r="M765" s="306">
        <f t="shared" ca="1" si="335"/>
        <v>-1.4847287276566528</v>
      </c>
      <c r="N765" s="304">
        <f t="shared" ca="1" si="336"/>
        <v>-85.068689816554823</v>
      </c>
      <c r="P765" s="310">
        <f t="shared" ca="1" si="337"/>
        <v>23</v>
      </c>
      <c r="Q765" s="304">
        <f t="shared" ca="1" si="338"/>
        <v>0</v>
      </c>
      <c r="R765" s="306">
        <f t="shared" ca="1" si="339"/>
        <v>0</v>
      </c>
      <c r="S765" s="307">
        <f t="shared" ca="1" si="340"/>
        <v>5.083000000000002</v>
      </c>
      <c r="T765" s="304">
        <f t="shared" ca="1" si="320"/>
        <v>49.86423000000002</v>
      </c>
      <c r="U765" s="311">
        <f t="shared" ca="1" si="321"/>
        <v>0</v>
      </c>
      <c r="V765" s="306">
        <f t="shared" ca="1" si="322"/>
        <v>1.2257711465798657</v>
      </c>
      <c r="W765" s="304">
        <f t="shared" ca="1" si="323"/>
        <v>43.228516973375356</v>
      </c>
      <c r="Y765" s="314" t="str">
        <f t="shared" ca="1" si="341"/>
        <v/>
      </c>
      <c r="Z765" s="315" t="str">
        <f t="shared" ca="1" si="342"/>
        <v/>
      </c>
      <c r="AA765" s="316" t="str">
        <f t="shared" ca="1" si="343"/>
        <v/>
      </c>
      <c r="AC765" s="310" t="e">
        <f t="shared" ca="1" si="344"/>
        <v>#N/A</v>
      </c>
      <c r="AD765" s="323" t="e">
        <f t="shared" ca="1" si="345"/>
        <v>#N/A</v>
      </c>
      <c r="AE765" s="324" t="e">
        <f t="shared" ca="1" si="324"/>
        <v>#N/A</v>
      </c>
      <c r="AG765" s="306">
        <f t="shared" ca="1" si="346"/>
        <v>1.2691883248325624</v>
      </c>
      <c r="AH765" s="304">
        <f t="shared" ca="1" si="347"/>
        <v>-8.5044990023207223</v>
      </c>
    </row>
    <row r="766" spans="1:34" x14ac:dyDescent="0.2">
      <c r="A766" s="347">
        <f t="shared" ca="1" si="325"/>
        <v>1E-4</v>
      </c>
      <c r="B766" s="304">
        <f t="shared" ca="1" si="326"/>
        <v>29.23800000000006</v>
      </c>
      <c r="D766" s="306">
        <f t="shared" ca="1" si="327"/>
        <v>-0.73106097386091562</v>
      </c>
      <c r="E766" s="307">
        <f t="shared" ca="1" si="328"/>
        <v>-1.3369515402427918</v>
      </c>
      <c r="F766" s="304">
        <f t="shared" ca="1" si="329"/>
        <v>1.5237747761595359</v>
      </c>
      <c r="G766" s="306">
        <f t="shared" ca="1" si="330"/>
        <v>9.2125249982807276</v>
      </c>
      <c r="H766" s="307">
        <f t="shared" ca="1" si="331"/>
        <v>-106.77479814812726</v>
      </c>
      <c r="I766" s="304">
        <f t="shared" ca="1" si="332"/>
        <v>107.1714893822852</v>
      </c>
      <c r="J766" s="306">
        <f t="shared" ca="1" si="333"/>
        <v>746.86410190403069</v>
      </c>
      <c r="K766" s="307">
        <f t="shared" ca="1" si="334"/>
        <v>-6.303770820030306</v>
      </c>
      <c r="L766" s="304">
        <f t="shared" ca="1" si="319"/>
        <v>746.89070434667065</v>
      </c>
      <c r="M766" s="306">
        <f t="shared" ca="1" si="335"/>
        <v>-1.4847295145087649</v>
      </c>
      <c r="N766" s="304">
        <f t="shared" ca="1" si="336"/>
        <v>-85.068734899859962</v>
      </c>
      <c r="P766" s="310">
        <f t="shared" ca="1" si="337"/>
        <v>23</v>
      </c>
      <c r="Q766" s="304">
        <f t="shared" ca="1" si="338"/>
        <v>0</v>
      </c>
      <c r="R766" s="306">
        <f t="shared" ca="1" si="339"/>
        <v>0</v>
      </c>
      <c r="S766" s="307">
        <f t="shared" ca="1" si="340"/>
        <v>5.083000000000002</v>
      </c>
      <c r="T766" s="304">
        <f t="shared" ca="1" si="320"/>
        <v>49.86423000000002</v>
      </c>
      <c r="U766" s="311">
        <f t="shared" ca="1" si="321"/>
        <v>0</v>
      </c>
      <c r="V766" s="306">
        <f t="shared" ca="1" si="322"/>
        <v>1.2257724553945428</v>
      </c>
      <c r="W766" s="304">
        <f t="shared" ca="1" si="323"/>
        <v>43.228665516097472</v>
      </c>
      <c r="Y766" s="314" t="str">
        <f t="shared" ca="1" si="341"/>
        <v/>
      </c>
      <c r="Z766" s="315" t="str">
        <f t="shared" ca="1" si="342"/>
        <v/>
      </c>
      <c r="AA766" s="316" t="str">
        <f t="shared" ca="1" si="343"/>
        <v/>
      </c>
      <c r="AC766" s="310" t="e">
        <f t="shared" ca="1" si="344"/>
        <v>#N/A</v>
      </c>
      <c r="AD766" s="323" t="e">
        <f t="shared" ca="1" si="345"/>
        <v>#N/A</v>
      </c>
      <c r="AE766" s="324" t="e">
        <f t="shared" ca="1" si="324"/>
        <v>#N/A</v>
      </c>
      <c r="AG766" s="306">
        <f t="shared" ca="1" si="346"/>
        <v>1.2691597645792321</v>
      </c>
      <c r="AH766" s="304">
        <f t="shared" ca="1" si="347"/>
        <v>-8.504528226121451</v>
      </c>
    </row>
    <row r="767" spans="1:34" x14ac:dyDescent="0.2">
      <c r="A767" s="347">
        <f t="shared" ca="1" si="325"/>
        <v>1E-4</v>
      </c>
      <c r="B767" s="304">
        <f t="shared" ca="1" si="326"/>
        <v>29.23810000000006</v>
      </c>
      <c r="D767" s="306">
        <f t="shared" ca="1" si="327"/>
        <v>-0.73105681888850804</v>
      </c>
      <c r="E767" s="307">
        <f t="shared" ca="1" si="328"/>
        <v>-1.336921849742593</v>
      </c>
      <c r="F767" s="304">
        <f t="shared" ca="1" si="329"/>
        <v>1.5237467324862557</v>
      </c>
      <c r="G767" s="306">
        <f t="shared" ca="1" si="330"/>
        <v>9.212451892598839</v>
      </c>
      <c r="H767" s="307">
        <f t="shared" ca="1" si="331"/>
        <v>-106.77493184031223</v>
      </c>
      <c r="I767" s="304">
        <f t="shared" ca="1" si="332"/>
        <v>107.17161629543884</v>
      </c>
      <c r="J767" s="306">
        <f t="shared" ca="1" si="333"/>
        <v>746.86410190403069</v>
      </c>
      <c r="K767" s="307">
        <f t="shared" ca="1" si="334"/>
        <v>-6.3144483065297283</v>
      </c>
      <c r="L767" s="304">
        <f t="shared" ca="1" si="319"/>
        <v>746.89079454116325</v>
      </c>
      <c r="M767" s="306">
        <f t="shared" ca="1" si="335"/>
        <v>-1.4847303013527693</v>
      </c>
      <c r="N767" s="304">
        <f t="shared" ca="1" si="336"/>
        <v>-85.068779982700548</v>
      </c>
      <c r="P767" s="310">
        <f t="shared" ca="1" si="337"/>
        <v>23</v>
      </c>
      <c r="Q767" s="304">
        <f t="shared" ca="1" si="338"/>
        <v>0</v>
      </c>
      <c r="R767" s="306">
        <f t="shared" ca="1" si="339"/>
        <v>0</v>
      </c>
      <c r="S767" s="307">
        <f t="shared" ca="1" si="340"/>
        <v>5.083000000000002</v>
      </c>
      <c r="T767" s="304">
        <f t="shared" ca="1" si="320"/>
        <v>49.86423000000002</v>
      </c>
      <c r="U767" s="311">
        <f t="shared" ca="1" si="321"/>
        <v>0</v>
      </c>
      <c r="V767" s="306">
        <f t="shared" ca="1" si="322"/>
        <v>1.2257737642122561</v>
      </c>
      <c r="W767" s="304">
        <f t="shared" ca="1" si="323"/>
        <v>43.22881405696257</v>
      </c>
      <c r="Y767" s="314" t="str">
        <f t="shared" ca="1" si="341"/>
        <v/>
      </c>
      <c r="Z767" s="315" t="str">
        <f t="shared" ca="1" si="342"/>
        <v/>
      </c>
      <c r="AA767" s="316" t="str">
        <f t="shared" ca="1" si="343"/>
        <v/>
      </c>
      <c r="AC767" s="310" t="e">
        <f t="shared" ca="1" si="344"/>
        <v>#N/A</v>
      </c>
      <c r="AD767" s="323" t="e">
        <f t="shared" ca="1" si="345"/>
        <v>#N/A</v>
      </c>
      <c r="AE767" s="324" t="e">
        <f t="shared" ca="1" si="324"/>
        <v>#N/A</v>
      </c>
      <c r="AG767" s="306">
        <f t="shared" ca="1" si="346"/>
        <v>1.2691312046783487</v>
      </c>
      <c r="AH767" s="304">
        <f t="shared" ca="1" si="347"/>
        <v>-8.504557449556847</v>
      </c>
    </row>
    <row r="768" spans="1:34" x14ac:dyDescent="0.2">
      <c r="A768" s="347">
        <f t="shared" ca="1" si="325"/>
        <v>1E-4</v>
      </c>
      <c r="B768" s="304">
        <f t="shared" ca="1" si="326"/>
        <v>29.238200000000059</v>
      </c>
      <c r="D768" s="306">
        <f t="shared" ca="1" si="327"/>
        <v>-0.73105266390712254</v>
      </c>
      <c r="E768" s="307">
        <f t="shared" ca="1" si="328"/>
        <v>-1.336892159613603</v>
      </c>
      <c r="F768" s="304">
        <f t="shared" ca="1" si="329"/>
        <v>1.5237186892080912</v>
      </c>
      <c r="G768" s="306">
        <f t="shared" ca="1" si="330"/>
        <v>9.2123787873324474</v>
      </c>
      <c r="H768" s="307">
        <f t="shared" ca="1" si="331"/>
        <v>-106.77506552952819</v>
      </c>
      <c r="I768" s="304">
        <f t="shared" ca="1" si="332"/>
        <v>107.17174320573652</v>
      </c>
      <c r="J768" s="306">
        <f t="shared" ca="1" si="333"/>
        <v>746.86410190403069</v>
      </c>
      <c r="K768" s="307">
        <f t="shared" ca="1" si="334"/>
        <v>-6.3251258063982201</v>
      </c>
      <c r="L768" s="304">
        <f t="shared" ca="1" si="319"/>
        <v>746.89088488840252</v>
      </c>
      <c r="M768" s="306">
        <f t="shared" ca="1" si="335"/>
        <v>-1.4847310881886662</v>
      </c>
      <c r="N768" s="304">
        <f t="shared" ca="1" si="336"/>
        <v>-85.068825065076609</v>
      </c>
      <c r="P768" s="310">
        <f t="shared" ca="1" si="337"/>
        <v>23</v>
      </c>
      <c r="Q768" s="304">
        <f t="shared" ca="1" si="338"/>
        <v>0</v>
      </c>
      <c r="R768" s="306">
        <f t="shared" ca="1" si="339"/>
        <v>0</v>
      </c>
      <c r="S768" s="307">
        <f t="shared" ca="1" si="340"/>
        <v>5.083000000000002</v>
      </c>
      <c r="T768" s="304">
        <f t="shared" ca="1" si="320"/>
        <v>49.86423000000002</v>
      </c>
      <c r="U768" s="311">
        <f t="shared" ca="1" si="321"/>
        <v>0</v>
      </c>
      <c r="V768" s="306">
        <f t="shared" ca="1" si="322"/>
        <v>1.2257750730330059</v>
      </c>
      <c r="W768" s="304">
        <f t="shared" ca="1" si="323"/>
        <v>43.228962595970664</v>
      </c>
      <c r="Y768" s="314" t="str">
        <f t="shared" ca="1" si="341"/>
        <v/>
      </c>
      <c r="Z768" s="315" t="str">
        <f t="shared" ca="1" si="342"/>
        <v/>
      </c>
      <c r="AA768" s="316" t="str">
        <f t="shared" ca="1" si="343"/>
        <v/>
      </c>
      <c r="AC768" s="310" t="e">
        <f t="shared" ca="1" si="344"/>
        <v>#N/A</v>
      </c>
      <c r="AD768" s="323" t="e">
        <f t="shared" ca="1" si="345"/>
        <v>#N/A</v>
      </c>
      <c r="AE768" s="324" t="e">
        <f t="shared" ca="1" si="324"/>
        <v>#N/A</v>
      </c>
      <c r="AG768" s="306">
        <f t="shared" ca="1" si="346"/>
        <v>1.2691026451299141</v>
      </c>
      <c r="AH768" s="304">
        <f t="shared" ca="1" si="347"/>
        <v>-8.5045866726269033</v>
      </c>
    </row>
    <row r="769" spans="1:34" x14ac:dyDescent="0.2">
      <c r="A769" s="347">
        <f t="shared" ca="1" si="325"/>
        <v>1E-4</v>
      </c>
      <c r="B769" s="304">
        <f t="shared" ca="1" si="326"/>
        <v>29.238300000000059</v>
      </c>
      <c r="D769" s="306">
        <f t="shared" ca="1" si="327"/>
        <v>-0.73104850891675877</v>
      </c>
      <c r="E769" s="307">
        <f t="shared" ca="1" si="328"/>
        <v>-1.3368624698558129</v>
      </c>
      <c r="F769" s="304">
        <f t="shared" ca="1" si="329"/>
        <v>1.5236906463250341</v>
      </c>
      <c r="G769" s="306">
        <f t="shared" ca="1" si="330"/>
        <v>9.2123056824815563</v>
      </c>
      <c r="H769" s="307">
        <f t="shared" ca="1" si="331"/>
        <v>-106.77519921577517</v>
      </c>
      <c r="I769" s="304">
        <f t="shared" ca="1" si="332"/>
        <v>107.17187011317829</v>
      </c>
      <c r="J769" s="306">
        <f t="shared" ca="1" si="333"/>
        <v>746.86410190403069</v>
      </c>
      <c r="K769" s="307">
        <f t="shared" ca="1" si="334"/>
        <v>-6.3358033196354855</v>
      </c>
      <c r="L769" s="304">
        <f t="shared" ca="1" si="319"/>
        <v>746.89097538838928</v>
      </c>
      <c r="M769" s="306">
        <f t="shared" ca="1" si="335"/>
        <v>-1.4847318750164558</v>
      </c>
      <c r="N769" s="304">
        <f t="shared" ca="1" si="336"/>
        <v>-85.068870146988147</v>
      </c>
      <c r="P769" s="310">
        <f t="shared" ca="1" si="337"/>
        <v>23</v>
      </c>
      <c r="Q769" s="304">
        <f t="shared" ca="1" si="338"/>
        <v>0</v>
      </c>
      <c r="R769" s="306">
        <f t="shared" ca="1" si="339"/>
        <v>0</v>
      </c>
      <c r="S769" s="307">
        <f t="shared" ca="1" si="340"/>
        <v>5.083000000000002</v>
      </c>
      <c r="T769" s="304">
        <f t="shared" ca="1" si="320"/>
        <v>49.86423000000002</v>
      </c>
      <c r="U769" s="311">
        <f t="shared" ca="1" si="321"/>
        <v>0</v>
      </c>
      <c r="V769" s="306">
        <f t="shared" ca="1" si="322"/>
        <v>1.2257763818567926</v>
      </c>
      <c r="W769" s="304">
        <f t="shared" ca="1" si="323"/>
        <v>43.229111133121805</v>
      </c>
      <c r="Y769" s="314" t="str">
        <f t="shared" ca="1" si="341"/>
        <v/>
      </c>
      <c r="Z769" s="315" t="str">
        <f t="shared" ca="1" si="342"/>
        <v/>
      </c>
      <c r="AA769" s="316" t="str">
        <f t="shared" ca="1" si="343"/>
        <v/>
      </c>
      <c r="AC769" s="310" t="e">
        <f t="shared" ca="1" si="344"/>
        <v>#N/A</v>
      </c>
      <c r="AD769" s="323" t="e">
        <f t="shared" ca="1" si="345"/>
        <v>#N/A</v>
      </c>
      <c r="AE769" s="324" t="e">
        <f t="shared" ca="1" si="324"/>
        <v>#N/A</v>
      </c>
      <c r="AG769" s="306">
        <f t="shared" ca="1" si="346"/>
        <v>1.2690740859339282</v>
      </c>
      <c r="AH769" s="304">
        <f t="shared" ca="1" si="347"/>
        <v>-8.5046158953316251</v>
      </c>
    </row>
    <row r="770" spans="1:34" x14ac:dyDescent="0.2">
      <c r="A770" s="347">
        <f t="shared" ca="1" si="325"/>
        <v>1E-4</v>
      </c>
      <c r="B770" s="304">
        <f t="shared" ca="1" si="326"/>
        <v>29.238400000000059</v>
      </c>
      <c r="D770" s="306">
        <f t="shared" ca="1" si="327"/>
        <v>-0.73104435391741707</v>
      </c>
      <c r="E770" s="307">
        <f t="shared" ca="1" si="328"/>
        <v>-1.336832780469221</v>
      </c>
      <c r="F770" s="304">
        <f t="shared" ca="1" si="329"/>
        <v>1.5236626038370837</v>
      </c>
      <c r="G770" s="306">
        <f t="shared" ca="1" si="330"/>
        <v>9.212232578046164</v>
      </c>
      <c r="H770" s="307">
        <f t="shared" ca="1" si="331"/>
        <v>-106.77533289905323</v>
      </c>
      <c r="I770" s="304">
        <f t="shared" ca="1" si="332"/>
        <v>107.17199701776417</v>
      </c>
      <c r="J770" s="306">
        <f t="shared" ca="1" si="333"/>
        <v>746.86410190403069</v>
      </c>
      <c r="K770" s="307">
        <f t="shared" ca="1" si="334"/>
        <v>-6.346480846241227</v>
      </c>
      <c r="L770" s="304">
        <f t="shared" ca="1" si="319"/>
        <v>746.89106604112362</v>
      </c>
      <c r="M770" s="306">
        <f t="shared" ca="1" si="335"/>
        <v>-1.4847326618361381</v>
      </c>
      <c r="N770" s="304">
        <f t="shared" ca="1" si="336"/>
        <v>-85.068915228435188</v>
      </c>
      <c r="P770" s="310">
        <f t="shared" ca="1" si="337"/>
        <v>23</v>
      </c>
      <c r="Q770" s="304">
        <f t="shared" ca="1" si="338"/>
        <v>0</v>
      </c>
      <c r="R770" s="306">
        <f t="shared" ca="1" si="339"/>
        <v>0</v>
      </c>
      <c r="S770" s="307">
        <f t="shared" ca="1" si="340"/>
        <v>5.083000000000002</v>
      </c>
      <c r="T770" s="304">
        <f t="shared" ca="1" si="320"/>
        <v>49.86423000000002</v>
      </c>
      <c r="U770" s="311">
        <f t="shared" ca="1" si="321"/>
        <v>0</v>
      </c>
      <c r="V770" s="306">
        <f t="shared" ca="1" si="322"/>
        <v>1.225777690683616</v>
      </c>
      <c r="W770" s="304">
        <f t="shared" ca="1" si="323"/>
        <v>43.229259668415992</v>
      </c>
      <c r="Y770" s="314" t="str">
        <f t="shared" ca="1" si="341"/>
        <v/>
      </c>
      <c r="Z770" s="315" t="str">
        <f t="shared" ca="1" si="342"/>
        <v/>
      </c>
      <c r="AA770" s="316" t="str">
        <f t="shared" ca="1" si="343"/>
        <v/>
      </c>
      <c r="AC770" s="310" t="e">
        <f t="shared" ca="1" si="344"/>
        <v>#N/A</v>
      </c>
      <c r="AD770" s="323" t="e">
        <f t="shared" ca="1" si="345"/>
        <v>#N/A</v>
      </c>
      <c r="AE770" s="324" t="e">
        <f t="shared" ca="1" si="324"/>
        <v>#N/A</v>
      </c>
      <c r="AG770" s="306">
        <f t="shared" ca="1" si="346"/>
        <v>1.2690455270903822</v>
      </c>
      <c r="AH770" s="304">
        <f t="shared" ca="1" si="347"/>
        <v>-8.5046451176710178</v>
      </c>
    </row>
    <row r="771" spans="1:34" x14ac:dyDescent="0.2">
      <c r="A771" s="347">
        <f t="shared" ca="1" si="325"/>
        <v>1E-4</v>
      </c>
      <c r="B771" s="304">
        <f t="shared" ca="1" si="326"/>
        <v>29.238500000000059</v>
      </c>
      <c r="D771" s="306">
        <f t="shared" ca="1" si="327"/>
        <v>-0.73104019890909944</v>
      </c>
      <c r="E771" s="307">
        <f t="shared" ca="1" si="328"/>
        <v>-1.3368030914538203</v>
      </c>
      <c r="F771" s="304">
        <f t="shared" ca="1" si="329"/>
        <v>1.5236345617442348</v>
      </c>
      <c r="G771" s="306">
        <f t="shared" ca="1" si="330"/>
        <v>9.212159474026274</v>
      </c>
      <c r="H771" s="307">
        <f t="shared" ca="1" si="331"/>
        <v>-106.77546657936237</v>
      </c>
      <c r="I771" s="304">
        <f t="shared" ca="1" si="332"/>
        <v>107.17212391949421</v>
      </c>
      <c r="J771" s="306">
        <f t="shared" ca="1" si="333"/>
        <v>746.86410190403069</v>
      </c>
      <c r="K771" s="307">
        <f t="shared" ca="1" si="334"/>
        <v>-6.3571583862151479</v>
      </c>
      <c r="L771" s="304">
        <f t="shared" ca="1" si="319"/>
        <v>746.89115684660624</v>
      </c>
      <c r="M771" s="306">
        <f t="shared" ca="1" si="335"/>
        <v>-1.4847334486477133</v>
      </c>
      <c r="N771" s="304">
        <f t="shared" ca="1" si="336"/>
        <v>-85.068960309417719</v>
      </c>
      <c r="P771" s="310">
        <f t="shared" ca="1" si="337"/>
        <v>23</v>
      </c>
      <c r="Q771" s="304">
        <f t="shared" ca="1" si="338"/>
        <v>0</v>
      </c>
      <c r="R771" s="306">
        <f t="shared" ca="1" si="339"/>
        <v>0</v>
      </c>
      <c r="S771" s="307">
        <f t="shared" ca="1" si="340"/>
        <v>5.083000000000002</v>
      </c>
      <c r="T771" s="304">
        <f t="shared" ca="1" si="320"/>
        <v>49.86423000000002</v>
      </c>
      <c r="U771" s="311">
        <f t="shared" ca="1" si="321"/>
        <v>0</v>
      </c>
      <c r="V771" s="306">
        <f t="shared" ca="1" si="322"/>
        <v>1.2257789995134758</v>
      </c>
      <c r="W771" s="304">
        <f t="shared" ca="1" si="323"/>
        <v>43.229408201853211</v>
      </c>
      <c r="Y771" s="314" t="str">
        <f t="shared" ca="1" si="341"/>
        <v/>
      </c>
      <c r="Z771" s="315" t="str">
        <f t="shared" ca="1" si="342"/>
        <v/>
      </c>
      <c r="AA771" s="316" t="str">
        <f t="shared" ca="1" si="343"/>
        <v/>
      </c>
      <c r="AC771" s="310" t="e">
        <f t="shared" ca="1" si="344"/>
        <v>#N/A</v>
      </c>
      <c r="AD771" s="323" t="e">
        <f t="shared" ca="1" si="345"/>
        <v>#N/A</v>
      </c>
      <c r="AE771" s="324" t="e">
        <f t="shared" ca="1" si="324"/>
        <v>#N/A</v>
      </c>
      <c r="AG771" s="306">
        <f t="shared" ca="1" si="346"/>
        <v>1.2690169685992725</v>
      </c>
      <c r="AH771" s="304">
        <f t="shared" ca="1" si="347"/>
        <v>-8.5046743396450868</v>
      </c>
    </row>
    <row r="772" spans="1:34" x14ac:dyDescent="0.2">
      <c r="A772" s="347">
        <f t="shared" ca="1" si="325"/>
        <v>1E-4</v>
      </c>
      <c r="B772" s="304">
        <f t="shared" ca="1" si="326"/>
        <v>29.238600000000059</v>
      </c>
      <c r="D772" s="306">
        <f t="shared" ca="1" si="327"/>
        <v>-0.73103604389180499</v>
      </c>
      <c r="E772" s="307">
        <f t="shared" ca="1" si="328"/>
        <v>-1.3367734028096177</v>
      </c>
      <c r="F772" s="304">
        <f t="shared" ca="1" si="329"/>
        <v>1.5236065200464932</v>
      </c>
      <c r="G772" s="306">
        <f t="shared" ca="1" si="330"/>
        <v>9.2120863704218845</v>
      </c>
      <c r="H772" s="307">
        <f t="shared" ca="1" si="331"/>
        <v>-106.77560025670266</v>
      </c>
      <c r="I772" s="304">
        <f t="shared" ca="1" si="332"/>
        <v>107.17225081836844</v>
      </c>
      <c r="J772" s="306">
        <f t="shared" ca="1" si="333"/>
        <v>746.86410190403069</v>
      </c>
      <c r="K772" s="307">
        <f t="shared" ca="1" si="334"/>
        <v>-6.3678359395569508</v>
      </c>
      <c r="L772" s="304">
        <f t="shared" ref="L772:L835" ca="1" si="348">SQRT(pos_x^2+pos_z^2)</f>
        <v>746.89124780483769</v>
      </c>
      <c r="M772" s="306">
        <f t="shared" ca="1" si="335"/>
        <v>-1.4847342354511812</v>
      </c>
      <c r="N772" s="304">
        <f t="shared" ca="1" si="336"/>
        <v>-85.069005389935739</v>
      </c>
      <c r="P772" s="310">
        <f t="shared" ca="1" si="337"/>
        <v>23</v>
      </c>
      <c r="Q772" s="304">
        <f t="shared" ca="1" si="338"/>
        <v>0</v>
      </c>
      <c r="R772" s="306">
        <f t="shared" ca="1" si="339"/>
        <v>0</v>
      </c>
      <c r="S772" s="307">
        <f t="shared" ca="1" si="340"/>
        <v>5.083000000000002</v>
      </c>
      <c r="T772" s="304">
        <f t="shared" ref="T772:T835" ca="1" si="349">m*g</f>
        <v>49.86423000000002</v>
      </c>
      <c r="U772" s="311">
        <f t="shared" ref="U772:U835" ca="1" si="350">IF(pos_xz&lt;L_rampe,Poids*COS(Beta),0)</f>
        <v>0</v>
      </c>
      <c r="V772" s="306">
        <f t="shared" ref="V772:V835" ca="1" si="351">Rho_moyen*(20000-Alt_rampe-pos_z)/(20000+Alt_rampe+pos_z)</f>
        <v>1.2257803083463723</v>
      </c>
      <c r="W772" s="304">
        <f t="shared" ref="W772:W835" ca="1" si="352">1/2*Rho*Sref*Cx*vit_xz^2</f>
        <v>43.229556733433512</v>
      </c>
      <c r="Y772" s="314" t="str">
        <f t="shared" ca="1" si="341"/>
        <v/>
      </c>
      <c r="Z772" s="315" t="str">
        <f t="shared" ca="1" si="342"/>
        <v/>
      </c>
      <c r="AA772" s="316" t="str">
        <f t="shared" ca="1" si="343"/>
        <v/>
      </c>
      <c r="AC772" s="310" t="e">
        <f t="shared" ca="1" si="344"/>
        <v>#N/A</v>
      </c>
      <c r="AD772" s="323" t="e">
        <f t="shared" ca="1" si="345"/>
        <v>#N/A</v>
      </c>
      <c r="AE772" s="324" t="e">
        <f t="shared" ref="AE772:AE835" ca="1" si="353">IF(t&lt;T_para, pos_z, NA())</f>
        <v>#N/A</v>
      </c>
      <c r="AG772" s="306">
        <f t="shared" ca="1" si="346"/>
        <v>1.268988410460608</v>
      </c>
      <c r="AH772" s="304">
        <f t="shared" ca="1" si="347"/>
        <v>-8.5047035612538249</v>
      </c>
    </row>
    <row r="773" spans="1:34" x14ac:dyDescent="0.2">
      <c r="A773" s="347">
        <f t="shared" ref="A773:A836" ca="1" si="354">IF(B772+0.01&lt;=T_ini+ROUNDUP(Temps_fin_propu,0), 0.01, IF(K772&gt;0, 0.1, 0.0001))</f>
        <v>1E-4</v>
      </c>
      <c r="B773" s="304">
        <f t="shared" ref="B773:B836" ca="1" si="355">B772+pas</f>
        <v>29.238700000000058</v>
      </c>
      <c r="D773" s="306">
        <f t="shared" ref="D773:D836" ca="1" si="356">IF(AND(L772&lt;L_rampe,Poussee&lt;Poids*SIN(M772)),0,(-W772+Poussee)/m*COS(M772)-U772/m*SIN(M772))</f>
        <v>-0.73103188886553827</v>
      </c>
      <c r="E773" s="307">
        <f t="shared" ref="E773:E836" ca="1" si="357">IF(AND(L772&lt;L_rampe,Poussee&lt;Poids*SIN(M772)),0,(-W772+Poussee)/m*SIN(M772)+U772/m*COS(M772)-Poids/m)</f>
        <v>-1.3367437145366008</v>
      </c>
      <c r="F773" s="304">
        <f t="shared" ref="F773:F836" ca="1" si="358">SQRT(acc_x^2+acc_z^2)</f>
        <v>1.5235784787438507</v>
      </c>
      <c r="G773" s="306">
        <f t="shared" ref="G773:G836" ca="1" si="359">G772+acc_x*pas</f>
        <v>9.2120132672329973</v>
      </c>
      <c r="H773" s="307">
        <f t="shared" ref="H773:H836" ca="1" si="360">H772+acc_z*pas</f>
        <v>-106.77573393107411</v>
      </c>
      <c r="I773" s="304">
        <f t="shared" ref="I773:I836" ca="1" si="361">SQRT(vit_x^2+vit_z^2)</f>
        <v>107.17237771438687</v>
      </c>
      <c r="J773" s="306">
        <f t="shared" ref="J773:J836" ca="1" si="362">J772+0.5*(vit_x+G772)*pas*(K772&gt;=0)</f>
        <v>746.86410190403069</v>
      </c>
      <c r="K773" s="307">
        <f t="shared" ref="K773:K836" ca="1" si="363">K772+0.5*(vit_z+H772)*pas</f>
        <v>-6.3785135062663398</v>
      </c>
      <c r="L773" s="304">
        <f t="shared" ca="1" si="348"/>
        <v>746.89133891581844</v>
      </c>
      <c r="M773" s="306">
        <f t="shared" ref="M773:M836" ca="1" si="364">IF(AND(L772&gt;L_rampe,G773&gt;0),ATAN2(G773,H773),$M$4)</f>
        <v>-1.4847350222465425</v>
      </c>
      <c r="N773" s="304">
        <f t="shared" ref="N773:N836" ca="1" si="365">DEGREES(Beta)</f>
        <v>-85.069050469989278</v>
      </c>
      <c r="P773" s="310">
        <f t="shared" ref="P773:P836" ca="1" si="366">MATCH(t-pas/2-T_ini,CdP_t)</f>
        <v>23</v>
      </c>
      <c r="Q773" s="304">
        <f t="shared" ref="Q773:Q836" ca="1" si="367">(INDEX(CdP,2,i_P+1)-INDEX(CdP,2,i_P+0))/(INDEX(CdP,1,i_P+1)-INDEX(CdP,1,i_P+0))*(t-pas/2-T_ini-INDEX(CdP,1,i_P+0))+INDEX(CdP,2,i_P+0)</f>
        <v>0</v>
      </c>
      <c r="R773" s="306">
        <f t="shared" ref="R773:R836" ca="1" si="368">Poussee/(g*ISP)</f>
        <v>0</v>
      </c>
      <c r="S773" s="307">
        <f t="shared" ref="S773:S836" ca="1" si="369">S772-Débit*pas</f>
        <v>5.083000000000002</v>
      </c>
      <c r="T773" s="304">
        <f t="shared" ca="1" si="349"/>
        <v>49.86423000000002</v>
      </c>
      <c r="U773" s="311">
        <f t="shared" ca="1" si="350"/>
        <v>0</v>
      </c>
      <c r="V773" s="306">
        <f t="shared" ca="1" si="351"/>
        <v>1.2257816171823055</v>
      </c>
      <c r="W773" s="304">
        <f t="shared" ca="1" si="352"/>
        <v>43.229705263156873</v>
      </c>
      <c r="Y773" s="314" t="str">
        <f t="shared" ref="Y773:Y836" ca="1" si="370">IF(AND(pos_z&lt;=0,K772&gt;0),"Impact balistique","") &amp; IF(AND(H774&lt;0,vit_z&gt;=0),"Apogée","") &amp; IF(AND(Poussee=0,Q772&gt;0),"Fin de propulsion","") &amp; IF(AND(L774&gt;L_rampe,pos_xz&lt;=L_rampe),"Sortie de rampe","")</f>
        <v/>
      </c>
      <c r="Z773" s="315" t="str">
        <f t="shared" ref="Z773:Z836" ca="1" si="371">IF(ABS(t-T_para)&lt;pas/2,"Para","")</f>
        <v/>
      </c>
      <c r="AA773" s="316" t="str">
        <f t="shared" ref="AA773:AA836" ca="1" si="372">IF(ABS(t-T_satellite)&lt;pas/2,"Satellite","")</f>
        <v/>
      </c>
      <c r="AC773" s="310" t="e">
        <f t="shared" ref="AC773:AC836" ca="1" si="373">IF(ABS(t-ROUND(t,0))&lt;0.001,t,NA())</f>
        <v>#N/A</v>
      </c>
      <c r="AD773" s="323" t="e">
        <f t="shared" ref="AD773:AD836" ca="1" si="374">IF(ABS(t-ROUND(t,0))&lt;0.001,pos_x,NA())</f>
        <v>#N/A</v>
      </c>
      <c r="AE773" s="324" t="e">
        <f t="shared" ca="1" si="353"/>
        <v>#N/A</v>
      </c>
      <c r="AG773" s="306">
        <f t="shared" ref="AG773:AG836" ca="1" si="375">IF(AND(L772&lt;L_rampe,Poussee&lt;Poids*SIN(M772)),0,(-W772+Poussee)/m-Poids*SIN(M772)/m)</f>
        <v>1.2689598526743744</v>
      </c>
      <c r="AH773" s="304">
        <f t="shared" ref="AH773:AH836" ca="1" si="376">IF(AND(L772&lt;L_rampe,Poussee&lt;Poids*SIN(M772)), g*SIN(M772), (-W772+Poussee)/m)</f>
        <v>-8.5047327824972445</v>
      </c>
    </row>
    <row r="774" spans="1:34" x14ac:dyDescent="0.2">
      <c r="A774" s="347">
        <f t="shared" ca="1" si="354"/>
        <v>1E-4</v>
      </c>
      <c r="B774" s="304">
        <f t="shared" ca="1" si="355"/>
        <v>29.238800000000058</v>
      </c>
      <c r="D774" s="306">
        <f t="shared" ca="1" si="356"/>
        <v>-0.73102773383029485</v>
      </c>
      <c r="E774" s="307">
        <f t="shared" ca="1" si="357"/>
        <v>-1.336714026634775</v>
      </c>
      <c r="F774" s="304">
        <f t="shared" ca="1" si="358"/>
        <v>1.5235504378363096</v>
      </c>
      <c r="G774" s="306">
        <f t="shared" ca="1" si="359"/>
        <v>9.2119401644596142</v>
      </c>
      <c r="H774" s="307">
        <f t="shared" ca="1" si="360"/>
        <v>-106.77586760247678</v>
      </c>
      <c r="I774" s="304">
        <f t="shared" ca="1" si="361"/>
        <v>107.17250460754957</v>
      </c>
      <c r="J774" s="306">
        <f t="shared" ca="1" si="362"/>
        <v>746.86410190403069</v>
      </c>
      <c r="K774" s="307">
        <f t="shared" ca="1" si="363"/>
        <v>-6.3891910863430175</v>
      </c>
      <c r="L774" s="304">
        <f t="shared" ca="1" si="348"/>
        <v>746.89143017954905</v>
      </c>
      <c r="M774" s="306">
        <f t="shared" ca="1" si="364"/>
        <v>-1.4847358090337968</v>
      </c>
      <c r="N774" s="304">
        <f t="shared" ca="1" si="365"/>
        <v>-85.069095549578321</v>
      </c>
      <c r="P774" s="310">
        <f t="shared" ca="1" si="366"/>
        <v>23</v>
      </c>
      <c r="Q774" s="304">
        <f t="shared" ca="1" si="367"/>
        <v>0</v>
      </c>
      <c r="R774" s="306">
        <f t="shared" ca="1" si="368"/>
        <v>0</v>
      </c>
      <c r="S774" s="307">
        <f t="shared" ca="1" si="369"/>
        <v>5.083000000000002</v>
      </c>
      <c r="T774" s="304">
        <f t="shared" ca="1" si="349"/>
        <v>49.86423000000002</v>
      </c>
      <c r="U774" s="311">
        <f t="shared" ca="1" si="350"/>
        <v>0</v>
      </c>
      <c r="V774" s="306">
        <f t="shared" ca="1" si="351"/>
        <v>1.2257829260212747</v>
      </c>
      <c r="W774" s="304">
        <f t="shared" ca="1" si="352"/>
        <v>43.229853791023324</v>
      </c>
      <c r="Y774" s="314" t="str">
        <f t="shared" ca="1" si="370"/>
        <v/>
      </c>
      <c r="Z774" s="315" t="str">
        <f t="shared" ca="1" si="371"/>
        <v/>
      </c>
      <c r="AA774" s="316" t="str">
        <f t="shared" ca="1" si="372"/>
        <v/>
      </c>
      <c r="AC774" s="310" t="e">
        <f t="shared" ca="1" si="373"/>
        <v>#N/A</v>
      </c>
      <c r="AD774" s="323" t="e">
        <f t="shared" ca="1" si="374"/>
        <v>#N/A</v>
      </c>
      <c r="AE774" s="324" t="e">
        <f t="shared" ca="1" si="353"/>
        <v>#N/A</v>
      </c>
      <c r="AG774" s="306">
        <f t="shared" ca="1" si="375"/>
        <v>1.2689312952405789</v>
      </c>
      <c r="AH774" s="304">
        <f t="shared" ca="1" si="376"/>
        <v>-8.5047620033753404</v>
      </c>
    </row>
    <row r="775" spans="1:34" x14ac:dyDescent="0.2">
      <c r="A775" s="347">
        <f t="shared" ca="1" si="354"/>
        <v>1E-4</v>
      </c>
      <c r="B775" s="304">
        <f t="shared" ca="1" si="355"/>
        <v>29.238900000000058</v>
      </c>
      <c r="D775" s="306">
        <f t="shared" ca="1" si="356"/>
        <v>-0.73102357878608037</v>
      </c>
      <c r="E775" s="307">
        <f t="shared" ca="1" si="357"/>
        <v>-1.336684339104135</v>
      </c>
      <c r="F775" s="304">
        <f t="shared" ca="1" si="358"/>
        <v>1.5235223973238683</v>
      </c>
      <c r="G775" s="306">
        <f t="shared" ca="1" si="359"/>
        <v>9.2118670621017351</v>
      </c>
      <c r="H775" s="307">
        <f t="shared" ca="1" si="360"/>
        <v>-106.77600127091068</v>
      </c>
      <c r="I775" s="304">
        <f t="shared" ca="1" si="361"/>
        <v>107.17263149785656</v>
      </c>
      <c r="J775" s="306">
        <f t="shared" ca="1" si="362"/>
        <v>746.86410190403069</v>
      </c>
      <c r="K775" s="307">
        <f t="shared" ca="1" si="363"/>
        <v>-6.3998686797866871</v>
      </c>
      <c r="L775" s="304">
        <f t="shared" ca="1" si="348"/>
        <v>746.89152159602986</v>
      </c>
      <c r="M775" s="306">
        <f t="shared" ca="1" si="364"/>
        <v>-1.4847365958129444</v>
      </c>
      <c r="N775" s="304">
        <f t="shared" ca="1" si="365"/>
        <v>-85.069140628702883</v>
      </c>
      <c r="P775" s="310">
        <f t="shared" ca="1" si="366"/>
        <v>23</v>
      </c>
      <c r="Q775" s="304">
        <f t="shared" ca="1" si="367"/>
        <v>0</v>
      </c>
      <c r="R775" s="306">
        <f t="shared" ca="1" si="368"/>
        <v>0</v>
      </c>
      <c r="S775" s="307">
        <f t="shared" ca="1" si="369"/>
        <v>5.083000000000002</v>
      </c>
      <c r="T775" s="304">
        <f t="shared" ca="1" si="349"/>
        <v>49.86423000000002</v>
      </c>
      <c r="U775" s="311">
        <f t="shared" ca="1" si="350"/>
        <v>0</v>
      </c>
      <c r="V775" s="306">
        <f t="shared" ca="1" si="351"/>
        <v>1.2257842348632808</v>
      </c>
      <c r="W775" s="304">
        <f t="shared" ca="1" si="352"/>
        <v>43.23000231703287</v>
      </c>
      <c r="Y775" s="314" t="str">
        <f t="shared" ca="1" si="370"/>
        <v/>
      </c>
      <c r="Z775" s="315" t="str">
        <f t="shared" ca="1" si="371"/>
        <v/>
      </c>
      <c r="AA775" s="316" t="str">
        <f t="shared" ca="1" si="372"/>
        <v/>
      </c>
      <c r="AC775" s="310" t="e">
        <f t="shared" ca="1" si="373"/>
        <v>#N/A</v>
      </c>
      <c r="AD775" s="323" t="e">
        <f t="shared" ca="1" si="374"/>
        <v>#N/A</v>
      </c>
      <c r="AE775" s="324" t="e">
        <f t="shared" ca="1" si="353"/>
        <v>#N/A</v>
      </c>
      <c r="AG775" s="306">
        <f t="shared" ca="1" si="375"/>
        <v>1.2689027381592162</v>
      </c>
      <c r="AH775" s="304">
        <f t="shared" ca="1" si="376"/>
        <v>-8.5047912238881178</v>
      </c>
    </row>
    <row r="776" spans="1:34" x14ac:dyDescent="0.2">
      <c r="A776" s="347">
        <f t="shared" ca="1" si="354"/>
        <v>1E-4</v>
      </c>
      <c r="B776" s="304">
        <f t="shared" ca="1" si="355"/>
        <v>29.239000000000058</v>
      </c>
      <c r="D776" s="306">
        <f t="shared" ca="1" si="356"/>
        <v>-0.73101942373289308</v>
      </c>
      <c r="E776" s="307">
        <f t="shared" ca="1" si="357"/>
        <v>-1.3366546519446771</v>
      </c>
      <c r="F776" s="304">
        <f t="shared" ca="1" si="358"/>
        <v>1.5234943572065232</v>
      </c>
      <c r="G776" s="306">
        <f t="shared" ca="1" si="359"/>
        <v>9.2117939601593619</v>
      </c>
      <c r="H776" s="307">
        <f t="shared" ca="1" si="360"/>
        <v>-106.77613493637588</v>
      </c>
      <c r="I776" s="304">
        <f t="shared" ca="1" si="361"/>
        <v>107.17275838530787</v>
      </c>
      <c r="J776" s="306">
        <f t="shared" ca="1" si="362"/>
        <v>746.86410190403069</v>
      </c>
      <c r="K776" s="307">
        <f t="shared" ca="1" si="363"/>
        <v>-6.4105462865970511</v>
      </c>
      <c r="L776" s="304">
        <f t="shared" ca="1" si="348"/>
        <v>746.89161316526167</v>
      </c>
      <c r="M776" s="306">
        <f t="shared" ca="1" si="364"/>
        <v>-1.4847373825839854</v>
      </c>
      <c r="N776" s="304">
        <f t="shared" ca="1" si="365"/>
        <v>-85.069185707362976</v>
      </c>
      <c r="P776" s="310">
        <f t="shared" ca="1" si="366"/>
        <v>23</v>
      </c>
      <c r="Q776" s="304">
        <f t="shared" ca="1" si="367"/>
        <v>0</v>
      </c>
      <c r="R776" s="306">
        <f t="shared" ca="1" si="368"/>
        <v>0</v>
      </c>
      <c r="S776" s="307">
        <f t="shared" ca="1" si="369"/>
        <v>5.083000000000002</v>
      </c>
      <c r="T776" s="304">
        <f t="shared" ca="1" si="349"/>
        <v>49.86423000000002</v>
      </c>
      <c r="U776" s="311">
        <f t="shared" ca="1" si="350"/>
        <v>0</v>
      </c>
      <c r="V776" s="306">
        <f t="shared" ca="1" si="351"/>
        <v>1.2257855437083232</v>
      </c>
      <c r="W776" s="304">
        <f t="shared" ca="1" si="352"/>
        <v>43.230150841185548</v>
      </c>
      <c r="Y776" s="314" t="str">
        <f t="shared" ca="1" si="370"/>
        <v/>
      </c>
      <c r="Z776" s="315" t="str">
        <f t="shared" ca="1" si="371"/>
        <v/>
      </c>
      <c r="AA776" s="316" t="str">
        <f t="shared" ca="1" si="372"/>
        <v/>
      </c>
      <c r="AC776" s="310" t="e">
        <f t="shared" ca="1" si="373"/>
        <v>#N/A</v>
      </c>
      <c r="AD776" s="323" t="e">
        <f t="shared" ca="1" si="374"/>
        <v>#N/A</v>
      </c>
      <c r="AE776" s="324" t="e">
        <f t="shared" ca="1" si="353"/>
        <v>#N/A</v>
      </c>
      <c r="AG776" s="306">
        <f t="shared" ca="1" si="375"/>
        <v>1.2688741814302809</v>
      </c>
      <c r="AH776" s="304">
        <f t="shared" ca="1" si="376"/>
        <v>-8.5048204440355804</v>
      </c>
    </row>
    <row r="777" spans="1:34" x14ac:dyDescent="0.2">
      <c r="A777" s="347">
        <f t="shared" ca="1" si="354"/>
        <v>1E-4</v>
      </c>
      <c r="B777" s="304">
        <f t="shared" ca="1" si="355"/>
        <v>29.239100000000057</v>
      </c>
      <c r="D777" s="306">
        <f t="shared" ca="1" si="356"/>
        <v>-0.73101526867073474</v>
      </c>
      <c r="E777" s="307">
        <f t="shared" ca="1" si="357"/>
        <v>-1.3366249651563979</v>
      </c>
      <c r="F777" s="304">
        <f t="shared" ca="1" si="358"/>
        <v>1.523466317484272</v>
      </c>
      <c r="G777" s="306">
        <f t="shared" ca="1" si="359"/>
        <v>9.2117208586324946</v>
      </c>
      <c r="H777" s="307">
        <f t="shared" ca="1" si="360"/>
        <v>-106.77626859887239</v>
      </c>
      <c r="I777" s="304">
        <f t="shared" ca="1" si="361"/>
        <v>107.17288526990355</v>
      </c>
      <c r="J777" s="306">
        <f t="shared" ca="1" si="362"/>
        <v>746.86410190403069</v>
      </c>
      <c r="K777" s="307">
        <f t="shared" ca="1" si="363"/>
        <v>-6.4212239067738137</v>
      </c>
      <c r="L777" s="304">
        <f t="shared" ca="1" si="348"/>
        <v>746.89170488724483</v>
      </c>
      <c r="M777" s="306">
        <f t="shared" ca="1" si="364"/>
        <v>-1.4847381693469199</v>
      </c>
      <c r="N777" s="304">
        <f t="shared" ca="1" si="365"/>
        <v>-85.069230785558602</v>
      </c>
      <c r="P777" s="310">
        <f t="shared" ca="1" si="366"/>
        <v>23</v>
      </c>
      <c r="Q777" s="304">
        <f t="shared" ca="1" si="367"/>
        <v>0</v>
      </c>
      <c r="R777" s="306">
        <f t="shared" ca="1" si="368"/>
        <v>0</v>
      </c>
      <c r="S777" s="307">
        <f t="shared" ca="1" si="369"/>
        <v>5.083000000000002</v>
      </c>
      <c r="T777" s="304">
        <f t="shared" ca="1" si="349"/>
        <v>49.86423000000002</v>
      </c>
      <c r="U777" s="311">
        <f t="shared" ca="1" si="350"/>
        <v>0</v>
      </c>
      <c r="V777" s="306">
        <f t="shared" ca="1" si="351"/>
        <v>1.2257868525564024</v>
      </c>
      <c r="W777" s="304">
        <f t="shared" ca="1" si="352"/>
        <v>43.23029936348135</v>
      </c>
      <c r="Y777" s="314" t="str">
        <f t="shared" ca="1" si="370"/>
        <v/>
      </c>
      <c r="Z777" s="315" t="str">
        <f t="shared" ca="1" si="371"/>
        <v/>
      </c>
      <c r="AA777" s="316" t="str">
        <f t="shared" ca="1" si="372"/>
        <v/>
      </c>
      <c r="AC777" s="310" t="e">
        <f t="shared" ca="1" si="373"/>
        <v>#N/A</v>
      </c>
      <c r="AD777" s="323" t="e">
        <f t="shared" ca="1" si="374"/>
        <v>#N/A</v>
      </c>
      <c r="AE777" s="324" t="e">
        <f t="shared" ca="1" si="353"/>
        <v>#N/A</v>
      </c>
      <c r="AG777" s="306">
        <f t="shared" ca="1" si="375"/>
        <v>1.2688456250537712</v>
      </c>
      <c r="AH777" s="304">
        <f t="shared" ca="1" si="376"/>
        <v>-8.5048496638177316</v>
      </c>
    </row>
    <row r="778" spans="1:34" x14ac:dyDescent="0.2">
      <c r="A778" s="347">
        <f t="shared" ca="1" si="354"/>
        <v>1E-4</v>
      </c>
      <c r="B778" s="304">
        <f t="shared" ca="1" si="355"/>
        <v>29.239200000000057</v>
      </c>
      <c r="D778" s="306">
        <f t="shared" ca="1" si="356"/>
        <v>-0.73101111359960524</v>
      </c>
      <c r="E778" s="307">
        <f t="shared" ca="1" si="357"/>
        <v>-1.3365952787392938</v>
      </c>
      <c r="F778" s="304">
        <f t="shared" ca="1" si="358"/>
        <v>1.5234382781571119</v>
      </c>
      <c r="G778" s="306">
        <f t="shared" ca="1" si="359"/>
        <v>9.2116477575211348</v>
      </c>
      <c r="H778" s="307">
        <f t="shared" ca="1" si="360"/>
        <v>-106.77640225840027</v>
      </c>
      <c r="I778" s="304">
        <f t="shared" ca="1" si="361"/>
        <v>107.17301215164362</v>
      </c>
      <c r="J778" s="306">
        <f t="shared" ca="1" si="362"/>
        <v>746.86410190403069</v>
      </c>
      <c r="K778" s="307">
        <f t="shared" ca="1" si="363"/>
        <v>-6.4319015403166775</v>
      </c>
      <c r="L778" s="304">
        <f t="shared" ca="1" si="348"/>
        <v>746.89179676197989</v>
      </c>
      <c r="M778" s="306">
        <f t="shared" ca="1" si="364"/>
        <v>-1.4847389561017481</v>
      </c>
      <c r="N778" s="304">
        <f t="shared" ca="1" si="365"/>
        <v>-85.069275863289775</v>
      </c>
      <c r="P778" s="310">
        <f t="shared" ca="1" si="366"/>
        <v>23</v>
      </c>
      <c r="Q778" s="304">
        <f t="shared" ca="1" si="367"/>
        <v>0</v>
      </c>
      <c r="R778" s="306">
        <f t="shared" ca="1" si="368"/>
        <v>0</v>
      </c>
      <c r="S778" s="307">
        <f t="shared" ca="1" si="369"/>
        <v>5.083000000000002</v>
      </c>
      <c r="T778" s="304">
        <f t="shared" ca="1" si="349"/>
        <v>49.86423000000002</v>
      </c>
      <c r="U778" s="311">
        <f t="shared" ca="1" si="350"/>
        <v>0</v>
      </c>
      <c r="V778" s="306">
        <f t="shared" ca="1" si="351"/>
        <v>1.2257881614075175</v>
      </c>
      <c r="W778" s="304">
        <f t="shared" ca="1" si="352"/>
        <v>43.230447883920291</v>
      </c>
      <c r="Y778" s="314" t="str">
        <f t="shared" ca="1" si="370"/>
        <v/>
      </c>
      <c r="Z778" s="315" t="str">
        <f t="shared" ca="1" si="371"/>
        <v/>
      </c>
      <c r="AA778" s="316" t="str">
        <f t="shared" ca="1" si="372"/>
        <v/>
      </c>
      <c r="AC778" s="310" t="e">
        <f t="shared" ca="1" si="373"/>
        <v>#N/A</v>
      </c>
      <c r="AD778" s="323" t="e">
        <f t="shared" ca="1" si="374"/>
        <v>#N/A</v>
      </c>
      <c r="AE778" s="324" t="e">
        <f t="shared" ca="1" si="353"/>
        <v>#N/A</v>
      </c>
      <c r="AG778" s="306">
        <f t="shared" ca="1" si="375"/>
        <v>1.2688170690296872</v>
      </c>
      <c r="AH778" s="304">
        <f t="shared" ca="1" si="376"/>
        <v>-8.5048788832345732</v>
      </c>
    </row>
    <row r="779" spans="1:34" x14ac:dyDescent="0.2">
      <c r="A779" s="347">
        <f t="shared" ca="1" si="354"/>
        <v>1E-4</v>
      </c>
      <c r="B779" s="304">
        <f t="shared" ca="1" si="355"/>
        <v>29.239300000000057</v>
      </c>
      <c r="D779" s="306">
        <f t="shared" ca="1" si="356"/>
        <v>-0.73100695851950626</v>
      </c>
      <c r="E779" s="307">
        <f t="shared" ca="1" si="357"/>
        <v>-1.3365655926933684</v>
      </c>
      <c r="F779" s="304">
        <f t="shared" ca="1" si="358"/>
        <v>1.5234102392250468</v>
      </c>
      <c r="G779" s="306">
        <f t="shared" ca="1" si="359"/>
        <v>9.2115746568252828</v>
      </c>
      <c r="H779" s="307">
        <f t="shared" ca="1" si="360"/>
        <v>-106.77653591495954</v>
      </c>
      <c r="I779" s="304">
        <f t="shared" ca="1" si="361"/>
        <v>107.17313903052812</v>
      </c>
      <c r="J779" s="306">
        <f t="shared" ca="1" si="362"/>
        <v>746.86410190403069</v>
      </c>
      <c r="K779" s="307">
        <f t="shared" ca="1" si="363"/>
        <v>-6.4425791872253457</v>
      </c>
      <c r="L779" s="304">
        <f t="shared" ca="1" si="348"/>
        <v>746.89188878946732</v>
      </c>
      <c r="M779" s="306">
        <f t="shared" ca="1" si="364"/>
        <v>-1.4847397428484699</v>
      </c>
      <c r="N779" s="304">
        <f t="shared" ca="1" si="365"/>
        <v>-85.06932094055648</v>
      </c>
      <c r="P779" s="310">
        <f t="shared" ca="1" si="366"/>
        <v>23</v>
      </c>
      <c r="Q779" s="304">
        <f t="shared" ca="1" si="367"/>
        <v>0</v>
      </c>
      <c r="R779" s="306">
        <f t="shared" ca="1" si="368"/>
        <v>0</v>
      </c>
      <c r="S779" s="307">
        <f t="shared" ca="1" si="369"/>
        <v>5.083000000000002</v>
      </c>
      <c r="T779" s="304">
        <f t="shared" ca="1" si="349"/>
        <v>49.86423000000002</v>
      </c>
      <c r="U779" s="311">
        <f t="shared" ca="1" si="350"/>
        <v>0</v>
      </c>
      <c r="V779" s="306">
        <f t="shared" ca="1" si="351"/>
        <v>1.2257894702616687</v>
      </c>
      <c r="W779" s="304">
        <f t="shared" ca="1" si="352"/>
        <v>43.230596402502371</v>
      </c>
      <c r="Y779" s="314" t="str">
        <f t="shared" ca="1" si="370"/>
        <v/>
      </c>
      <c r="Z779" s="315" t="str">
        <f t="shared" ca="1" si="371"/>
        <v/>
      </c>
      <c r="AA779" s="316" t="str">
        <f t="shared" ca="1" si="372"/>
        <v/>
      </c>
      <c r="AC779" s="310" t="e">
        <f t="shared" ca="1" si="373"/>
        <v>#N/A</v>
      </c>
      <c r="AD779" s="323" t="e">
        <f t="shared" ca="1" si="374"/>
        <v>#N/A</v>
      </c>
      <c r="AE779" s="324" t="e">
        <f t="shared" ca="1" si="353"/>
        <v>#N/A</v>
      </c>
      <c r="AG779" s="306">
        <f t="shared" ca="1" si="375"/>
        <v>1.268788513358027</v>
      </c>
      <c r="AH779" s="304">
        <f t="shared" ca="1" si="376"/>
        <v>-8.5049081022861053</v>
      </c>
    </row>
    <row r="780" spans="1:34" x14ac:dyDescent="0.2">
      <c r="A780" s="347">
        <f t="shared" ca="1" si="354"/>
        <v>1E-4</v>
      </c>
      <c r="B780" s="304">
        <f t="shared" ca="1" si="355"/>
        <v>29.239400000000057</v>
      </c>
      <c r="D780" s="306">
        <f t="shared" ca="1" si="356"/>
        <v>-0.73100280343043944</v>
      </c>
      <c r="E780" s="307">
        <f t="shared" ca="1" si="357"/>
        <v>-1.3365359070186162</v>
      </c>
      <c r="F780" s="304">
        <f t="shared" ca="1" si="358"/>
        <v>1.5233822006880733</v>
      </c>
      <c r="G780" s="306">
        <f t="shared" ca="1" si="359"/>
        <v>9.2115015565449401</v>
      </c>
      <c r="H780" s="307">
        <f t="shared" ca="1" si="360"/>
        <v>-106.77666956855025</v>
      </c>
      <c r="I780" s="304">
        <f t="shared" ca="1" si="361"/>
        <v>107.17326590655709</v>
      </c>
      <c r="J780" s="306">
        <f t="shared" ca="1" si="362"/>
        <v>746.86410190403069</v>
      </c>
      <c r="K780" s="307">
        <f t="shared" ca="1" si="363"/>
        <v>-6.4532568474995209</v>
      </c>
      <c r="L780" s="304">
        <f t="shared" ca="1" si="348"/>
        <v>746.89198096970767</v>
      </c>
      <c r="M780" s="306">
        <f t="shared" ca="1" si="364"/>
        <v>-1.4847405295870857</v>
      </c>
      <c r="N780" s="304">
        <f t="shared" ca="1" si="365"/>
        <v>-85.069366017358746</v>
      </c>
      <c r="P780" s="310">
        <f t="shared" ca="1" si="366"/>
        <v>23</v>
      </c>
      <c r="Q780" s="304">
        <f t="shared" ca="1" si="367"/>
        <v>0</v>
      </c>
      <c r="R780" s="306">
        <f t="shared" ca="1" si="368"/>
        <v>0</v>
      </c>
      <c r="S780" s="307">
        <f t="shared" ca="1" si="369"/>
        <v>5.083000000000002</v>
      </c>
      <c r="T780" s="304">
        <f t="shared" ca="1" si="349"/>
        <v>49.86423000000002</v>
      </c>
      <c r="U780" s="311">
        <f t="shared" ca="1" si="350"/>
        <v>0</v>
      </c>
      <c r="V780" s="306">
        <f t="shared" ca="1" si="351"/>
        <v>1.2257907791188569</v>
      </c>
      <c r="W780" s="304">
        <f t="shared" ca="1" si="352"/>
        <v>43.230744919227639</v>
      </c>
      <c r="Y780" s="314" t="str">
        <f t="shared" ca="1" si="370"/>
        <v/>
      </c>
      <c r="Z780" s="315" t="str">
        <f t="shared" ca="1" si="371"/>
        <v/>
      </c>
      <c r="AA780" s="316" t="str">
        <f t="shared" ca="1" si="372"/>
        <v/>
      </c>
      <c r="AC780" s="310" t="e">
        <f t="shared" ca="1" si="373"/>
        <v>#N/A</v>
      </c>
      <c r="AD780" s="323" t="e">
        <f t="shared" ca="1" si="374"/>
        <v>#N/A</v>
      </c>
      <c r="AE780" s="324" t="e">
        <f t="shared" ca="1" si="353"/>
        <v>#N/A</v>
      </c>
      <c r="AG780" s="306">
        <f t="shared" ca="1" si="375"/>
        <v>1.2687599580387907</v>
      </c>
      <c r="AH780" s="304">
        <f t="shared" ca="1" si="376"/>
        <v>-8.5049373209723296</v>
      </c>
    </row>
    <row r="781" spans="1:34" x14ac:dyDescent="0.2">
      <c r="A781" s="347">
        <f t="shared" ca="1" si="354"/>
        <v>1E-4</v>
      </c>
      <c r="B781" s="304">
        <f t="shared" ca="1" si="355"/>
        <v>29.239500000000056</v>
      </c>
      <c r="D781" s="306">
        <f t="shared" ca="1" si="356"/>
        <v>-0.73099864833240336</v>
      </c>
      <c r="E781" s="307">
        <f t="shared" ca="1" si="357"/>
        <v>-1.3365062217150285</v>
      </c>
      <c r="F781" s="304">
        <f t="shared" ca="1" si="358"/>
        <v>1.5233541625461828</v>
      </c>
      <c r="G781" s="306">
        <f t="shared" ca="1" si="359"/>
        <v>9.2114284566801068</v>
      </c>
      <c r="H781" s="307">
        <f t="shared" ca="1" si="360"/>
        <v>-106.77680321917242</v>
      </c>
      <c r="I781" s="304">
        <f t="shared" ca="1" si="361"/>
        <v>107.17339277973058</v>
      </c>
      <c r="J781" s="306">
        <f t="shared" ca="1" si="362"/>
        <v>746.86410190403069</v>
      </c>
      <c r="K781" s="307">
        <f t="shared" ca="1" si="363"/>
        <v>-6.4639345211389072</v>
      </c>
      <c r="L781" s="304">
        <f t="shared" ca="1" si="348"/>
        <v>746.89207330270142</v>
      </c>
      <c r="M781" s="306">
        <f t="shared" ca="1" si="364"/>
        <v>-1.4847413163175955</v>
      </c>
      <c r="N781" s="304">
        <f t="shared" ca="1" si="365"/>
        <v>-85.069411093696573</v>
      </c>
      <c r="P781" s="310">
        <f t="shared" ca="1" si="366"/>
        <v>23</v>
      </c>
      <c r="Q781" s="304">
        <f t="shared" ca="1" si="367"/>
        <v>0</v>
      </c>
      <c r="R781" s="306">
        <f t="shared" ca="1" si="368"/>
        <v>0</v>
      </c>
      <c r="S781" s="307">
        <f t="shared" ca="1" si="369"/>
        <v>5.083000000000002</v>
      </c>
      <c r="T781" s="304">
        <f t="shared" ca="1" si="349"/>
        <v>49.86423000000002</v>
      </c>
      <c r="U781" s="311">
        <f t="shared" ca="1" si="350"/>
        <v>0</v>
      </c>
      <c r="V781" s="306">
        <f t="shared" ca="1" si="351"/>
        <v>1.2257920879790813</v>
      </c>
      <c r="W781" s="304">
        <f t="shared" ca="1" si="352"/>
        <v>43.230893434096096</v>
      </c>
      <c r="Y781" s="314" t="str">
        <f t="shared" ca="1" si="370"/>
        <v/>
      </c>
      <c r="Z781" s="315" t="str">
        <f t="shared" ca="1" si="371"/>
        <v/>
      </c>
      <c r="AA781" s="316" t="str">
        <f t="shared" ca="1" si="372"/>
        <v/>
      </c>
      <c r="AC781" s="310" t="e">
        <f t="shared" ca="1" si="373"/>
        <v>#N/A</v>
      </c>
      <c r="AD781" s="323" t="e">
        <f t="shared" ca="1" si="374"/>
        <v>#N/A</v>
      </c>
      <c r="AE781" s="324" t="e">
        <f t="shared" ca="1" si="353"/>
        <v>#N/A</v>
      </c>
      <c r="AG781" s="306">
        <f t="shared" ca="1" si="375"/>
        <v>1.2687314030719659</v>
      </c>
      <c r="AH781" s="304">
        <f t="shared" ca="1" si="376"/>
        <v>-8.5049665392932567</v>
      </c>
    </row>
    <row r="782" spans="1:34" x14ac:dyDescent="0.2">
      <c r="A782" s="347">
        <f t="shared" ca="1" si="354"/>
        <v>1E-4</v>
      </c>
      <c r="B782" s="304">
        <f t="shared" ca="1" si="355"/>
        <v>29.239600000000056</v>
      </c>
      <c r="D782" s="306">
        <f t="shared" ca="1" si="356"/>
        <v>-0.73099449322539978</v>
      </c>
      <c r="E782" s="307">
        <f t="shared" ca="1" si="357"/>
        <v>-1.336476536782607</v>
      </c>
      <c r="F782" s="304">
        <f t="shared" ca="1" si="358"/>
        <v>1.5233261247993779</v>
      </c>
      <c r="G782" s="306">
        <f t="shared" ca="1" si="359"/>
        <v>9.2113553572307847</v>
      </c>
      <c r="H782" s="307">
        <f t="shared" ca="1" si="360"/>
        <v>-106.77693686682611</v>
      </c>
      <c r="I782" s="304">
        <f t="shared" ca="1" si="361"/>
        <v>107.1735196500486</v>
      </c>
      <c r="J782" s="306">
        <f t="shared" ca="1" si="362"/>
        <v>746.86410190403069</v>
      </c>
      <c r="K782" s="307">
        <f t="shared" ca="1" si="363"/>
        <v>-6.4746122081432071</v>
      </c>
      <c r="L782" s="304">
        <f t="shared" ca="1" si="348"/>
        <v>746.89216578844912</v>
      </c>
      <c r="M782" s="306">
        <f t="shared" ca="1" si="364"/>
        <v>-1.4847421030399992</v>
      </c>
      <c r="N782" s="304">
        <f t="shared" ca="1" si="365"/>
        <v>-85.069456169569946</v>
      </c>
      <c r="P782" s="310">
        <f t="shared" ca="1" si="366"/>
        <v>23</v>
      </c>
      <c r="Q782" s="304">
        <f t="shared" ca="1" si="367"/>
        <v>0</v>
      </c>
      <c r="R782" s="306">
        <f t="shared" ca="1" si="368"/>
        <v>0</v>
      </c>
      <c r="S782" s="307">
        <f t="shared" ca="1" si="369"/>
        <v>5.083000000000002</v>
      </c>
      <c r="T782" s="304">
        <f t="shared" ca="1" si="349"/>
        <v>49.86423000000002</v>
      </c>
      <c r="U782" s="311">
        <f t="shared" ca="1" si="350"/>
        <v>0</v>
      </c>
      <c r="V782" s="306">
        <f t="shared" ca="1" si="351"/>
        <v>1.2257933968423413</v>
      </c>
      <c r="W782" s="304">
        <f t="shared" ca="1" si="352"/>
        <v>43.231041947107713</v>
      </c>
      <c r="Y782" s="314" t="str">
        <f t="shared" ca="1" si="370"/>
        <v/>
      </c>
      <c r="Z782" s="315" t="str">
        <f t="shared" ca="1" si="371"/>
        <v/>
      </c>
      <c r="AA782" s="316" t="str">
        <f t="shared" ca="1" si="372"/>
        <v/>
      </c>
      <c r="AC782" s="310" t="e">
        <f t="shared" ca="1" si="373"/>
        <v>#N/A</v>
      </c>
      <c r="AD782" s="323" t="e">
        <f t="shared" ca="1" si="374"/>
        <v>#N/A</v>
      </c>
      <c r="AE782" s="324" t="e">
        <f t="shared" ca="1" si="353"/>
        <v>#N/A</v>
      </c>
      <c r="AG782" s="306">
        <f t="shared" ca="1" si="375"/>
        <v>1.268702848457556</v>
      </c>
      <c r="AH782" s="304">
        <f t="shared" ca="1" si="376"/>
        <v>-8.504995757248885</v>
      </c>
    </row>
    <row r="783" spans="1:34" x14ac:dyDescent="0.2">
      <c r="A783" s="347">
        <f t="shared" ca="1" si="354"/>
        <v>1E-4</v>
      </c>
      <c r="B783" s="304">
        <f t="shared" ca="1" si="355"/>
        <v>29.239700000000056</v>
      </c>
      <c r="D783" s="306">
        <f t="shared" ca="1" si="356"/>
        <v>-0.73099033810943159</v>
      </c>
      <c r="E783" s="307">
        <f t="shared" ca="1" si="357"/>
        <v>-1.3364468522213571</v>
      </c>
      <c r="F783" s="304">
        <f t="shared" ca="1" si="358"/>
        <v>1.5232980874476654</v>
      </c>
      <c r="G783" s="306">
        <f t="shared" ca="1" si="359"/>
        <v>9.2112822581969738</v>
      </c>
      <c r="H783" s="307">
        <f t="shared" ca="1" si="360"/>
        <v>-106.77707051151133</v>
      </c>
      <c r="I783" s="304">
        <f t="shared" ca="1" si="361"/>
        <v>107.17364651751117</v>
      </c>
      <c r="J783" s="306">
        <f t="shared" ca="1" si="362"/>
        <v>746.86410190403069</v>
      </c>
      <c r="K783" s="307">
        <f t="shared" ca="1" si="363"/>
        <v>-6.4852899085121241</v>
      </c>
      <c r="L783" s="304">
        <f t="shared" ca="1" si="348"/>
        <v>746.89225842695123</v>
      </c>
      <c r="M783" s="306">
        <f t="shared" ca="1" si="364"/>
        <v>-1.4847428897542974</v>
      </c>
      <c r="N783" s="304">
        <f t="shared" ca="1" si="365"/>
        <v>-85.069501244978923</v>
      </c>
      <c r="P783" s="310">
        <f t="shared" ca="1" si="366"/>
        <v>23</v>
      </c>
      <c r="Q783" s="304">
        <f t="shared" ca="1" si="367"/>
        <v>0</v>
      </c>
      <c r="R783" s="306">
        <f t="shared" ca="1" si="368"/>
        <v>0</v>
      </c>
      <c r="S783" s="307">
        <f t="shared" ca="1" si="369"/>
        <v>5.083000000000002</v>
      </c>
      <c r="T783" s="304">
        <f t="shared" ca="1" si="349"/>
        <v>49.86423000000002</v>
      </c>
      <c r="U783" s="311">
        <f t="shared" ca="1" si="350"/>
        <v>0</v>
      </c>
      <c r="V783" s="306">
        <f t="shared" ca="1" si="351"/>
        <v>1.2257947057086385</v>
      </c>
      <c r="W783" s="304">
        <f t="shared" ca="1" si="352"/>
        <v>43.231190458262553</v>
      </c>
      <c r="Y783" s="314" t="str">
        <f t="shared" ca="1" si="370"/>
        <v/>
      </c>
      <c r="Z783" s="315" t="str">
        <f t="shared" ca="1" si="371"/>
        <v/>
      </c>
      <c r="AA783" s="316" t="str">
        <f t="shared" ca="1" si="372"/>
        <v/>
      </c>
      <c r="AC783" s="310" t="e">
        <f t="shared" ca="1" si="373"/>
        <v>#N/A</v>
      </c>
      <c r="AD783" s="323" t="e">
        <f t="shared" ca="1" si="374"/>
        <v>#N/A</v>
      </c>
      <c r="AE783" s="324" t="e">
        <f t="shared" ca="1" si="353"/>
        <v>#N/A</v>
      </c>
      <c r="AG783" s="306">
        <f t="shared" ca="1" si="375"/>
        <v>1.2686742941955664</v>
      </c>
      <c r="AH783" s="304">
        <f t="shared" ca="1" si="376"/>
        <v>-8.5050249748392091</v>
      </c>
    </row>
    <row r="784" spans="1:34" x14ac:dyDescent="0.2">
      <c r="A784" s="347">
        <f t="shared" ca="1" si="354"/>
        <v>1E-4</v>
      </c>
      <c r="B784" s="304">
        <f t="shared" ca="1" si="355"/>
        <v>29.239800000000056</v>
      </c>
      <c r="D784" s="306">
        <f t="shared" ca="1" si="356"/>
        <v>-0.73098618298449569</v>
      </c>
      <c r="E784" s="307">
        <f t="shared" ca="1" si="357"/>
        <v>-1.3364171680312662</v>
      </c>
      <c r="F784" s="304">
        <f t="shared" ca="1" si="358"/>
        <v>1.5232700504910324</v>
      </c>
      <c r="G784" s="306">
        <f t="shared" ca="1" si="359"/>
        <v>9.2112091595786758</v>
      </c>
      <c r="H784" s="307">
        <f t="shared" ca="1" si="360"/>
        <v>-106.77720415322813</v>
      </c>
      <c r="I784" s="304">
        <f t="shared" ca="1" si="361"/>
        <v>107.17377338211837</v>
      </c>
      <c r="J784" s="306">
        <f t="shared" ca="1" si="362"/>
        <v>746.86410190403069</v>
      </c>
      <c r="K784" s="307">
        <f t="shared" ca="1" si="363"/>
        <v>-6.4959676222453613</v>
      </c>
      <c r="L784" s="304">
        <f t="shared" ca="1" si="348"/>
        <v>746.89235121820843</v>
      </c>
      <c r="M784" s="306">
        <f t="shared" ca="1" si="364"/>
        <v>-1.4847436764604895</v>
      </c>
      <c r="N784" s="304">
        <f t="shared" ca="1" si="365"/>
        <v>-85.069546319923447</v>
      </c>
      <c r="P784" s="310">
        <f t="shared" ca="1" si="366"/>
        <v>23</v>
      </c>
      <c r="Q784" s="304">
        <f t="shared" ca="1" si="367"/>
        <v>0</v>
      </c>
      <c r="R784" s="306">
        <f t="shared" ca="1" si="368"/>
        <v>0</v>
      </c>
      <c r="S784" s="307">
        <f t="shared" ca="1" si="369"/>
        <v>5.083000000000002</v>
      </c>
      <c r="T784" s="304">
        <f t="shared" ca="1" si="349"/>
        <v>49.86423000000002</v>
      </c>
      <c r="U784" s="311">
        <f t="shared" ca="1" si="350"/>
        <v>0</v>
      </c>
      <c r="V784" s="306">
        <f t="shared" ca="1" si="351"/>
        <v>1.2257960145779716</v>
      </c>
      <c r="W784" s="304">
        <f t="shared" ca="1" si="352"/>
        <v>43.231338967560617</v>
      </c>
      <c r="Y784" s="314" t="str">
        <f t="shared" ca="1" si="370"/>
        <v/>
      </c>
      <c r="Z784" s="315" t="str">
        <f t="shared" ca="1" si="371"/>
        <v/>
      </c>
      <c r="AA784" s="316" t="str">
        <f t="shared" ca="1" si="372"/>
        <v/>
      </c>
      <c r="AC784" s="310" t="e">
        <f t="shared" ca="1" si="373"/>
        <v>#N/A</v>
      </c>
      <c r="AD784" s="323" t="e">
        <f t="shared" ca="1" si="374"/>
        <v>#N/A</v>
      </c>
      <c r="AE784" s="324" t="e">
        <f t="shared" ca="1" si="353"/>
        <v>#N/A</v>
      </c>
      <c r="AG784" s="306">
        <f t="shared" ca="1" si="375"/>
        <v>1.2686457402859865</v>
      </c>
      <c r="AH784" s="304">
        <f t="shared" ca="1" si="376"/>
        <v>-8.5050541920642413</v>
      </c>
    </row>
    <row r="785" spans="1:34" x14ac:dyDescent="0.2">
      <c r="A785" s="347">
        <f t="shared" ca="1" si="354"/>
        <v>1E-4</v>
      </c>
      <c r="B785" s="304">
        <f t="shared" ca="1" si="355"/>
        <v>29.239900000000056</v>
      </c>
      <c r="D785" s="306">
        <f t="shared" ca="1" si="356"/>
        <v>-0.7309820278505974</v>
      </c>
      <c r="E785" s="307">
        <f t="shared" ca="1" si="357"/>
        <v>-1.3363874842123327</v>
      </c>
      <c r="F785" s="304">
        <f t="shared" ca="1" si="358"/>
        <v>1.5232420139294802</v>
      </c>
      <c r="G785" s="306">
        <f t="shared" ca="1" si="359"/>
        <v>9.2111360613758908</v>
      </c>
      <c r="H785" s="307">
        <f t="shared" ca="1" si="360"/>
        <v>-106.77733779197655</v>
      </c>
      <c r="I785" s="304">
        <f t="shared" ca="1" si="361"/>
        <v>107.17390024387021</v>
      </c>
      <c r="J785" s="306">
        <f t="shared" ca="1" si="362"/>
        <v>746.86410190403069</v>
      </c>
      <c r="K785" s="307">
        <f t="shared" ca="1" si="363"/>
        <v>-6.5066453493426213</v>
      </c>
      <c r="L785" s="304">
        <f t="shared" ca="1" si="348"/>
        <v>746.89244416222107</v>
      </c>
      <c r="M785" s="306">
        <f t="shared" ca="1" si="364"/>
        <v>-1.4847444631585764</v>
      </c>
      <c r="N785" s="304">
        <f t="shared" ca="1" si="365"/>
        <v>-85.069591394403574</v>
      </c>
      <c r="P785" s="310">
        <f t="shared" ca="1" si="366"/>
        <v>23</v>
      </c>
      <c r="Q785" s="304">
        <f t="shared" ca="1" si="367"/>
        <v>0</v>
      </c>
      <c r="R785" s="306">
        <f t="shared" ca="1" si="368"/>
        <v>0</v>
      </c>
      <c r="S785" s="307">
        <f t="shared" ca="1" si="369"/>
        <v>5.083000000000002</v>
      </c>
      <c r="T785" s="304">
        <f t="shared" ca="1" si="349"/>
        <v>49.86423000000002</v>
      </c>
      <c r="U785" s="311">
        <f t="shared" ca="1" si="350"/>
        <v>0</v>
      </c>
      <c r="V785" s="306">
        <f t="shared" ca="1" si="351"/>
        <v>1.2257973234503405</v>
      </c>
      <c r="W785" s="304">
        <f t="shared" ca="1" si="352"/>
        <v>43.231487475001899</v>
      </c>
      <c r="Y785" s="314" t="str">
        <f t="shared" ca="1" si="370"/>
        <v/>
      </c>
      <c r="Z785" s="315" t="str">
        <f t="shared" ca="1" si="371"/>
        <v/>
      </c>
      <c r="AA785" s="316" t="str">
        <f t="shared" ca="1" si="372"/>
        <v/>
      </c>
      <c r="AC785" s="310" t="e">
        <f t="shared" ca="1" si="373"/>
        <v>#N/A</v>
      </c>
      <c r="AD785" s="323" t="e">
        <f t="shared" ca="1" si="374"/>
        <v>#N/A</v>
      </c>
      <c r="AE785" s="324" t="e">
        <f t="shared" ca="1" si="353"/>
        <v>#N/A</v>
      </c>
      <c r="AG785" s="306">
        <f t="shared" ca="1" si="375"/>
        <v>1.2686171867288127</v>
      </c>
      <c r="AH785" s="304">
        <f t="shared" ca="1" si="376"/>
        <v>-8.5050834089239817</v>
      </c>
    </row>
    <row r="786" spans="1:34" x14ac:dyDescent="0.2">
      <c r="A786" s="347">
        <f t="shared" ca="1" si="354"/>
        <v>1E-4</v>
      </c>
      <c r="B786" s="304">
        <f t="shared" ca="1" si="355"/>
        <v>29.240000000000055</v>
      </c>
      <c r="D786" s="306">
        <f t="shared" ca="1" si="356"/>
        <v>-0.73097787270773273</v>
      </c>
      <c r="E786" s="307">
        <f t="shared" ca="1" si="357"/>
        <v>-1.3363578007645582</v>
      </c>
      <c r="F786" s="304">
        <f t="shared" ca="1" si="358"/>
        <v>1.5232139777630092</v>
      </c>
      <c r="G786" s="306">
        <f t="shared" ca="1" si="359"/>
        <v>9.2110629635886205</v>
      </c>
      <c r="H786" s="307">
        <f t="shared" ca="1" si="360"/>
        <v>-106.77747142775662</v>
      </c>
      <c r="I786" s="304">
        <f t="shared" ca="1" si="361"/>
        <v>107.17402710276673</v>
      </c>
      <c r="J786" s="306">
        <f t="shared" ca="1" si="362"/>
        <v>746.86410190403069</v>
      </c>
      <c r="K786" s="307">
        <f t="shared" ca="1" si="363"/>
        <v>-6.5173230898036083</v>
      </c>
      <c r="L786" s="304">
        <f t="shared" ca="1" si="348"/>
        <v>746.89253725898959</v>
      </c>
      <c r="M786" s="306">
        <f t="shared" ca="1" si="364"/>
        <v>-1.4847452498485576</v>
      </c>
      <c r="N786" s="304">
        <f t="shared" ca="1" si="365"/>
        <v>-85.069636468419276</v>
      </c>
      <c r="P786" s="310">
        <f t="shared" ca="1" si="366"/>
        <v>23</v>
      </c>
      <c r="Q786" s="304">
        <f t="shared" ca="1" si="367"/>
        <v>0</v>
      </c>
      <c r="R786" s="306">
        <f t="shared" ca="1" si="368"/>
        <v>0</v>
      </c>
      <c r="S786" s="307">
        <f t="shared" ca="1" si="369"/>
        <v>5.083000000000002</v>
      </c>
      <c r="T786" s="304">
        <f t="shared" ca="1" si="349"/>
        <v>49.86423000000002</v>
      </c>
      <c r="U786" s="311">
        <f t="shared" ca="1" si="350"/>
        <v>0</v>
      </c>
      <c r="V786" s="306">
        <f t="shared" ca="1" si="351"/>
        <v>1.2257986323257459</v>
      </c>
      <c r="W786" s="304">
        <f t="shared" ca="1" si="352"/>
        <v>43.231635980586447</v>
      </c>
      <c r="Y786" s="314" t="str">
        <f t="shared" ca="1" si="370"/>
        <v/>
      </c>
      <c r="Z786" s="315" t="str">
        <f t="shared" ca="1" si="371"/>
        <v/>
      </c>
      <c r="AA786" s="316" t="str">
        <f t="shared" ca="1" si="372"/>
        <v/>
      </c>
      <c r="AC786" s="310" t="e">
        <f t="shared" ca="1" si="373"/>
        <v>#N/A</v>
      </c>
      <c r="AD786" s="323" t="e">
        <f t="shared" ca="1" si="374"/>
        <v>#N/A</v>
      </c>
      <c r="AE786" s="324" t="e">
        <f t="shared" ca="1" si="353"/>
        <v>#N/A</v>
      </c>
      <c r="AG786" s="306">
        <f t="shared" ca="1" si="375"/>
        <v>1.2685886335240504</v>
      </c>
      <c r="AH786" s="304">
        <f t="shared" ca="1" si="376"/>
        <v>-8.5051126254184304</v>
      </c>
    </row>
    <row r="787" spans="1:34" x14ac:dyDescent="0.2">
      <c r="A787" s="347">
        <f t="shared" ca="1" si="354"/>
        <v>1E-4</v>
      </c>
      <c r="B787" s="304">
        <f t="shared" ca="1" si="355"/>
        <v>29.240100000000055</v>
      </c>
      <c r="D787" s="306">
        <f t="shared" ca="1" si="356"/>
        <v>-0.73097371755590801</v>
      </c>
      <c r="E787" s="307">
        <f t="shared" ca="1" si="357"/>
        <v>-1.336328117687934</v>
      </c>
      <c r="F787" s="304">
        <f t="shared" ca="1" si="358"/>
        <v>1.5231859419916143</v>
      </c>
      <c r="G787" s="306">
        <f t="shared" ca="1" si="359"/>
        <v>9.210989866216865</v>
      </c>
      <c r="H787" s="307">
        <f t="shared" ca="1" si="360"/>
        <v>-106.77760506056839</v>
      </c>
      <c r="I787" s="304">
        <f t="shared" ca="1" si="361"/>
        <v>107.17415395880795</v>
      </c>
      <c r="J787" s="306">
        <f t="shared" ca="1" si="362"/>
        <v>746.86410190403069</v>
      </c>
      <c r="K787" s="307">
        <f t="shared" ca="1" si="363"/>
        <v>-6.5280008436280248</v>
      </c>
      <c r="L787" s="304">
        <f t="shared" ca="1" si="348"/>
        <v>746.89263050851469</v>
      </c>
      <c r="M787" s="306">
        <f t="shared" ca="1" si="364"/>
        <v>-1.4847460365304337</v>
      </c>
      <c r="N787" s="304">
        <f t="shared" ca="1" si="365"/>
        <v>-85.069681541970596</v>
      </c>
      <c r="P787" s="310">
        <f t="shared" ca="1" si="366"/>
        <v>23</v>
      </c>
      <c r="Q787" s="304">
        <f t="shared" ca="1" si="367"/>
        <v>0</v>
      </c>
      <c r="R787" s="306">
        <f t="shared" ca="1" si="368"/>
        <v>0</v>
      </c>
      <c r="S787" s="307">
        <f t="shared" ca="1" si="369"/>
        <v>5.083000000000002</v>
      </c>
      <c r="T787" s="304">
        <f t="shared" ca="1" si="349"/>
        <v>49.86423000000002</v>
      </c>
      <c r="U787" s="311">
        <f t="shared" ca="1" si="350"/>
        <v>0</v>
      </c>
      <c r="V787" s="306">
        <f t="shared" ca="1" si="351"/>
        <v>1.2257999412041873</v>
      </c>
      <c r="W787" s="304">
        <f t="shared" ca="1" si="352"/>
        <v>43.231784484314218</v>
      </c>
      <c r="Y787" s="314" t="str">
        <f t="shared" ca="1" si="370"/>
        <v/>
      </c>
      <c r="Z787" s="315" t="str">
        <f t="shared" ca="1" si="371"/>
        <v/>
      </c>
      <c r="AA787" s="316" t="str">
        <f t="shared" ca="1" si="372"/>
        <v/>
      </c>
      <c r="AC787" s="310" t="e">
        <f t="shared" ca="1" si="373"/>
        <v>#N/A</v>
      </c>
      <c r="AD787" s="323" t="e">
        <f t="shared" ca="1" si="374"/>
        <v>#N/A</v>
      </c>
      <c r="AE787" s="324" t="e">
        <f t="shared" ca="1" si="353"/>
        <v>#N/A</v>
      </c>
      <c r="AG787" s="306">
        <f t="shared" ca="1" si="375"/>
        <v>1.2685600806716852</v>
      </c>
      <c r="AH787" s="304">
        <f t="shared" ca="1" si="376"/>
        <v>-8.5051418415475961</v>
      </c>
    </row>
    <row r="788" spans="1:34" x14ac:dyDescent="0.2">
      <c r="A788" s="347">
        <f t="shared" ca="1" si="354"/>
        <v>1E-4</v>
      </c>
      <c r="B788" s="304">
        <f t="shared" ca="1" si="355"/>
        <v>29.240200000000055</v>
      </c>
      <c r="D788" s="306">
        <f t="shared" ca="1" si="356"/>
        <v>-0.7309695623951179</v>
      </c>
      <c r="E788" s="307">
        <f t="shared" ca="1" si="357"/>
        <v>-1.3362984349824671</v>
      </c>
      <c r="F788" s="304">
        <f t="shared" ca="1" si="358"/>
        <v>1.5231579066152994</v>
      </c>
      <c r="G788" s="306">
        <f t="shared" ca="1" si="359"/>
        <v>9.210916769260626</v>
      </c>
      <c r="H788" s="307">
        <f t="shared" ca="1" si="360"/>
        <v>-106.77773869041189</v>
      </c>
      <c r="I788" s="304">
        <f t="shared" ca="1" si="361"/>
        <v>107.17428081199394</v>
      </c>
      <c r="J788" s="306">
        <f t="shared" ca="1" si="362"/>
        <v>746.86410190403069</v>
      </c>
      <c r="K788" s="307">
        <f t="shared" ca="1" si="363"/>
        <v>-6.5386786108155741</v>
      </c>
      <c r="L788" s="304">
        <f t="shared" ca="1" si="348"/>
        <v>746.8927239107968</v>
      </c>
      <c r="M788" s="306">
        <f t="shared" ca="1" si="364"/>
        <v>-1.4847468232042043</v>
      </c>
      <c r="N788" s="304">
        <f t="shared" ca="1" si="365"/>
        <v>-85.069726615057505</v>
      </c>
      <c r="P788" s="310">
        <f t="shared" ca="1" si="366"/>
        <v>23</v>
      </c>
      <c r="Q788" s="304">
        <f t="shared" ca="1" si="367"/>
        <v>0</v>
      </c>
      <c r="R788" s="306">
        <f t="shared" ca="1" si="368"/>
        <v>0</v>
      </c>
      <c r="S788" s="307">
        <f t="shared" ca="1" si="369"/>
        <v>5.083000000000002</v>
      </c>
      <c r="T788" s="304">
        <f t="shared" ca="1" si="349"/>
        <v>49.86423000000002</v>
      </c>
      <c r="U788" s="311">
        <f t="shared" ca="1" si="350"/>
        <v>0</v>
      </c>
      <c r="V788" s="306">
        <f t="shared" ca="1" si="351"/>
        <v>1.2258012500856645</v>
      </c>
      <c r="W788" s="304">
        <f t="shared" ca="1" si="352"/>
        <v>43.231932986185278</v>
      </c>
      <c r="Y788" s="314" t="str">
        <f t="shared" ca="1" si="370"/>
        <v/>
      </c>
      <c r="Z788" s="315" t="str">
        <f t="shared" ca="1" si="371"/>
        <v/>
      </c>
      <c r="AA788" s="316" t="str">
        <f t="shared" ca="1" si="372"/>
        <v/>
      </c>
      <c r="AC788" s="310" t="e">
        <f t="shared" ca="1" si="373"/>
        <v>#N/A</v>
      </c>
      <c r="AD788" s="323" t="e">
        <f t="shared" ca="1" si="374"/>
        <v>#N/A</v>
      </c>
      <c r="AE788" s="324" t="e">
        <f t="shared" ca="1" si="353"/>
        <v>#N/A</v>
      </c>
      <c r="AG788" s="306">
        <f t="shared" ca="1" si="375"/>
        <v>1.2685315281717315</v>
      </c>
      <c r="AH788" s="304">
        <f t="shared" ca="1" si="376"/>
        <v>-8.5051710573114701</v>
      </c>
    </row>
    <row r="789" spans="1:34" x14ac:dyDescent="0.2">
      <c r="A789" s="347">
        <f t="shared" ca="1" si="354"/>
        <v>1E-4</v>
      </c>
      <c r="B789" s="304">
        <f t="shared" ca="1" si="355"/>
        <v>29.240300000000055</v>
      </c>
      <c r="D789" s="306">
        <f t="shared" ca="1" si="356"/>
        <v>-0.73096540722536929</v>
      </c>
      <c r="E789" s="307">
        <f t="shared" ca="1" si="357"/>
        <v>-1.3362687526481469</v>
      </c>
      <c r="F789" s="304">
        <f t="shared" ca="1" si="358"/>
        <v>1.5231298716340587</v>
      </c>
      <c r="G789" s="306">
        <f t="shared" ca="1" si="359"/>
        <v>9.2108436727199035</v>
      </c>
      <c r="H789" s="307">
        <f t="shared" ca="1" si="360"/>
        <v>-106.77787231728716</v>
      </c>
      <c r="I789" s="304">
        <f t="shared" ca="1" si="361"/>
        <v>107.1744076623247</v>
      </c>
      <c r="J789" s="306">
        <f t="shared" ca="1" si="362"/>
        <v>746.86410190403069</v>
      </c>
      <c r="K789" s="307">
        <f t="shared" ca="1" si="363"/>
        <v>-6.5493563913659587</v>
      </c>
      <c r="L789" s="304">
        <f t="shared" ca="1" si="348"/>
        <v>746.89281746583652</v>
      </c>
      <c r="M789" s="306">
        <f t="shared" ca="1" si="364"/>
        <v>-1.48474760986987</v>
      </c>
      <c r="N789" s="304">
        <f t="shared" ca="1" si="365"/>
        <v>-85.069771687680046</v>
      </c>
      <c r="P789" s="310">
        <f t="shared" ca="1" si="366"/>
        <v>23</v>
      </c>
      <c r="Q789" s="304">
        <f t="shared" ca="1" si="367"/>
        <v>0</v>
      </c>
      <c r="R789" s="306">
        <f t="shared" ca="1" si="368"/>
        <v>0</v>
      </c>
      <c r="S789" s="307">
        <f t="shared" ca="1" si="369"/>
        <v>5.083000000000002</v>
      </c>
      <c r="T789" s="304">
        <f t="shared" ca="1" si="349"/>
        <v>49.86423000000002</v>
      </c>
      <c r="U789" s="311">
        <f t="shared" ca="1" si="350"/>
        <v>0</v>
      </c>
      <c r="V789" s="306">
        <f t="shared" ca="1" si="351"/>
        <v>1.2258025589701786</v>
      </c>
      <c r="W789" s="304">
        <f t="shared" ca="1" si="352"/>
        <v>43.23208148619964</v>
      </c>
      <c r="Y789" s="314" t="str">
        <f t="shared" ca="1" si="370"/>
        <v/>
      </c>
      <c r="Z789" s="315" t="str">
        <f t="shared" ca="1" si="371"/>
        <v/>
      </c>
      <c r="AA789" s="316" t="str">
        <f t="shared" ca="1" si="372"/>
        <v/>
      </c>
      <c r="AC789" s="310" t="e">
        <f t="shared" ca="1" si="373"/>
        <v>#N/A</v>
      </c>
      <c r="AD789" s="323" t="e">
        <f t="shared" ca="1" si="374"/>
        <v>#N/A</v>
      </c>
      <c r="AE789" s="324" t="e">
        <f t="shared" ca="1" si="353"/>
        <v>#N/A</v>
      </c>
      <c r="AG789" s="306">
        <f t="shared" ca="1" si="375"/>
        <v>1.2685029760241751</v>
      </c>
      <c r="AH789" s="304">
        <f t="shared" ca="1" si="376"/>
        <v>-8.5052002727100646</v>
      </c>
    </row>
    <row r="790" spans="1:34" x14ac:dyDescent="0.2">
      <c r="A790" s="347">
        <f t="shared" ca="1" si="354"/>
        <v>1E-4</v>
      </c>
      <c r="B790" s="304">
        <f t="shared" ca="1" si="355"/>
        <v>29.240400000000054</v>
      </c>
      <c r="D790" s="306">
        <f t="shared" ca="1" si="356"/>
        <v>-0.73096125204665841</v>
      </c>
      <c r="E790" s="307">
        <f t="shared" ca="1" si="357"/>
        <v>-1.3362390706849663</v>
      </c>
      <c r="F790" s="304">
        <f t="shared" ca="1" si="358"/>
        <v>1.5231018370478846</v>
      </c>
      <c r="G790" s="306">
        <f t="shared" ca="1" si="359"/>
        <v>9.2107705765946992</v>
      </c>
      <c r="H790" s="307">
        <f t="shared" ca="1" si="360"/>
        <v>-106.77800594119424</v>
      </c>
      <c r="I790" s="304">
        <f t="shared" ca="1" si="361"/>
        <v>107.1745345098003</v>
      </c>
      <c r="J790" s="306">
        <f t="shared" ca="1" si="362"/>
        <v>746.86410190403069</v>
      </c>
      <c r="K790" s="307">
        <f t="shared" ca="1" si="363"/>
        <v>-6.5600341852788828</v>
      </c>
      <c r="L790" s="304">
        <f t="shared" ca="1" si="348"/>
        <v>746.89291117363427</v>
      </c>
      <c r="M790" s="306">
        <f t="shared" ca="1" si="364"/>
        <v>-1.4847483965274304</v>
      </c>
      <c r="N790" s="304">
        <f t="shared" ca="1" si="365"/>
        <v>-85.069816759838176</v>
      </c>
      <c r="P790" s="310">
        <f t="shared" ca="1" si="366"/>
        <v>23</v>
      </c>
      <c r="Q790" s="304">
        <f t="shared" ca="1" si="367"/>
        <v>0</v>
      </c>
      <c r="R790" s="306">
        <f t="shared" ca="1" si="368"/>
        <v>0</v>
      </c>
      <c r="S790" s="307">
        <f t="shared" ca="1" si="369"/>
        <v>5.083000000000002</v>
      </c>
      <c r="T790" s="304">
        <f t="shared" ca="1" si="349"/>
        <v>49.86423000000002</v>
      </c>
      <c r="U790" s="311">
        <f t="shared" ca="1" si="350"/>
        <v>0</v>
      </c>
      <c r="V790" s="306">
        <f t="shared" ca="1" si="351"/>
        <v>1.2258038678577283</v>
      </c>
      <c r="W790" s="304">
        <f t="shared" ca="1" si="352"/>
        <v>43.232229984357296</v>
      </c>
      <c r="Y790" s="314" t="str">
        <f t="shared" ca="1" si="370"/>
        <v/>
      </c>
      <c r="Z790" s="315" t="str">
        <f t="shared" ca="1" si="371"/>
        <v/>
      </c>
      <c r="AA790" s="316" t="str">
        <f t="shared" ca="1" si="372"/>
        <v/>
      </c>
      <c r="AC790" s="310" t="e">
        <f t="shared" ca="1" si="373"/>
        <v>#N/A</v>
      </c>
      <c r="AD790" s="323" t="e">
        <f t="shared" ca="1" si="374"/>
        <v>#N/A</v>
      </c>
      <c r="AE790" s="324" t="e">
        <f t="shared" ca="1" si="353"/>
        <v>#N/A</v>
      </c>
      <c r="AG790" s="306">
        <f t="shared" ca="1" si="375"/>
        <v>1.2684744242290105</v>
      </c>
      <c r="AH790" s="304">
        <f t="shared" ca="1" si="376"/>
        <v>-8.5052294877433852</v>
      </c>
    </row>
    <row r="791" spans="1:34" x14ac:dyDescent="0.2">
      <c r="A791" s="347">
        <f t="shared" ca="1" si="354"/>
        <v>1E-4</v>
      </c>
      <c r="B791" s="304">
        <f t="shared" ca="1" si="355"/>
        <v>29.240500000000054</v>
      </c>
      <c r="D791" s="306">
        <f t="shared" ca="1" si="356"/>
        <v>-0.73095709685899013</v>
      </c>
      <c r="E791" s="307">
        <f t="shared" ca="1" si="357"/>
        <v>-1.3362093890929323</v>
      </c>
      <c r="F791" s="304">
        <f t="shared" ca="1" si="358"/>
        <v>1.5230738028567854</v>
      </c>
      <c r="G791" s="306">
        <f t="shared" ca="1" si="359"/>
        <v>9.2106974808850133</v>
      </c>
      <c r="H791" s="307">
        <f t="shared" ca="1" si="360"/>
        <v>-106.77813956213315</v>
      </c>
      <c r="I791" s="304">
        <f t="shared" ca="1" si="361"/>
        <v>107.17466135442073</v>
      </c>
      <c r="J791" s="306">
        <f t="shared" ca="1" si="362"/>
        <v>746.86410190403069</v>
      </c>
      <c r="K791" s="307">
        <f t="shared" ca="1" si="363"/>
        <v>-6.5707119925540489</v>
      </c>
      <c r="L791" s="304">
        <f t="shared" ca="1" si="348"/>
        <v>746.89300503419054</v>
      </c>
      <c r="M791" s="306">
        <f t="shared" ca="1" si="364"/>
        <v>-1.4847491831768862</v>
      </c>
      <c r="N791" s="304">
        <f t="shared" ca="1" si="365"/>
        <v>-85.069861831531952</v>
      </c>
      <c r="P791" s="310">
        <f t="shared" ca="1" si="366"/>
        <v>23</v>
      </c>
      <c r="Q791" s="304">
        <f t="shared" ca="1" si="367"/>
        <v>0</v>
      </c>
      <c r="R791" s="306">
        <f t="shared" ca="1" si="368"/>
        <v>0</v>
      </c>
      <c r="S791" s="307">
        <f t="shared" ca="1" si="369"/>
        <v>5.083000000000002</v>
      </c>
      <c r="T791" s="304">
        <f t="shared" ca="1" si="349"/>
        <v>49.86423000000002</v>
      </c>
      <c r="U791" s="311">
        <f t="shared" ca="1" si="350"/>
        <v>0</v>
      </c>
      <c r="V791" s="306">
        <f t="shared" ca="1" si="351"/>
        <v>1.2258051767483138</v>
      </c>
      <c r="W791" s="304">
        <f t="shared" ca="1" si="352"/>
        <v>43.232378480658234</v>
      </c>
      <c r="Y791" s="314" t="str">
        <f t="shared" ca="1" si="370"/>
        <v/>
      </c>
      <c r="Z791" s="315" t="str">
        <f t="shared" ca="1" si="371"/>
        <v/>
      </c>
      <c r="AA791" s="316" t="str">
        <f t="shared" ca="1" si="372"/>
        <v/>
      </c>
      <c r="AC791" s="310" t="e">
        <f t="shared" ca="1" si="373"/>
        <v>#N/A</v>
      </c>
      <c r="AD791" s="323" t="e">
        <f t="shared" ca="1" si="374"/>
        <v>#N/A</v>
      </c>
      <c r="AE791" s="324" t="e">
        <f t="shared" ca="1" si="353"/>
        <v>#N/A</v>
      </c>
      <c r="AG791" s="306">
        <f t="shared" ca="1" si="375"/>
        <v>1.2684458727862413</v>
      </c>
      <c r="AH791" s="304">
        <f t="shared" ca="1" si="376"/>
        <v>-8.5052587024114263</v>
      </c>
    </row>
    <row r="792" spans="1:34" x14ac:dyDescent="0.2">
      <c r="A792" s="347">
        <f t="shared" ca="1" si="354"/>
        <v>1E-4</v>
      </c>
      <c r="B792" s="304">
        <f t="shared" ca="1" si="355"/>
        <v>29.240600000000054</v>
      </c>
      <c r="D792" s="306">
        <f t="shared" ca="1" si="356"/>
        <v>-0.73095294166236024</v>
      </c>
      <c r="E792" s="307">
        <f t="shared" ca="1" si="357"/>
        <v>-1.336179707872045</v>
      </c>
      <c r="F792" s="304">
        <f t="shared" ca="1" si="358"/>
        <v>1.5230457690607597</v>
      </c>
      <c r="G792" s="306">
        <f t="shared" ca="1" si="359"/>
        <v>9.2106243855908474</v>
      </c>
      <c r="H792" s="307">
        <f t="shared" ca="1" si="360"/>
        <v>-106.77827318010394</v>
      </c>
      <c r="I792" s="304">
        <f t="shared" ca="1" si="361"/>
        <v>107.17478819618607</v>
      </c>
      <c r="J792" s="306">
        <f t="shared" ca="1" si="362"/>
        <v>746.86410190403069</v>
      </c>
      <c r="K792" s="307">
        <f t="shared" ca="1" si="363"/>
        <v>-6.5813898131911603</v>
      </c>
      <c r="L792" s="304">
        <f t="shared" ca="1" si="348"/>
        <v>746.89309904750587</v>
      </c>
      <c r="M792" s="306">
        <f t="shared" ca="1" si="364"/>
        <v>-1.4847499698182371</v>
      </c>
      <c r="N792" s="304">
        <f t="shared" ca="1" si="365"/>
        <v>-85.069906902761346</v>
      </c>
      <c r="P792" s="310">
        <f t="shared" ca="1" si="366"/>
        <v>23</v>
      </c>
      <c r="Q792" s="304">
        <f t="shared" ca="1" si="367"/>
        <v>0</v>
      </c>
      <c r="R792" s="306">
        <f t="shared" ca="1" si="368"/>
        <v>0</v>
      </c>
      <c r="S792" s="307">
        <f t="shared" ca="1" si="369"/>
        <v>5.083000000000002</v>
      </c>
      <c r="T792" s="304">
        <f t="shared" ca="1" si="349"/>
        <v>49.86423000000002</v>
      </c>
      <c r="U792" s="311">
        <f t="shared" ca="1" si="350"/>
        <v>0</v>
      </c>
      <c r="V792" s="306">
        <f t="shared" ca="1" si="351"/>
        <v>1.2258064856419357</v>
      </c>
      <c r="W792" s="304">
        <f t="shared" ca="1" si="352"/>
        <v>43.23252697510253</v>
      </c>
      <c r="Y792" s="314" t="str">
        <f t="shared" ca="1" si="370"/>
        <v/>
      </c>
      <c r="Z792" s="315" t="str">
        <f t="shared" ca="1" si="371"/>
        <v/>
      </c>
      <c r="AA792" s="316" t="str">
        <f t="shared" ca="1" si="372"/>
        <v/>
      </c>
      <c r="AC792" s="310" t="e">
        <f t="shared" ca="1" si="373"/>
        <v>#N/A</v>
      </c>
      <c r="AD792" s="323" t="e">
        <f t="shared" ca="1" si="374"/>
        <v>#N/A</v>
      </c>
      <c r="AE792" s="324" t="e">
        <f t="shared" ca="1" si="353"/>
        <v>#N/A</v>
      </c>
      <c r="AG792" s="306">
        <f t="shared" ca="1" si="375"/>
        <v>1.2684173216958712</v>
      </c>
      <c r="AH792" s="304">
        <f t="shared" ca="1" si="376"/>
        <v>-8.5052879167141882</v>
      </c>
    </row>
    <row r="793" spans="1:34" x14ac:dyDescent="0.2">
      <c r="A793" s="347">
        <f t="shared" ca="1" si="354"/>
        <v>1E-4</v>
      </c>
      <c r="B793" s="304">
        <f t="shared" ca="1" si="355"/>
        <v>29.240700000000054</v>
      </c>
      <c r="D793" s="306">
        <f t="shared" ca="1" si="356"/>
        <v>-0.73094878645677364</v>
      </c>
      <c r="E793" s="307">
        <f t="shared" ca="1" si="357"/>
        <v>-1.3361500270222884</v>
      </c>
      <c r="F793" s="304">
        <f t="shared" ca="1" si="358"/>
        <v>1.5230177356597958</v>
      </c>
      <c r="G793" s="306">
        <f t="shared" ca="1" si="359"/>
        <v>9.2105512907122016</v>
      </c>
      <c r="H793" s="307">
        <f t="shared" ca="1" si="360"/>
        <v>-106.77840679510663</v>
      </c>
      <c r="I793" s="304">
        <f t="shared" ca="1" si="361"/>
        <v>107.17491503509632</v>
      </c>
      <c r="J793" s="306">
        <f t="shared" ca="1" si="362"/>
        <v>746.86410190403069</v>
      </c>
      <c r="K793" s="307">
        <f t="shared" ca="1" si="363"/>
        <v>-6.5920676471899204</v>
      </c>
      <c r="L793" s="304">
        <f t="shared" ca="1" si="348"/>
        <v>746.89319321358096</v>
      </c>
      <c r="M793" s="306">
        <f t="shared" ca="1" si="364"/>
        <v>-1.4847507564514835</v>
      </c>
      <c r="N793" s="304">
        <f t="shared" ca="1" si="365"/>
        <v>-85.069951973526386</v>
      </c>
      <c r="P793" s="310">
        <f t="shared" ca="1" si="366"/>
        <v>23</v>
      </c>
      <c r="Q793" s="304">
        <f t="shared" ca="1" si="367"/>
        <v>0</v>
      </c>
      <c r="R793" s="306">
        <f t="shared" ca="1" si="368"/>
        <v>0</v>
      </c>
      <c r="S793" s="307">
        <f t="shared" ca="1" si="369"/>
        <v>5.083000000000002</v>
      </c>
      <c r="T793" s="304">
        <f t="shared" ca="1" si="349"/>
        <v>49.86423000000002</v>
      </c>
      <c r="U793" s="311">
        <f t="shared" ca="1" si="350"/>
        <v>0</v>
      </c>
      <c r="V793" s="306">
        <f t="shared" ca="1" si="351"/>
        <v>1.225807794538593</v>
      </c>
      <c r="W793" s="304">
        <f t="shared" ca="1" si="352"/>
        <v>43.232675467690122</v>
      </c>
      <c r="Y793" s="314" t="str">
        <f t="shared" ca="1" si="370"/>
        <v/>
      </c>
      <c r="Z793" s="315" t="str">
        <f t="shared" ca="1" si="371"/>
        <v/>
      </c>
      <c r="AA793" s="316" t="str">
        <f t="shared" ca="1" si="372"/>
        <v/>
      </c>
      <c r="AC793" s="310" t="e">
        <f t="shared" ca="1" si="373"/>
        <v>#N/A</v>
      </c>
      <c r="AD793" s="323" t="e">
        <f t="shared" ca="1" si="374"/>
        <v>#N/A</v>
      </c>
      <c r="AE793" s="324" t="e">
        <f t="shared" ca="1" si="353"/>
        <v>#N/A</v>
      </c>
      <c r="AG793" s="306">
        <f t="shared" ca="1" si="375"/>
        <v>1.2683887709578876</v>
      </c>
      <c r="AH793" s="304">
        <f t="shared" ca="1" si="376"/>
        <v>-8.5053171306516848</v>
      </c>
    </row>
    <row r="794" spans="1:34" x14ac:dyDescent="0.2">
      <c r="A794" s="347">
        <f t="shared" ca="1" si="354"/>
        <v>1E-4</v>
      </c>
      <c r="B794" s="304">
        <f t="shared" ca="1" si="355"/>
        <v>29.240800000000053</v>
      </c>
      <c r="D794" s="306">
        <f t="shared" ca="1" si="356"/>
        <v>-0.73094463124222897</v>
      </c>
      <c r="E794" s="307">
        <f t="shared" ca="1" si="357"/>
        <v>-1.3361203465436748</v>
      </c>
      <c r="F794" s="304">
        <f t="shared" ca="1" si="358"/>
        <v>1.5229897026539043</v>
      </c>
      <c r="G794" s="306">
        <f t="shared" ca="1" si="359"/>
        <v>9.2104781962490776</v>
      </c>
      <c r="H794" s="307">
        <f t="shared" ca="1" si="360"/>
        <v>-106.77854040714129</v>
      </c>
      <c r="I794" s="304">
        <f t="shared" ca="1" si="361"/>
        <v>107.17504187115154</v>
      </c>
      <c r="J794" s="306">
        <f t="shared" ca="1" si="362"/>
        <v>746.86410190403069</v>
      </c>
      <c r="K794" s="307">
        <f t="shared" ca="1" si="363"/>
        <v>-6.6027454945500326</v>
      </c>
      <c r="L794" s="304">
        <f t="shared" ca="1" si="348"/>
        <v>746.89328753241591</v>
      </c>
      <c r="M794" s="306">
        <f t="shared" ca="1" si="364"/>
        <v>-1.4847515430766252</v>
      </c>
      <c r="N794" s="304">
        <f t="shared" ca="1" si="365"/>
        <v>-85.069997043827073</v>
      </c>
      <c r="P794" s="310">
        <f t="shared" ca="1" si="366"/>
        <v>23</v>
      </c>
      <c r="Q794" s="304">
        <f t="shared" ca="1" si="367"/>
        <v>0</v>
      </c>
      <c r="R794" s="306">
        <f t="shared" ca="1" si="368"/>
        <v>0</v>
      </c>
      <c r="S794" s="307">
        <f t="shared" ca="1" si="369"/>
        <v>5.083000000000002</v>
      </c>
      <c r="T794" s="304">
        <f t="shared" ca="1" si="349"/>
        <v>49.86423000000002</v>
      </c>
      <c r="U794" s="311">
        <f t="shared" ca="1" si="350"/>
        <v>0</v>
      </c>
      <c r="V794" s="306">
        <f t="shared" ca="1" si="351"/>
        <v>1.2258091034382865</v>
      </c>
      <c r="W794" s="304">
        <f t="shared" ca="1" si="352"/>
        <v>43.232823958421079</v>
      </c>
      <c r="Y794" s="314" t="str">
        <f t="shared" ca="1" si="370"/>
        <v/>
      </c>
      <c r="Z794" s="315" t="str">
        <f t="shared" ca="1" si="371"/>
        <v/>
      </c>
      <c r="AA794" s="316" t="str">
        <f t="shared" ca="1" si="372"/>
        <v/>
      </c>
      <c r="AC794" s="310" t="e">
        <f t="shared" ca="1" si="373"/>
        <v>#N/A</v>
      </c>
      <c r="AD794" s="323" t="e">
        <f t="shared" ca="1" si="374"/>
        <v>#N/A</v>
      </c>
      <c r="AE794" s="324" t="e">
        <f t="shared" ca="1" si="353"/>
        <v>#N/A</v>
      </c>
      <c r="AG794" s="306">
        <f t="shared" ca="1" si="375"/>
        <v>1.2683602205722995</v>
      </c>
      <c r="AH794" s="304">
        <f t="shared" ca="1" si="376"/>
        <v>-8.5053463442239039</v>
      </c>
    </row>
    <row r="795" spans="1:34" x14ac:dyDescent="0.2">
      <c r="A795" s="347">
        <f t="shared" ca="1" si="354"/>
        <v>1E-4</v>
      </c>
      <c r="B795" s="304">
        <f t="shared" ca="1" si="355"/>
        <v>29.240900000000053</v>
      </c>
      <c r="D795" s="306">
        <f t="shared" ca="1" si="356"/>
        <v>-0.73094047601872869</v>
      </c>
      <c r="E795" s="307">
        <f t="shared" ca="1" si="357"/>
        <v>-1.336090666436192</v>
      </c>
      <c r="F795" s="304">
        <f t="shared" ca="1" si="358"/>
        <v>1.5229616700430755</v>
      </c>
      <c r="G795" s="306">
        <f t="shared" ca="1" si="359"/>
        <v>9.2104051022014755</v>
      </c>
      <c r="H795" s="307">
        <f t="shared" ca="1" si="360"/>
        <v>-106.77867401620793</v>
      </c>
      <c r="I795" s="304">
        <f t="shared" ca="1" si="361"/>
        <v>107.17516870435175</v>
      </c>
      <c r="J795" s="306">
        <f t="shared" ca="1" si="362"/>
        <v>746.86410190403069</v>
      </c>
      <c r="K795" s="307">
        <f t="shared" ca="1" si="363"/>
        <v>-6.6134233552712001</v>
      </c>
      <c r="L795" s="304">
        <f t="shared" ca="1" si="348"/>
        <v>746.89338200401153</v>
      </c>
      <c r="M795" s="306">
        <f t="shared" ca="1" si="364"/>
        <v>-1.4847523296936622</v>
      </c>
      <c r="N795" s="304">
        <f t="shared" ca="1" si="365"/>
        <v>-85.070042113663376</v>
      </c>
      <c r="P795" s="310">
        <f t="shared" ca="1" si="366"/>
        <v>23</v>
      </c>
      <c r="Q795" s="304">
        <f t="shared" ca="1" si="367"/>
        <v>0</v>
      </c>
      <c r="R795" s="306">
        <f t="shared" ca="1" si="368"/>
        <v>0</v>
      </c>
      <c r="S795" s="307">
        <f t="shared" ca="1" si="369"/>
        <v>5.083000000000002</v>
      </c>
      <c r="T795" s="304">
        <f t="shared" ca="1" si="349"/>
        <v>49.86423000000002</v>
      </c>
      <c r="U795" s="311">
        <f t="shared" ca="1" si="350"/>
        <v>0</v>
      </c>
      <c r="V795" s="306">
        <f t="shared" ca="1" si="351"/>
        <v>1.2258104123410163</v>
      </c>
      <c r="W795" s="304">
        <f t="shared" ca="1" si="352"/>
        <v>43.232972447295417</v>
      </c>
      <c r="Y795" s="314" t="str">
        <f t="shared" ca="1" si="370"/>
        <v/>
      </c>
      <c r="Z795" s="315" t="str">
        <f t="shared" ca="1" si="371"/>
        <v/>
      </c>
      <c r="AA795" s="316" t="str">
        <f t="shared" ca="1" si="372"/>
        <v/>
      </c>
      <c r="AC795" s="310" t="e">
        <f t="shared" ca="1" si="373"/>
        <v>#N/A</v>
      </c>
      <c r="AD795" s="323" t="e">
        <f t="shared" ca="1" si="374"/>
        <v>#N/A</v>
      </c>
      <c r="AE795" s="324" t="e">
        <f t="shared" ca="1" si="353"/>
        <v>#N/A</v>
      </c>
      <c r="AG795" s="306">
        <f t="shared" ca="1" si="375"/>
        <v>1.2683316705390926</v>
      </c>
      <c r="AH795" s="304">
        <f t="shared" ca="1" si="376"/>
        <v>-8.5053755574308596</v>
      </c>
    </row>
    <row r="796" spans="1:34" x14ac:dyDescent="0.2">
      <c r="A796" s="347">
        <f t="shared" ca="1" si="354"/>
        <v>1E-4</v>
      </c>
      <c r="B796" s="304">
        <f t="shared" ca="1" si="355"/>
        <v>29.241000000000053</v>
      </c>
      <c r="D796" s="306">
        <f t="shared" ca="1" si="356"/>
        <v>-0.73093632078627524</v>
      </c>
      <c r="E796" s="307">
        <f t="shared" ca="1" si="357"/>
        <v>-1.3360609866998363</v>
      </c>
      <c r="F796" s="304">
        <f t="shared" ca="1" si="358"/>
        <v>1.5229336378273075</v>
      </c>
      <c r="G796" s="306">
        <f t="shared" ca="1" si="359"/>
        <v>9.2103320085693969</v>
      </c>
      <c r="H796" s="307">
        <f t="shared" ca="1" si="360"/>
        <v>-106.7788076223066</v>
      </c>
      <c r="I796" s="304">
        <f t="shared" ca="1" si="361"/>
        <v>107.17529553469699</v>
      </c>
      <c r="J796" s="306">
        <f t="shared" ca="1" si="362"/>
        <v>746.86410190403069</v>
      </c>
      <c r="K796" s="307">
        <f t="shared" ca="1" si="363"/>
        <v>-6.6241012293531254</v>
      </c>
      <c r="L796" s="304">
        <f t="shared" ca="1" si="348"/>
        <v>746.89347662836838</v>
      </c>
      <c r="M796" s="306">
        <f t="shared" ca="1" si="364"/>
        <v>-1.4847531163025953</v>
      </c>
      <c r="N796" s="304">
        <f t="shared" ca="1" si="365"/>
        <v>-85.070087183035383</v>
      </c>
      <c r="P796" s="310">
        <f t="shared" ca="1" si="366"/>
        <v>23</v>
      </c>
      <c r="Q796" s="304">
        <f t="shared" ca="1" si="367"/>
        <v>0</v>
      </c>
      <c r="R796" s="306">
        <f t="shared" ca="1" si="368"/>
        <v>0</v>
      </c>
      <c r="S796" s="307">
        <f t="shared" ca="1" si="369"/>
        <v>5.083000000000002</v>
      </c>
      <c r="T796" s="304">
        <f t="shared" ca="1" si="349"/>
        <v>49.86423000000002</v>
      </c>
      <c r="U796" s="311">
        <f t="shared" ca="1" si="350"/>
        <v>0</v>
      </c>
      <c r="V796" s="306">
        <f t="shared" ca="1" si="351"/>
        <v>1.2258117212467814</v>
      </c>
      <c r="W796" s="304">
        <f t="shared" ca="1" si="352"/>
        <v>43.233120934313099</v>
      </c>
      <c r="Y796" s="314" t="str">
        <f t="shared" ca="1" si="370"/>
        <v/>
      </c>
      <c r="Z796" s="315" t="str">
        <f t="shared" ca="1" si="371"/>
        <v/>
      </c>
      <c r="AA796" s="316" t="str">
        <f t="shared" ca="1" si="372"/>
        <v/>
      </c>
      <c r="AC796" s="310" t="e">
        <f t="shared" ca="1" si="373"/>
        <v>#N/A</v>
      </c>
      <c r="AD796" s="323" t="e">
        <f t="shared" ca="1" si="374"/>
        <v>#N/A</v>
      </c>
      <c r="AE796" s="324" t="e">
        <f t="shared" ca="1" si="353"/>
        <v>#N/A</v>
      </c>
      <c r="AG796" s="306">
        <f t="shared" ca="1" si="375"/>
        <v>1.2683031208582669</v>
      </c>
      <c r="AH796" s="304">
        <f t="shared" ca="1" si="376"/>
        <v>-8.5054047702725555</v>
      </c>
    </row>
    <row r="797" spans="1:34" x14ac:dyDescent="0.2">
      <c r="A797" s="347">
        <f t="shared" ca="1" si="354"/>
        <v>1E-4</v>
      </c>
      <c r="B797" s="304">
        <f t="shared" ca="1" si="355"/>
        <v>29.241100000000053</v>
      </c>
      <c r="D797" s="306">
        <f t="shared" ca="1" si="356"/>
        <v>-0.73093216554486329</v>
      </c>
      <c r="E797" s="307">
        <f t="shared" ca="1" si="357"/>
        <v>-1.3360313073346131</v>
      </c>
      <c r="F797" s="304">
        <f t="shared" ca="1" si="358"/>
        <v>1.5229056060066029</v>
      </c>
      <c r="G797" s="306">
        <f t="shared" ca="1" si="359"/>
        <v>9.210258915352842</v>
      </c>
      <c r="H797" s="307">
        <f t="shared" ca="1" si="360"/>
        <v>-106.77894122543734</v>
      </c>
      <c r="I797" s="304">
        <f t="shared" ca="1" si="361"/>
        <v>107.17542236218731</v>
      </c>
      <c r="J797" s="306">
        <f t="shared" ca="1" si="362"/>
        <v>746.86410190403069</v>
      </c>
      <c r="K797" s="307">
        <f t="shared" ca="1" si="363"/>
        <v>-6.6347791167955128</v>
      </c>
      <c r="L797" s="304">
        <f t="shared" ca="1" si="348"/>
        <v>746.8935714054868</v>
      </c>
      <c r="M797" s="306">
        <f t="shared" ca="1" si="364"/>
        <v>-1.484753902903424</v>
      </c>
      <c r="N797" s="304">
        <f t="shared" ca="1" si="365"/>
        <v>-85.070132251943022</v>
      </c>
      <c r="P797" s="310">
        <f t="shared" ca="1" si="366"/>
        <v>23</v>
      </c>
      <c r="Q797" s="304">
        <f t="shared" ca="1" si="367"/>
        <v>0</v>
      </c>
      <c r="R797" s="306">
        <f t="shared" ca="1" si="368"/>
        <v>0</v>
      </c>
      <c r="S797" s="307">
        <f t="shared" ca="1" si="369"/>
        <v>5.083000000000002</v>
      </c>
      <c r="T797" s="304">
        <f t="shared" ca="1" si="349"/>
        <v>49.86423000000002</v>
      </c>
      <c r="U797" s="311">
        <f t="shared" ca="1" si="350"/>
        <v>0</v>
      </c>
      <c r="V797" s="306">
        <f t="shared" ca="1" si="351"/>
        <v>1.2258130301555825</v>
      </c>
      <c r="W797" s="304">
        <f t="shared" ca="1" si="352"/>
        <v>43.23326941947419</v>
      </c>
      <c r="Y797" s="314" t="str">
        <f t="shared" ca="1" si="370"/>
        <v/>
      </c>
      <c r="Z797" s="315" t="str">
        <f t="shared" ca="1" si="371"/>
        <v/>
      </c>
      <c r="AA797" s="316" t="str">
        <f t="shared" ca="1" si="372"/>
        <v/>
      </c>
      <c r="AC797" s="310" t="e">
        <f t="shared" ca="1" si="373"/>
        <v>#N/A</v>
      </c>
      <c r="AD797" s="323" t="e">
        <f t="shared" ca="1" si="374"/>
        <v>#N/A</v>
      </c>
      <c r="AE797" s="324" t="e">
        <f t="shared" ca="1" si="353"/>
        <v>#N/A</v>
      </c>
      <c r="AG797" s="306">
        <f t="shared" ca="1" si="375"/>
        <v>1.2682745715298314</v>
      </c>
      <c r="AH797" s="304">
        <f t="shared" ca="1" si="376"/>
        <v>-8.5054339827489827</v>
      </c>
    </row>
    <row r="798" spans="1:34" x14ac:dyDescent="0.2">
      <c r="A798" s="347">
        <f t="shared" ca="1" si="354"/>
        <v>1E-4</v>
      </c>
      <c r="B798" s="304">
        <f t="shared" ca="1" si="355"/>
        <v>29.241200000000052</v>
      </c>
      <c r="D798" s="306">
        <f t="shared" ca="1" si="356"/>
        <v>-0.73092801029449972</v>
      </c>
      <c r="E798" s="307">
        <f t="shared" ca="1" si="357"/>
        <v>-1.3360016283405134</v>
      </c>
      <c r="F798" s="304">
        <f t="shared" ca="1" si="358"/>
        <v>1.5228775745809575</v>
      </c>
      <c r="G798" s="306">
        <f t="shared" ca="1" si="359"/>
        <v>9.2101858225518125</v>
      </c>
      <c r="H798" s="307">
        <f t="shared" ca="1" si="360"/>
        <v>-106.77907482560018</v>
      </c>
      <c r="I798" s="304">
        <f t="shared" ca="1" si="361"/>
        <v>107.17554918682272</v>
      </c>
      <c r="J798" s="306">
        <f t="shared" ca="1" si="362"/>
        <v>746.86410190403069</v>
      </c>
      <c r="K798" s="307">
        <f t="shared" ca="1" si="363"/>
        <v>-6.6454570175980647</v>
      </c>
      <c r="L798" s="304">
        <f t="shared" ca="1" si="348"/>
        <v>746.89366633536736</v>
      </c>
      <c r="M798" s="306">
        <f t="shared" ca="1" si="364"/>
        <v>-1.4847546894961485</v>
      </c>
      <c r="N798" s="304">
        <f t="shared" ca="1" si="365"/>
        <v>-85.070177320386335</v>
      </c>
      <c r="P798" s="310">
        <f t="shared" ca="1" si="366"/>
        <v>23</v>
      </c>
      <c r="Q798" s="304">
        <f t="shared" ca="1" si="367"/>
        <v>0</v>
      </c>
      <c r="R798" s="306">
        <f t="shared" ca="1" si="368"/>
        <v>0</v>
      </c>
      <c r="S798" s="307">
        <f t="shared" ca="1" si="369"/>
        <v>5.083000000000002</v>
      </c>
      <c r="T798" s="304">
        <f t="shared" ca="1" si="349"/>
        <v>49.86423000000002</v>
      </c>
      <c r="U798" s="311">
        <f t="shared" ca="1" si="350"/>
        <v>0</v>
      </c>
      <c r="V798" s="306">
        <f t="shared" ca="1" si="351"/>
        <v>1.2258143390674194</v>
      </c>
      <c r="W798" s="304">
        <f t="shared" ca="1" si="352"/>
        <v>43.233417902778676</v>
      </c>
      <c r="Y798" s="314" t="str">
        <f t="shared" ca="1" si="370"/>
        <v/>
      </c>
      <c r="Z798" s="315" t="str">
        <f t="shared" ca="1" si="371"/>
        <v/>
      </c>
      <c r="AA798" s="316" t="str">
        <f t="shared" ca="1" si="372"/>
        <v/>
      </c>
      <c r="AC798" s="310" t="e">
        <f t="shared" ca="1" si="373"/>
        <v>#N/A</v>
      </c>
      <c r="AD798" s="323" t="e">
        <f t="shared" ca="1" si="374"/>
        <v>#N/A</v>
      </c>
      <c r="AE798" s="324" t="e">
        <f t="shared" ca="1" si="353"/>
        <v>#N/A</v>
      </c>
      <c r="AG798" s="306">
        <f t="shared" ca="1" si="375"/>
        <v>1.2682460225537682</v>
      </c>
      <c r="AH798" s="304">
        <f t="shared" ca="1" si="376"/>
        <v>-8.5054631948601553</v>
      </c>
    </row>
    <row r="799" spans="1:34" x14ac:dyDescent="0.2">
      <c r="A799" s="347">
        <f t="shared" ca="1" si="354"/>
        <v>1E-4</v>
      </c>
      <c r="B799" s="304">
        <f t="shared" ca="1" si="355"/>
        <v>29.241300000000052</v>
      </c>
      <c r="D799" s="306">
        <f t="shared" ca="1" si="356"/>
        <v>-0.73092385503518398</v>
      </c>
      <c r="E799" s="307">
        <f t="shared" ca="1" si="357"/>
        <v>-1.3359719497175337</v>
      </c>
      <c r="F799" s="304">
        <f t="shared" ca="1" si="358"/>
        <v>1.5228495435503677</v>
      </c>
      <c r="G799" s="306">
        <f t="shared" ca="1" si="359"/>
        <v>9.2101127301663084</v>
      </c>
      <c r="H799" s="307">
        <f t="shared" ca="1" si="360"/>
        <v>-106.77920842279515</v>
      </c>
      <c r="I799" s="304">
        <f t="shared" ca="1" si="361"/>
        <v>107.17567600860328</v>
      </c>
      <c r="J799" s="306">
        <f t="shared" ca="1" si="362"/>
        <v>746.86410190403069</v>
      </c>
      <c r="K799" s="307">
        <f t="shared" ca="1" si="363"/>
        <v>-6.6561349317604845</v>
      </c>
      <c r="L799" s="304">
        <f t="shared" ca="1" si="348"/>
        <v>746.89376141801051</v>
      </c>
      <c r="M799" s="306">
        <f t="shared" ca="1" si="364"/>
        <v>-1.4847554760807693</v>
      </c>
      <c r="N799" s="304">
        <f t="shared" ca="1" si="365"/>
        <v>-85.070222388365337</v>
      </c>
      <c r="P799" s="310">
        <f t="shared" ca="1" si="366"/>
        <v>23</v>
      </c>
      <c r="Q799" s="304">
        <f t="shared" ca="1" si="367"/>
        <v>0</v>
      </c>
      <c r="R799" s="306">
        <f t="shared" ca="1" si="368"/>
        <v>0</v>
      </c>
      <c r="S799" s="307">
        <f t="shared" ca="1" si="369"/>
        <v>5.083000000000002</v>
      </c>
      <c r="T799" s="304">
        <f t="shared" ca="1" si="349"/>
        <v>49.86423000000002</v>
      </c>
      <c r="U799" s="311">
        <f t="shared" ca="1" si="350"/>
        <v>0</v>
      </c>
      <c r="V799" s="306">
        <f t="shared" ca="1" si="351"/>
        <v>1.2258156479822921</v>
      </c>
      <c r="W799" s="304">
        <f t="shared" ca="1" si="352"/>
        <v>43.233566384226577</v>
      </c>
      <c r="Y799" s="314" t="str">
        <f t="shared" ca="1" si="370"/>
        <v/>
      </c>
      <c r="Z799" s="315" t="str">
        <f t="shared" ca="1" si="371"/>
        <v/>
      </c>
      <c r="AA799" s="316" t="str">
        <f t="shared" ca="1" si="372"/>
        <v/>
      </c>
      <c r="AC799" s="310" t="e">
        <f t="shared" ca="1" si="373"/>
        <v>#N/A</v>
      </c>
      <c r="AD799" s="323" t="e">
        <f t="shared" ca="1" si="374"/>
        <v>#N/A</v>
      </c>
      <c r="AE799" s="324" t="e">
        <f t="shared" ca="1" si="353"/>
        <v>#N/A</v>
      </c>
      <c r="AG799" s="306">
        <f t="shared" ca="1" si="375"/>
        <v>1.2682174739300809</v>
      </c>
      <c r="AH799" s="304">
        <f t="shared" ca="1" si="376"/>
        <v>-8.5054924066060718</v>
      </c>
    </row>
    <row r="800" spans="1:34" x14ac:dyDescent="0.2">
      <c r="A800" s="347">
        <f t="shared" ca="1" si="354"/>
        <v>1E-4</v>
      </c>
      <c r="B800" s="304">
        <f t="shared" ca="1" si="355"/>
        <v>29.241400000000052</v>
      </c>
      <c r="D800" s="306">
        <f t="shared" ca="1" si="356"/>
        <v>-0.73091969976691373</v>
      </c>
      <c r="E800" s="307">
        <f t="shared" ca="1" si="357"/>
        <v>-1.3359422714656777</v>
      </c>
      <c r="F800" s="304">
        <f t="shared" ca="1" si="358"/>
        <v>1.5228215129148359</v>
      </c>
      <c r="G800" s="306">
        <f t="shared" ca="1" si="359"/>
        <v>9.2100396381963314</v>
      </c>
      <c r="H800" s="307">
        <f t="shared" ca="1" si="360"/>
        <v>-106.7793420170223</v>
      </c>
      <c r="I800" s="304">
        <f t="shared" ca="1" si="361"/>
        <v>107.175802827529</v>
      </c>
      <c r="J800" s="306">
        <f t="shared" ca="1" si="362"/>
        <v>746.86410190403069</v>
      </c>
      <c r="K800" s="307">
        <f t="shared" ca="1" si="363"/>
        <v>-6.6668128592824756</v>
      </c>
      <c r="L800" s="304">
        <f t="shared" ca="1" si="348"/>
        <v>746.89385665341695</v>
      </c>
      <c r="M800" s="306">
        <f t="shared" ca="1" si="364"/>
        <v>-1.4847562626572861</v>
      </c>
      <c r="N800" s="304">
        <f t="shared" ca="1" si="365"/>
        <v>-85.070267455880014</v>
      </c>
      <c r="P800" s="310">
        <f t="shared" ca="1" si="366"/>
        <v>23</v>
      </c>
      <c r="Q800" s="304">
        <f t="shared" ca="1" si="367"/>
        <v>0</v>
      </c>
      <c r="R800" s="306">
        <f t="shared" ca="1" si="368"/>
        <v>0</v>
      </c>
      <c r="S800" s="307">
        <f t="shared" ca="1" si="369"/>
        <v>5.083000000000002</v>
      </c>
      <c r="T800" s="304">
        <f t="shared" ca="1" si="349"/>
        <v>49.86423000000002</v>
      </c>
      <c r="U800" s="311">
        <f t="shared" ca="1" si="350"/>
        <v>0</v>
      </c>
      <c r="V800" s="306">
        <f t="shared" ca="1" si="351"/>
        <v>1.2258169569002006</v>
      </c>
      <c r="W800" s="304">
        <f t="shared" ca="1" si="352"/>
        <v>43.233714863817902</v>
      </c>
      <c r="Y800" s="314" t="str">
        <f t="shared" ca="1" si="370"/>
        <v/>
      </c>
      <c r="Z800" s="315" t="str">
        <f t="shared" ca="1" si="371"/>
        <v/>
      </c>
      <c r="AA800" s="316" t="str">
        <f t="shared" ca="1" si="372"/>
        <v/>
      </c>
      <c r="AC800" s="310" t="e">
        <f t="shared" ca="1" si="373"/>
        <v>#N/A</v>
      </c>
      <c r="AD800" s="323" t="e">
        <f t="shared" ca="1" si="374"/>
        <v>#N/A</v>
      </c>
      <c r="AE800" s="324" t="e">
        <f t="shared" ca="1" si="353"/>
        <v>#N/A</v>
      </c>
      <c r="AG800" s="306">
        <f t="shared" ca="1" si="375"/>
        <v>1.2681889256587748</v>
      </c>
      <c r="AH800" s="304">
        <f t="shared" ca="1" si="376"/>
        <v>-8.5055216179867319</v>
      </c>
    </row>
    <row r="801" spans="1:34" x14ac:dyDescent="0.2">
      <c r="A801" s="347">
        <f t="shared" ca="1" si="354"/>
        <v>1E-4</v>
      </c>
      <c r="B801" s="304">
        <f t="shared" ca="1" si="355"/>
        <v>29.241500000000052</v>
      </c>
      <c r="D801" s="306">
        <f t="shared" ca="1" si="356"/>
        <v>-0.73091554448969309</v>
      </c>
      <c r="E801" s="307">
        <f t="shared" ca="1" si="357"/>
        <v>-1.3359125935849399</v>
      </c>
      <c r="F801" s="304">
        <f t="shared" ca="1" si="358"/>
        <v>1.5227934826743597</v>
      </c>
      <c r="G801" s="306">
        <f t="shared" ca="1" si="359"/>
        <v>9.2099665466418816</v>
      </c>
      <c r="H801" s="307">
        <f t="shared" ca="1" si="360"/>
        <v>-106.77947560828166</v>
      </c>
      <c r="I801" s="304">
        <f t="shared" ca="1" si="361"/>
        <v>107.17592964359991</v>
      </c>
      <c r="J801" s="306">
        <f t="shared" ca="1" si="362"/>
        <v>746.86410190403069</v>
      </c>
      <c r="K801" s="307">
        <f t="shared" ca="1" si="363"/>
        <v>-6.6774908001637412</v>
      </c>
      <c r="L801" s="304">
        <f t="shared" ca="1" si="348"/>
        <v>746.893952041587</v>
      </c>
      <c r="M801" s="306">
        <f t="shared" ca="1" si="364"/>
        <v>-1.4847570492256992</v>
      </c>
      <c r="N801" s="304">
        <f t="shared" ca="1" si="365"/>
        <v>-85.070312522930379</v>
      </c>
      <c r="P801" s="310">
        <f t="shared" ca="1" si="366"/>
        <v>23</v>
      </c>
      <c r="Q801" s="304">
        <f t="shared" ca="1" si="367"/>
        <v>0</v>
      </c>
      <c r="R801" s="306">
        <f t="shared" ca="1" si="368"/>
        <v>0</v>
      </c>
      <c r="S801" s="307">
        <f t="shared" ca="1" si="369"/>
        <v>5.083000000000002</v>
      </c>
      <c r="T801" s="304">
        <f t="shared" ca="1" si="349"/>
        <v>49.86423000000002</v>
      </c>
      <c r="U801" s="311">
        <f t="shared" ca="1" si="350"/>
        <v>0</v>
      </c>
      <c r="V801" s="306">
        <f t="shared" ca="1" si="351"/>
        <v>1.2258182658211449</v>
      </c>
      <c r="W801" s="304">
        <f t="shared" ca="1" si="352"/>
        <v>43.233863341552663</v>
      </c>
      <c r="Y801" s="314" t="str">
        <f t="shared" ca="1" si="370"/>
        <v/>
      </c>
      <c r="Z801" s="315" t="str">
        <f t="shared" ca="1" si="371"/>
        <v/>
      </c>
      <c r="AA801" s="316" t="str">
        <f t="shared" ca="1" si="372"/>
        <v/>
      </c>
      <c r="AC801" s="310" t="e">
        <f t="shared" ca="1" si="373"/>
        <v>#N/A</v>
      </c>
      <c r="AD801" s="323" t="e">
        <f t="shared" ca="1" si="374"/>
        <v>#N/A</v>
      </c>
      <c r="AE801" s="324" t="e">
        <f t="shared" ca="1" si="353"/>
        <v>#N/A</v>
      </c>
      <c r="AG801" s="306">
        <f t="shared" ca="1" si="375"/>
        <v>1.2681603777398376</v>
      </c>
      <c r="AH801" s="304">
        <f t="shared" ca="1" si="376"/>
        <v>-8.5055508290021411</v>
      </c>
    </row>
    <row r="802" spans="1:34" x14ac:dyDescent="0.2">
      <c r="A802" s="347">
        <f t="shared" ca="1" si="354"/>
        <v>1E-4</v>
      </c>
      <c r="B802" s="304">
        <f t="shared" ca="1" si="355"/>
        <v>29.241600000000052</v>
      </c>
      <c r="D802" s="306">
        <f t="shared" ca="1" si="356"/>
        <v>-0.73091138920352183</v>
      </c>
      <c r="E802" s="307">
        <f t="shared" ca="1" si="357"/>
        <v>-1.335882916075315</v>
      </c>
      <c r="F802" s="304">
        <f t="shared" ca="1" si="358"/>
        <v>1.5227654528289341</v>
      </c>
      <c r="G802" s="306">
        <f t="shared" ca="1" si="359"/>
        <v>9.2098934555029608</v>
      </c>
      <c r="H802" s="307">
        <f t="shared" ca="1" si="360"/>
        <v>-106.77960919657326</v>
      </c>
      <c r="I802" s="304">
        <f t="shared" ca="1" si="361"/>
        <v>107.17605645681608</v>
      </c>
      <c r="J802" s="306">
        <f t="shared" ca="1" si="362"/>
        <v>746.86410190403069</v>
      </c>
      <c r="K802" s="307">
        <f t="shared" ca="1" si="363"/>
        <v>-6.6881687544039838</v>
      </c>
      <c r="L802" s="304">
        <f t="shared" ca="1" si="348"/>
        <v>746.89404758252135</v>
      </c>
      <c r="M802" s="306">
        <f t="shared" ca="1" si="364"/>
        <v>-1.4847578357860085</v>
      </c>
      <c r="N802" s="304">
        <f t="shared" ca="1" si="365"/>
        <v>-85.070357589516433</v>
      </c>
      <c r="P802" s="310">
        <f t="shared" ca="1" si="366"/>
        <v>23</v>
      </c>
      <c r="Q802" s="304">
        <f t="shared" ca="1" si="367"/>
        <v>0</v>
      </c>
      <c r="R802" s="306">
        <f t="shared" ca="1" si="368"/>
        <v>0</v>
      </c>
      <c r="S802" s="307">
        <f t="shared" ca="1" si="369"/>
        <v>5.083000000000002</v>
      </c>
      <c r="T802" s="304">
        <f t="shared" ca="1" si="349"/>
        <v>49.86423000000002</v>
      </c>
      <c r="U802" s="311">
        <f t="shared" ca="1" si="350"/>
        <v>0</v>
      </c>
      <c r="V802" s="306">
        <f t="shared" ca="1" si="351"/>
        <v>1.2258195747451248</v>
      </c>
      <c r="W802" s="304">
        <f t="shared" ca="1" si="352"/>
        <v>43.234011817430883</v>
      </c>
      <c r="Y802" s="314" t="str">
        <f t="shared" ca="1" si="370"/>
        <v/>
      </c>
      <c r="Z802" s="315" t="str">
        <f t="shared" ca="1" si="371"/>
        <v/>
      </c>
      <c r="AA802" s="316" t="str">
        <f t="shared" ca="1" si="372"/>
        <v/>
      </c>
      <c r="AC802" s="310" t="e">
        <f t="shared" ca="1" si="373"/>
        <v>#N/A</v>
      </c>
      <c r="AD802" s="323" t="e">
        <f t="shared" ca="1" si="374"/>
        <v>#N/A</v>
      </c>
      <c r="AE802" s="324" t="e">
        <f t="shared" ca="1" si="353"/>
        <v>#N/A</v>
      </c>
      <c r="AG802" s="306">
        <f t="shared" ca="1" si="375"/>
        <v>1.2681318301732727</v>
      </c>
      <c r="AH802" s="304">
        <f t="shared" ca="1" si="376"/>
        <v>-8.5055800396523011</v>
      </c>
    </row>
    <row r="803" spans="1:34" x14ac:dyDescent="0.2">
      <c r="A803" s="347">
        <f t="shared" ca="1" si="354"/>
        <v>1E-4</v>
      </c>
      <c r="B803" s="304">
        <f t="shared" ca="1" si="355"/>
        <v>29.241700000000051</v>
      </c>
      <c r="D803" s="306">
        <f t="shared" ca="1" si="356"/>
        <v>-0.73090723390840195</v>
      </c>
      <c r="E803" s="307">
        <f t="shared" ca="1" si="357"/>
        <v>-1.335853238936803</v>
      </c>
      <c r="F803" s="304">
        <f t="shared" ca="1" si="358"/>
        <v>1.5227374233785609</v>
      </c>
      <c r="G803" s="306">
        <f t="shared" ca="1" si="359"/>
        <v>9.2098203647795707</v>
      </c>
      <c r="H803" s="307">
        <f t="shared" ca="1" si="360"/>
        <v>-106.77974278189716</v>
      </c>
      <c r="I803" s="304">
        <f t="shared" ca="1" si="361"/>
        <v>107.17618326717755</v>
      </c>
      <c r="J803" s="306">
        <f t="shared" ca="1" si="362"/>
        <v>746.86410190403069</v>
      </c>
      <c r="K803" s="307">
        <f t="shared" ca="1" si="363"/>
        <v>-6.6988467220029078</v>
      </c>
      <c r="L803" s="304">
        <f t="shared" ca="1" si="348"/>
        <v>746.89414327622035</v>
      </c>
      <c r="M803" s="306">
        <f t="shared" ca="1" si="364"/>
        <v>-1.4847586223382143</v>
      </c>
      <c r="N803" s="304">
        <f t="shared" ca="1" si="365"/>
        <v>-85.07040265563819</v>
      </c>
      <c r="P803" s="310">
        <f t="shared" ca="1" si="366"/>
        <v>23</v>
      </c>
      <c r="Q803" s="304">
        <f t="shared" ca="1" si="367"/>
        <v>0</v>
      </c>
      <c r="R803" s="306">
        <f t="shared" ca="1" si="368"/>
        <v>0</v>
      </c>
      <c r="S803" s="307">
        <f t="shared" ca="1" si="369"/>
        <v>5.083000000000002</v>
      </c>
      <c r="T803" s="304">
        <f t="shared" ca="1" si="349"/>
        <v>49.86423000000002</v>
      </c>
      <c r="U803" s="311">
        <f t="shared" ca="1" si="350"/>
        <v>0</v>
      </c>
      <c r="V803" s="306">
        <f t="shared" ca="1" si="351"/>
        <v>1.2258208836721403</v>
      </c>
      <c r="W803" s="304">
        <f t="shared" ca="1" si="352"/>
        <v>43.234160291452575</v>
      </c>
      <c r="Y803" s="314" t="str">
        <f t="shared" ca="1" si="370"/>
        <v/>
      </c>
      <c r="Z803" s="315" t="str">
        <f t="shared" ca="1" si="371"/>
        <v/>
      </c>
      <c r="AA803" s="316" t="str">
        <f t="shared" ca="1" si="372"/>
        <v/>
      </c>
      <c r="AC803" s="310" t="e">
        <f t="shared" ca="1" si="373"/>
        <v>#N/A</v>
      </c>
      <c r="AD803" s="323" t="e">
        <f t="shared" ca="1" si="374"/>
        <v>#N/A</v>
      </c>
      <c r="AE803" s="324" t="e">
        <f t="shared" ca="1" si="353"/>
        <v>#N/A</v>
      </c>
      <c r="AG803" s="306">
        <f t="shared" ca="1" si="375"/>
        <v>1.2681032829590748</v>
      </c>
      <c r="AH803" s="304">
        <f t="shared" ca="1" si="376"/>
        <v>-8.5056092499372156</v>
      </c>
    </row>
    <row r="804" spans="1:34" x14ac:dyDescent="0.2">
      <c r="A804" s="347">
        <f t="shared" ca="1" si="354"/>
        <v>1E-4</v>
      </c>
      <c r="B804" s="304">
        <f t="shared" ca="1" si="355"/>
        <v>29.241800000000051</v>
      </c>
      <c r="D804" s="306">
        <f t="shared" ca="1" si="356"/>
        <v>-0.73090307860433334</v>
      </c>
      <c r="E804" s="307">
        <f t="shared" ca="1" si="357"/>
        <v>-1.3358235621693986</v>
      </c>
      <c r="F804" s="304">
        <f t="shared" ca="1" si="358"/>
        <v>1.522709394323235</v>
      </c>
      <c r="G804" s="306">
        <f t="shared" ca="1" si="359"/>
        <v>9.2097472744717095</v>
      </c>
      <c r="H804" s="307">
        <f t="shared" ca="1" si="360"/>
        <v>-106.77987636425337</v>
      </c>
      <c r="I804" s="304">
        <f t="shared" ca="1" si="361"/>
        <v>107.1763100746843</v>
      </c>
      <c r="J804" s="306">
        <f t="shared" ca="1" si="362"/>
        <v>746.86410190403069</v>
      </c>
      <c r="K804" s="307">
        <f t="shared" ca="1" si="363"/>
        <v>-6.7095247029602154</v>
      </c>
      <c r="L804" s="304">
        <f t="shared" ca="1" si="348"/>
        <v>746.89423912268455</v>
      </c>
      <c r="M804" s="306">
        <f t="shared" ca="1" si="364"/>
        <v>-1.4847594088823168</v>
      </c>
      <c r="N804" s="304">
        <f t="shared" ca="1" si="365"/>
        <v>-85.070447721295665</v>
      </c>
      <c r="P804" s="310">
        <f t="shared" ca="1" si="366"/>
        <v>23</v>
      </c>
      <c r="Q804" s="304">
        <f t="shared" ca="1" si="367"/>
        <v>0</v>
      </c>
      <c r="R804" s="306">
        <f t="shared" ca="1" si="368"/>
        <v>0</v>
      </c>
      <c r="S804" s="307">
        <f t="shared" ca="1" si="369"/>
        <v>5.083000000000002</v>
      </c>
      <c r="T804" s="304">
        <f t="shared" ca="1" si="349"/>
        <v>49.86423000000002</v>
      </c>
      <c r="U804" s="311">
        <f t="shared" ca="1" si="350"/>
        <v>0</v>
      </c>
      <c r="V804" s="306">
        <f t="shared" ca="1" si="351"/>
        <v>1.2258221926021917</v>
      </c>
      <c r="W804" s="304">
        <f t="shared" ca="1" si="352"/>
        <v>43.234308763617733</v>
      </c>
      <c r="Y804" s="314" t="str">
        <f t="shared" ca="1" si="370"/>
        <v/>
      </c>
      <c r="Z804" s="315" t="str">
        <f t="shared" ca="1" si="371"/>
        <v/>
      </c>
      <c r="AA804" s="316" t="str">
        <f t="shared" ca="1" si="372"/>
        <v/>
      </c>
      <c r="AC804" s="310" t="e">
        <f t="shared" ca="1" si="373"/>
        <v>#N/A</v>
      </c>
      <c r="AD804" s="323" t="e">
        <f t="shared" ca="1" si="374"/>
        <v>#N/A</v>
      </c>
      <c r="AE804" s="324" t="e">
        <f t="shared" ca="1" si="353"/>
        <v>#N/A</v>
      </c>
      <c r="AG804" s="306">
        <f t="shared" ca="1" si="375"/>
        <v>1.2680747360972404</v>
      </c>
      <c r="AH804" s="304">
        <f t="shared" ca="1" si="376"/>
        <v>-8.5056384598568879</v>
      </c>
    </row>
    <row r="805" spans="1:34" x14ac:dyDescent="0.2">
      <c r="A805" s="347">
        <f t="shared" ca="1" si="354"/>
        <v>1E-4</v>
      </c>
      <c r="B805" s="304">
        <f t="shared" ca="1" si="355"/>
        <v>29.241900000000051</v>
      </c>
      <c r="D805" s="306">
        <f t="shared" ca="1" si="356"/>
        <v>-0.73089892329131523</v>
      </c>
      <c r="E805" s="307">
        <f t="shared" ca="1" si="357"/>
        <v>-1.3357938857731053</v>
      </c>
      <c r="F805" s="304">
        <f t="shared" ca="1" si="358"/>
        <v>1.5226813656629596</v>
      </c>
      <c r="G805" s="306">
        <f t="shared" ca="1" si="359"/>
        <v>9.2096741845793808</v>
      </c>
      <c r="H805" s="307">
        <f t="shared" ca="1" si="360"/>
        <v>-106.78000994364194</v>
      </c>
      <c r="I805" s="304">
        <f t="shared" ca="1" si="361"/>
        <v>107.17643687933639</v>
      </c>
      <c r="J805" s="306">
        <f t="shared" ca="1" si="362"/>
        <v>746.86410190403069</v>
      </c>
      <c r="K805" s="307">
        <f t="shared" ca="1" si="363"/>
        <v>-6.7202026972756101</v>
      </c>
      <c r="L805" s="304">
        <f t="shared" ca="1" si="348"/>
        <v>746.89433512191454</v>
      </c>
      <c r="M805" s="306">
        <f t="shared" ca="1" si="364"/>
        <v>-1.4847601954183158</v>
      </c>
      <c r="N805" s="304">
        <f t="shared" ca="1" si="365"/>
        <v>-85.070492786488842</v>
      </c>
      <c r="P805" s="310">
        <f t="shared" ca="1" si="366"/>
        <v>23</v>
      </c>
      <c r="Q805" s="304">
        <f t="shared" ca="1" si="367"/>
        <v>0</v>
      </c>
      <c r="R805" s="306">
        <f t="shared" ca="1" si="368"/>
        <v>0</v>
      </c>
      <c r="S805" s="307">
        <f t="shared" ca="1" si="369"/>
        <v>5.083000000000002</v>
      </c>
      <c r="T805" s="304">
        <f t="shared" ca="1" si="349"/>
        <v>49.86423000000002</v>
      </c>
      <c r="U805" s="311">
        <f t="shared" ca="1" si="350"/>
        <v>0</v>
      </c>
      <c r="V805" s="306">
        <f t="shared" ca="1" si="351"/>
        <v>1.2258235015352785</v>
      </c>
      <c r="W805" s="304">
        <f t="shared" ca="1" si="352"/>
        <v>43.234457233926378</v>
      </c>
      <c r="Y805" s="314" t="str">
        <f t="shared" ca="1" si="370"/>
        <v/>
      </c>
      <c r="Z805" s="315" t="str">
        <f t="shared" ca="1" si="371"/>
        <v/>
      </c>
      <c r="AA805" s="316" t="str">
        <f t="shared" ca="1" si="372"/>
        <v/>
      </c>
      <c r="AC805" s="310" t="e">
        <f t="shared" ca="1" si="373"/>
        <v>#N/A</v>
      </c>
      <c r="AD805" s="323" t="e">
        <f t="shared" ca="1" si="374"/>
        <v>#N/A</v>
      </c>
      <c r="AE805" s="324" t="e">
        <f t="shared" ca="1" si="353"/>
        <v>#N/A</v>
      </c>
      <c r="AG805" s="306">
        <f t="shared" ca="1" si="375"/>
        <v>1.268046189587773</v>
      </c>
      <c r="AH805" s="304">
        <f t="shared" ca="1" si="376"/>
        <v>-8.5056676694113147</v>
      </c>
    </row>
    <row r="806" spans="1:34" x14ac:dyDescent="0.2">
      <c r="A806" s="347">
        <f t="shared" ca="1" si="354"/>
        <v>1E-4</v>
      </c>
      <c r="B806" s="304">
        <f t="shared" ca="1" si="355"/>
        <v>29.242000000000051</v>
      </c>
      <c r="D806" s="306">
        <f t="shared" ca="1" si="356"/>
        <v>-0.73089476796935227</v>
      </c>
      <c r="E806" s="307">
        <f t="shared" ca="1" si="357"/>
        <v>-1.3357642097479143</v>
      </c>
      <c r="F806" s="304">
        <f t="shared" ca="1" si="358"/>
        <v>1.5226533373977293</v>
      </c>
      <c r="G806" s="306">
        <f t="shared" ca="1" si="359"/>
        <v>9.2096010951025846</v>
      </c>
      <c r="H806" s="307">
        <f t="shared" ca="1" si="360"/>
        <v>-106.78014352006292</v>
      </c>
      <c r="I806" s="304">
        <f t="shared" ca="1" si="361"/>
        <v>107.1765636811339</v>
      </c>
      <c r="J806" s="306">
        <f t="shared" ca="1" si="362"/>
        <v>746.86410190403069</v>
      </c>
      <c r="K806" s="307">
        <f t="shared" ca="1" si="363"/>
        <v>-6.7308807049487953</v>
      </c>
      <c r="L806" s="304">
        <f t="shared" ca="1" si="348"/>
        <v>746.89443127391075</v>
      </c>
      <c r="M806" s="306">
        <f t="shared" ca="1" si="364"/>
        <v>-1.4847609819462118</v>
      </c>
      <c r="N806" s="304">
        <f t="shared" ca="1" si="365"/>
        <v>-85.07053785121775</v>
      </c>
      <c r="P806" s="310">
        <f t="shared" ca="1" si="366"/>
        <v>23</v>
      </c>
      <c r="Q806" s="304">
        <f t="shared" ca="1" si="367"/>
        <v>0</v>
      </c>
      <c r="R806" s="306">
        <f t="shared" ca="1" si="368"/>
        <v>0</v>
      </c>
      <c r="S806" s="307">
        <f t="shared" ca="1" si="369"/>
        <v>5.083000000000002</v>
      </c>
      <c r="T806" s="304">
        <f t="shared" ca="1" si="349"/>
        <v>49.86423000000002</v>
      </c>
      <c r="U806" s="311">
        <f t="shared" ca="1" si="350"/>
        <v>0</v>
      </c>
      <c r="V806" s="306">
        <f t="shared" ca="1" si="351"/>
        <v>1.2258248104714007</v>
      </c>
      <c r="W806" s="304">
        <f t="shared" ca="1" si="352"/>
        <v>43.234605702378538</v>
      </c>
      <c r="Y806" s="314" t="str">
        <f t="shared" ca="1" si="370"/>
        <v/>
      </c>
      <c r="Z806" s="315" t="str">
        <f t="shared" ca="1" si="371"/>
        <v/>
      </c>
      <c r="AA806" s="316" t="str">
        <f t="shared" ca="1" si="372"/>
        <v/>
      </c>
      <c r="AC806" s="310" t="e">
        <f t="shared" ca="1" si="373"/>
        <v>#N/A</v>
      </c>
      <c r="AD806" s="323" t="e">
        <f t="shared" ca="1" si="374"/>
        <v>#N/A</v>
      </c>
      <c r="AE806" s="324" t="e">
        <f t="shared" ca="1" si="353"/>
        <v>#N/A</v>
      </c>
      <c r="AG806" s="306">
        <f t="shared" ca="1" si="375"/>
        <v>1.2680176434306674</v>
      </c>
      <c r="AH806" s="304">
        <f t="shared" ca="1" si="376"/>
        <v>-8.5056968786005047</v>
      </c>
    </row>
    <row r="807" spans="1:34" x14ac:dyDescent="0.2">
      <c r="A807" s="347">
        <f t="shared" ca="1" si="354"/>
        <v>1E-4</v>
      </c>
      <c r="B807" s="304">
        <f t="shared" ca="1" si="355"/>
        <v>29.24210000000005</v>
      </c>
      <c r="D807" s="306">
        <f t="shared" ca="1" si="356"/>
        <v>-0.73089061263844179</v>
      </c>
      <c r="E807" s="307">
        <f t="shared" ca="1" si="357"/>
        <v>-1.3357345340938274</v>
      </c>
      <c r="F807" s="304">
        <f t="shared" ca="1" si="358"/>
        <v>1.5226253095275446</v>
      </c>
      <c r="G807" s="306">
        <f t="shared" ca="1" si="359"/>
        <v>9.2095280060413209</v>
      </c>
      <c r="H807" s="307">
        <f t="shared" ca="1" si="360"/>
        <v>-106.78027709351633</v>
      </c>
      <c r="I807" s="304">
        <f t="shared" ca="1" si="361"/>
        <v>107.17669048007681</v>
      </c>
      <c r="J807" s="306">
        <f t="shared" ca="1" si="362"/>
        <v>746.86410190403069</v>
      </c>
      <c r="K807" s="307">
        <f t="shared" ca="1" si="363"/>
        <v>-6.7415587259794743</v>
      </c>
      <c r="L807" s="304">
        <f t="shared" ca="1" si="348"/>
        <v>746.89452757867366</v>
      </c>
      <c r="M807" s="306">
        <f t="shared" ca="1" si="364"/>
        <v>-1.4847617684660046</v>
      </c>
      <c r="N807" s="304">
        <f t="shared" ca="1" si="365"/>
        <v>-85.07058291548239</v>
      </c>
      <c r="P807" s="310">
        <f t="shared" ca="1" si="366"/>
        <v>23</v>
      </c>
      <c r="Q807" s="304">
        <f t="shared" ca="1" si="367"/>
        <v>0</v>
      </c>
      <c r="R807" s="306">
        <f t="shared" ca="1" si="368"/>
        <v>0</v>
      </c>
      <c r="S807" s="307">
        <f t="shared" ca="1" si="369"/>
        <v>5.083000000000002</v>
      </c>
      <c r="T807" s="304">
        <f t="shared" ca="1" si="349"/>
        <v>49.86423000000002</v>
      </c>
      <c r="U807" s="311">
        <f t="shared" ca="1" si="350"/>
        <v>0</v>
      </c>
      <c r="V807" s="306">
        <f t="shared" ca="1" si="351"/>
        <v>1.2258261194105584</v>
      </c>
      <c r="W807" s="304">
        <f t="shared" ca="1" si="352"/>
        <v>43.234754168974206</v>
      </c>
      <c r="Y807" s="314" t="str">
        <f t="shared" ca="1" si="370"/>
        <v/>
      </c>
      <c r="Z807" s="315" t="str">
        <f t="shared" ca="1" si="371"/>
        <v/>
      </c>
      <c r="AA807" s="316" t="str">
        <f t="shared" ca="1" si="372"/>
        <v/>
      </c>
      <c r="AC807" s="310" t="e">
        <f t="shared" ca="1" si="373"/>
        <v>#N/A</v>
      </c>
      <c r="AD807" s="323" t="e">
        <f t="shared" ca="1" si="374"/>
        <v>#N/A</v>
      </c>
      <c r="AE807" s="324" t="e">
        <f t="shared" ca="1" si="353"/>
        <v>#N/A</v>
      </c>
      <c r="AG807" s="306">
        <f t="shared" ca="1" si="375"/>
        <v>1.2679890976259216</v>
      </c>
      <c r="AH807" s="304">
        <f t="shared" ca="1" si="376"/>
        <v>-8.505726087424458</v>
      </c>
    </row>
    <row r="808" spans="1:34" x14ac:dyDescent="0.2">
      <c r="A808" s="347">
        <f t="shared" ca="1" si="354"/>
        <v>1E-4</v>
      </c>
      <c r="B808" s="304">
        <f t="shared" ca="1" si="355"/>
        <v>29.24220000000005</v>
      </c>
      <c r="D808" s="306">
        <f t="shared" ca="1" si="356"/>
        <v>-0.73088645729858592</v>
      </c>
      <c r="E808" s="307">
        <f t="shared" ca="1" si="357"/>
        <v>-1.3357048588108391</v>
      </c>
      <c r="F808" s="304">
        <f t="shared" ca="1" si="358"/>
        <v>1.5225972820524019</v>
      </c>
      <c r="G808" s="306">
        <f t="shared" ca="1" si="359"/>
        <v>9.2094549173955915</v>
      </c>
      <c r="H808" s="307">
        <f t="shared" ca="1" si="360"/>
        <v>-106.78041066400222</v>
      </c>
      <c r="I808" s="304">
        <f t="shared" ca="1" si="361"/>
        <v>107.17681727616518</v>
      </c>
      <c r="J808" s="306">
        <f t="shared" ca="1" si="362"/>
        <v>746.86410190403069</v>
      </c>
      <c r="K808" s="307">
        <f t="shared" ca="1" si="363"/>
        <v>-6.7522367603673503</v>
      </c>
      <c r="L808" s="304">
        <f t="shared" ca="1" si="348"/>
        <v>746.89462403620394</v>
      </c>
      <c r="M808" s="306">
        <f t="shared" ca="1" si="364"/>
        <v>-1.4847625549776946</v>
      </c>
      <c r="N808" s="304">
        <f t="shared" ca="1" si="365"/>
        <v>-85.070627979282762</v>
      </c>
      <c r="P808" s="310">
        <f t="shared" ca="1" si="366"/>
        <v>23</v>
      </c>
      <c r="Q808" s="304">
        <f t="shared" ca="1" si="367"/>
        <v>0</v>
      </c>
      <c r="R808" s="306">
        <f t="shared" ca="1" si="368"/>
        <v>0</v>
      </c>
      <c r="S808" s="307">
        <f t="shared" ca="1" si="369"/>
        <v>5.083000000000002</v>
      </c>
      <c r="T808" s="304">
        <f t="shared" ca="1" si="349"/>
        <v>49.86423000000002</v>
      </c>
      <c r="U808" s="311">
        <f t="shared" ca="1" si="350"/>
        <v>0</v>
      </c>
      <c r="V808" s="306">
        <f t="shared" ca="1" si="351"/>
        <v>1.2258274283527519</v>
      </c>
      <c r="W808" s="304">
        <f t="shared" ca="1" si="352"/>
        <v>43.234902633713418</v>
      </c>
      <c r="Y808" s="314" t="str">
        <f t="shared" ca="1" si="370"/>
        <v/>
      </c>
      <c r="Z808" s="315" t="str">
        <f t="shared" ca="1" si="371"/>
        <v/>
      </c>
      <c r="AA808" s="316" t="str">
        <f t="shared" ca="1" si="372"/>
        <v/>
      </c>
      <c r="AC808" s="310" t="e">
        <f t="shared" ca="1" si="373"/>
        <v>#N/A</v>
      </c>
      <c r="AD808" s="323" t="e">
        <f t="shared" ca="1" si="374"/>
        <v>#N/A</v>
      </c>
      <c r="AE808" s="324" t="e">
        <f t="shared" ca="1" si="353"/>
        <v>#N/A</v>
      </c>
      <c r="AG808" s="306">
        <f t="shared" ca="1" si="375"/>
        <v>1.2679605521735304</v>
      </c>
      <c r="AH808" s="304">
        <f t="shared" ca="1" si="376"/>
        <v>-8.5057552958831764</v>
      </c>
    </row>
    <row r="809" spans="1:34" x14ac:dyDescent="0.2">
      <c r="A809" s="347">
        <f t="shared" ca="1" si="354"/>
        <v>1E-4</v>
      </c>
      <c r="B809" s="304">
        <f t="shared" ca="1" si="355"/>
        <v>29.24230000000005</v>
      </c>
      <c r="D809" s="306">
        <f t="shared" ca="1" si="356"/>
        <v>-0.73088230194978476</v>
      </c>
      <c r="E809" s="307">
        <f t="shared" ca="1" si="357"/>
        <v>-1.335675183898946</v>
      </c>
      <c r="F809" s="304">
        <f t="shared" ca="1" si="358"/>
        <v>1.5225692549722984</v>
      </c>
      <c r="G809" s="306">
        <f t="shared" ca="1" si="359"/>
        <v>9.2093818291653964</v>
      </c>
      <c r="H809" s="307">
        <f t="shared" ca="1" si="360"/>
        <v>-106.78054423152061</v>
      </c>
      <c r="I809" s="304">
        <f t="shared" ca="1" si="361"/>
        <v>107.17694406939904</v>
      </c>
      <c r="J809" s="306">
        <f t="shared" ca="1" si="362"/>
        <v>746.86410190403069</v>
      </c>
      <c r="K809" s="307">
        <f t="shared" ca="1" si="363"/>
        <v>-6.7629148081121269</v>
      </c>
      <c r="L809" s="304">
        <f t="shared" ca="1" si="348"/>
        <v>746.89472064650192</v>
      </c>
      <c r="M809" s="306">
        <f t="shared" ca="1" si="364"/>
        <v>-1.4847633414812815</v>
      </c>
      <c r="N809" s="304">
        <f t="shared" ca="1" si="365"/>
        <v>-85.070673042618864</v>
      </c>
      <c r="P809" s="310">
        <f t="shared" ca="1" si="366"/>
        <v>23</v>
      </c>
      <c r="Q809" s="304">
        <f t="shared" ca="1" si="367"/>
        <v>0</v>
      </c>
      <c r="R809" s="306">
        <f t="shared" ca="1" si="368"/>
        <v>0</v>
      </c>
      <c r="S809" s="307">
        <f t="shared" ca="1" si="369"/>
        <v>5.083000000000002</v>
      </c>
      <c r="T809" s="304">
        <f t="shared" ca="1" si="349"/>
        <v>49.86423000000002</v>
      </c>
      <c r="U809" s="311">
        <f t="shared" ca="1" si="350"/>
        <v>0</v>
      </c>
      <c r="V809" s="306">
        <f t="shared" ca="1" si="351"/>
        <v>1.2258287372979808</v>
      </c>
      <c r="W809" s="304">
        <f t="shared" ca="1" si="352"/>
        <v>43.23505109659618</v>
      </c>
      <c r="Y809" s="314" t="str">
        <f t="shared" ca="1" si="370"/>
        <v/>
      </c>
      <c r="Z809" s="315" t="str">
        <f t="shared" ca="1" si="371"/>
        <v/>
      </c>
      <c r="AA809" s="316" t="str">
        <f t="shared" ca="1" si="372"/>
        <v/>
      </c>
      <c r="AC809" s="310" t="e">
        <f t="shared" ca="1" si="373"/>
        <v>#N/A</v>
      </c>
      <c r="AD809" s="323" t="e">
        <f t="shared" ca="1" si="374"/>
        <v>#N/A</v>
      </c>
      <c r="AE809" s="324" t="e">
        <f t="shared" ca="1" si="353"/>
        <v>#N/A</v>
      </c>
      <c r="AG809" s="306">
        <f t="shared" ca="1" si="375"/>
        <v>1.2679320070734938</v>
      </c>
      <c r="AH809" s="304">
        <f t="shared" ca="1" si="376"/>
        <v>-8.5057845039766669</v>
      </c>
    </row>
    <row r="810" spans="1:34" x14ac:dyDescent="0.2">
      <c r="A810" s="347">
        <f t="shared" ca="1" si="354"/>
        <v>1E-4</v>
      </c>
      <c r="B810" s="304">
        <f t="shared" ca="1" si="355"/>
        <v>29.24240000000005</v>
      </c>
      <c r="D810" s="306">
        <f t="shared" ca="1" si="356"/>
        <v>-0.73087814659204198</v>
      </c>
      <c r="E810" s="307">
        <f t="shared" ca="1" si="357"/>
        <v>-1.3356455093581427</v>
      </c>
      <c r="F810" s="304">
        <f t="shared" ca="1" si="358"/>
        <v>1.5225412282872313</v>
      </c>
      <c r="G810" s="306">
        <f t="shared" ca="1" si="359"/>
        <v>9.2093087413507373</v>
      </c>
      <c r="H810" s="307">
        <f t="shared" ca="1" si="360"/>
        <v>-106.78067779607154</v>
      </c>
      <c r="I810" s="304">
        <f t="shared" ca="1" si="361"/>
        <v>107.17707085977842</v>
      </c>
      <c r="J810" s="306">
        <f t="shared" ca="1" si="362"/>
        <v>746.86410190403069</v>
      </c>
      <c r="K810" s="307">
        <f t="shared" ca="1" si="363"/>
        <v>-6.7735928692135063</v>
      </c>
      <c r="L810" s="304">
        <f t="shared" ca="1" si="348"/>
        <v>746.89481740956819</v>
      </c>
      <c r="M810" s="306">
        <f t="shared" ca="1" si="364"/>
        <v>-1.4847641279767658</v>
      </c>
      <c r="N810" s="304">
        <f t="shared" ca="1" si="365"/>
        <v>-85.070718105490712</v>
      </c>
      <c r="P810" s="310">
        <f t="shared" ca="1" si="366"/>
        <v>23</v>
      </c>
      <c r="Q810" s="304">
        <f t="shared" ca="1" si="367"/>
        <v>0</v>
      </c>
      <c r="R810" s="306">
        <f t="shared" ca="1" si="368"/>
        <v>0</v>
      </c>
      <c r="S810" s="307">
        <f t="shared" ca="1" si="369"/>
        <v>5.083000000000002</v>
      </c>
      <c r="T810" s="304">
        <f t="shared" ca="1" si="349"/>
        <v>49.86423000000002</v>
      </c>
      <c r="U810" s="311">
        <f t="shared" ca="1" si="350"/>
        <v>0</v>
      </c>
      <c r="V810" s="306">
        <f t="shared" ca="1" si="351"/>
        <v>1.2258300462462455</v>
      </c>
      <c r="W810" s="304">
        <f t="shared" ca="1" si="352"/>
        <v>43.235199557622494</v>
      </c>
      <c r="Y810" s="314" t="str">
        <f t="shared" ca="1" si="370"/>
        <v/>
      </c>
      <c r="Z810" s="315" t="str">
        <f t="shared" ca="1" si="371"/>
        <v/>
      </c>
      <c r="AA810" s="316" t="str">
        <f t="shared" ca="1" si="372"/>
        <v/>
      </c>
      <c r="AC810" s="310" t="e">
        <f t="shared" ca="1" si="373"/>
        <v>#N/A</v>
      </c>
      <c r="AD810" s="323" t="e">
        <f t="shared" ca="1" si="374"/>
        <v>#N/A</v>
      </c>
      <c r="AE810" s="324" t="e">
        <f t="shared" ca="1" si="353"/>
        <v>#N/A</v>
      </c>
      <c r="AG810" s="306">
        <f t="shared" ca="1" si="375"/>
        <v>1.2679034623258065</v>
      </c>
      <c r="AH810" s="304">
        <f t="shared" ca="1" si="376"/>
        <v>-8.5058137117049313</v>
      </c>
    </row>
    <row r="811" spans="1:34" x14ac:dyDescent="0.2">
      <c r="A811" s="347">
        <f t="shared" ca="1" si="354"/>
        <v>1E-4</v>
      </c>
      <c r="B811" s="304">
        <f t="shared" ca="1" si="355"/>
        <v>29.242500000000049</v>
      </c>
      <c r="D811" s="306">
        <f t="shared" ca="1" si="356"/>
        <v>-0.73087399122535524</v>
      </c>
      <c r="E811" s="307">
        <f t="shared" ca="1" si="357"/>
        <v>-1.3356158351884364</v>
      </c>
      <c r="F811" s="304">
        <f t="shared" ca="1" si="358"/>
        <v>1.5225132019972061</v>
      </c>
      <c r="G811" s="306">
        <f t="shared" ca="1" si="359"/>
        <v>9.2092356539516143</v>
      </c>
      <c r="H811" s="307">
        <f t="shared" ca="1" si="360"/>
        <v>-106.78081135765507</v>
      </c>
      <c r="I811" s="304">
        <f t="shared" ca="1" si="361"/>
        <v>107.17719764730337</v>
      </c>
      <c r="J811" s="306">
        <f t="shared" ca="1" si="362"/>
        <v>746.86410190403069</v>
      </c>
      <c r="K811" s="307">
        <f t="shared" ca="1" si="363"/>
        <v>-6.784270943671193</v>
      </c>
      <c r="L811" s="304">
        <f t="shared" ca="1" si="348"/>
        <v>746.89491432540331</v>
      </c>
      <c r="M811" s="306">
        <f t="shared" ca="1" si="364"/>
        <v>-1.4847649144641475</v>
      </c>
      <c r="N811" s="304">
        <f t="shared" ca="1" si="365"/>
        <v>-85.070763167898335</v>
      </c>
      <c r="P811" s="310">
        <f t="shared" ca="1" si="366"/>
        <v>23</v>
      </c>
      <c r="Q811" s="304">
        <f t="shared" ca="1" si="367"/>
        <v>0</v>
      </c>
      <c r="R811" s="306">
        <f t="shared" ca="1" si="368"/>
        <v>0</v>
      </c>
      <c r="S811" s="307">
        <f t="shared" ca="1" si="369"/>
        <v>5.083000000000002</v>
      </c>
      <c r="T811" s="304">
        <f t="shared" ca="1" si="349"/>
        <v>49.86423000000002</v>
      </c>
      <c r="U811" s="311">
        <f t="shared" ca="1" si="350"/>
        <v>0</v>
      </c>
      <c r="V811" s="306">
        <f t="shared" ca="1" si="351"/>
        <v>1.225831355197545</v>
      </c>
      <c r="W811" s="304">
        <f t="shared" ca="1" si="352"/>
        <v>43.235348016792365</v>
      </c>
      <c r="Y811" s="314" t="str">
        <f t="shared" ca="1" si="370"/>
        <v/>
      </c>
      <c r="Z811" s="315" t="str">
        <f t="shared" ca="1" si="371"/>
        <v/>
      </c>
      <c r="AA811" s="316" t="str">
        <f t="shared" ca="1" si="372"/>
        <v/>
      </c>
      <c r="AC811" s="310" t="e">
        <f t="shared" ca="1" si="373"/>
        <v>#N/A</v>
      </c>
      <c r="AD811" s="323" t="e">
        <f t="shared" ca="1" si="374"/>
        <v>#N/A</v>
      </c>
      <c r="AE811" s="324" t="e">
        <f t="shared" ca="1" si="353"/>
        <v>#N/A</v>
      </c>
      <c r="AG811" s="306">
        <f t="shared" ca="1" si="375"/>
        <v>1.2678749179304685</v>
      </c>
      <c r="AH811" s="304">
        <f t="shared" ca="1" si="376"/>
        <v>-8.5058429190679679</v>
      </c>
    </row>
    <row r="812" spans="1:34" x14ac:dyDescent="0.2">
      <c r="A812" s="347">
        <f t="shared" ca="1" si="354"/>
        <v>1E-4</v>
      </c>
      <c r="B812" s="304">
        <f t="shared" ca="1" si="355"/>
        <v>29.242600000000049</v>
      </c>
      <c r="D812" s="306">
        <f t="shared" ca="1" si="356"/>
        <v>-0.7308698358497262</v>
      </c>
      <c r="E812" s="307">
        <f t="shared" ca="1" si="357"/>
        <v>-1.3355861613898181</v>
      </c>
      <c r="F812" s="304">
        <f t="shared" ca="1" si="358"/>
        <v>1.5224851761022158</v>
      </c>
      <c r="G812" s="306">
        <f t="shared" ca="1" si="359"/>
        <v>9.209162566968029</v>
      </c>
      <c r="H812" s="307">
        <f t="shared" ca="1" si="360"/>
        <v>-106.78094491627121</v>
      </c>
      <c r="I812" s="304">
        <f t="shared" ca="1" si="361"/>
        <v>107.17732443197391</v>
      </c>
      <c r="J812" s="306">
        <f t="shared" ca="1" si="362"/>
        <v>746.86410190403069</v>
      </c>
      <c r="K812" s="307">
        <f t="shared" ca="1" si="363"/>
        <v>-6.7949490314848893</v>
      </c>
      <c r="L812" s="304">
        <f t="shared" ca="1" si="348"/>
        <v>746.89501139400761</v>
      </c>
      <c r="M812" s="306">
        <f t="shared" ca="1" si="364"/>
        <v>-1.4847657009434267</v>
      </c>
      <c r="N812" s="304">
        <f t="shared" ca="1" si="365"/>
        <v>-85.070808229841703</v>
      </c>
      <c r="P812" s="310">
        <f t="shared" ca="1" si="366"/>
        <v>23</v>
      </c>
      <c r="Q812" s="304">
        <f t="shared" ca="1" si="367"/>
        <v>0</v>
      </c>
      <c r="R812" s="306">
        <f t="shared" ca="1" si="368"/>
        <v>0</v>
      </c>
      <c r="S812" s="307">
        <f t="shared" ca="1" si="369"/>
        <v>5.083000000000002</v>
      </c>
      <c r="T812" s="304">
        <f t="shared" ca="1" si="349"/>
        <v>49.86423000000002</v>
      </c>
      <c r="U812" s="311">
        <f t="shared" ca="1" si="350"/>
        <v>0</v>
      </c>
      <c r="V812" s="306">
        <f t="shared" ca="1" si="351"/>
        <v>1.2258326641518809</v>
      </c>
      <c r="W812" s="304">
        <f t="shared" ca="1" si="352"/>
        <v>43.235496474105851</v>
      </c>
      <c r="Y812" s="314" t="str">
        <f t="shared" ca="1" si="370"/>
        <v/>
      </c>
      <c r="Z812" s="315" t="str">
        <f t="shared" ca="1" si="371"/>
        <v/>
      </c>
      <c r="AA812" s="316" t="str">
        <f t="shared" ca="1" si="372"/>
        <v/>
      </c>
      <c r="AC812" s="310" t="e">
        <f t="shared" ca="1" si="373"/>
        <v>#N/A</v>
      </c>
      <c r="AD812" s="323" t="e">
        <f t="shared" ca="1" si="374"/>
        <v>#N/A</v>
      </c>
      <c r="AE812" s="324" t="e">
        <f t="shared" ca="1" si="353"/>
        <v>#N/A</v>
      </c>
      <c r="AG812" s="306">
        <f t="shared" ca="1" si="375"/>
        <v>1.267846373887485</v>
      </c>
      <c r="AH812" s="304">
        <f t="shared" ca="1" si="376"/>
        <v>-8.5058721260657784</v>
      </c>
    </row>
    <row r="813" spans="1:34" x14ac:dyDescent="0.2">
      <c r="A813" s="347">
        <f t="shared" ca="1" si="354"/>
        <v>1E-4</v>
      </c>
      <c r="B813" s="304">
        <f t="shared" ca="1" si="355"/>
        <v>29.242700000000049</v>
      </c>
      <c r="D813" s="306">
        <f t="shared" ca="1" si="356"/>
        <v>-0.73086568046515565</v>
      </c>
      <c r="E813" s="307">
        <f t="shared" ca="1" si="357"/>
        <v>-1.3355564879622825</v>
      </c>
      <c r="F813" s="304">
        <f t="shared" ca="1" si="358"/>
        <v>1.5224571506022564</v>
      </c>
      <c r="G813" s="306">
        <f t="shared" ca="1" si="359"/>
        <v>9.2090894803999817</v>
      </c>
      <c r="H813" s="307">
        <f t="shared" ca="1" si="360"/>
        <v>-106.78107847192001</v>
      </c>
      <c r="I813" s="304">
        <f t="shared" ca="1" si="361"/>
        <v>107.17745121379009</v>
      </c>
      <c r="J813" s="306">
        <f t="shared" ca="1" si="362"/>
        <v>746.86410190403069</v>
      </c>
      <c r="K813" s="307">
        <f t="shared" ca="1" si="363"/>
        <v>-6.8056271326542985</v>
      </c>
      <c r="L813" s="304">
        <f t="shared" ca="1" si="348"/>
        <v>746.8951086153819</v>
      </c>
      <c r="M813" s="306">
        <f t="shared" ca="1" si="364"/>
        <v>-1.4847664874146036</v>
      </c>
      <c r="N813" s="304">
        <f t="shared" ca="1" si="365"/>
        <v>-85.070853291320844</v>
      </c>
      <c r="P813" s="310">
        <f t="shared" ca="1" si="366"/>
        <v>23</v>
      </c>
      <c r="Q813" s="304">
        <f t="shared" ca="1" si="367"/>
        <v>0</v>
      </c>
      <c r="R813" s="306">
        <f t="shared" ca="1" si="368"/>
        <v>0</v>
      </c>
      <c r="S813" s="307">
        <f t="shared" ca="1" si="369"/>
        <v>5.083000000000002</v>
      </c>
      <c r="T813" s="304">
        <f t="shared" ca="1" si="349"/>
        <v>49.86423000000002</v>
      </c>
      <c r="U813" s="311">
        <f t="shared" ca="1" si="350"/>
        <v>0</v>
      </c>
      <c r="V813" s="306">
        <f t="shared" ca="1" si="351"/>
        <v>1.2258339731092511</v>
      </c>
      <c r="W813" s="304">
        <f t="shared" ca="1" si="352"/>
        <v>43.235644929562909</v>
      </c>
      <c r="Y813" s="314" t="str">
        <f t="shared" ca="1" si="370"/>
        <v/>
      </c>
      <c r="Z813" s="315" t="str">
        <f t="shared" ca="1" si="371"/>
        <v/>
      </c>
      <c r="AA813" s="316" t="str">
        <f t="shared" ca="1" si="372"/>
        <v/>
      </c>
      <c r="AC813" s="310" t="e">
        <f t="shared" ca="1" si="373"/>
        <v>#N/A</v>
      </c>
      <c r="AD813" s="323" t="e">
        <f t="shared" ca="1" si="374"/>
        <v>#N/A</v>
      </c>
      <c r="AE813" s="324" t="e">
        <f t="shared" ca="1" si="353"/>
        <v>#N/A</v>
      </c>
      <c r="AG813" s="306">
        <f t="shared" ca="1" si="375"/>
        <v>1.2678178301968401</v>
      </c>
      <c r="AH813" s="304">
        <f t="shared" ca="1" si="376"/>
        <v>-8.5059013326983735</v>
      </c>
    </row>
    <row r="814" spans="1:34" x14ac:dyDescent="0.2">
      <c r="A814" s="347">
        <f t="shared" ca="1" si="354"/>
        <v>1E-4</v>
      </c>
      <c r="B814" s="304">
        <f t="shared" ca="1" si="355"/>
        <v>29.242800000000049</v>
      </c>
      <c r="D814" s="306">
        <f t="shared" ca="1" si="356"/>
        <v>-0.73086152507164459</v>
      </c>
      <c r="E814" s="307">
        <f t="shared" ca="1" si="357"/>
        <v>-1.3355268149058332</v>
      </c>
      <c r="F814" s="304">
        <f t="shared" ca="1" si="358"/>
        <v>1.5224291254973317</v>
      </c>
      <c r="G814" s="306">
        <f t="shared" ca="1" si="359"/>
        <v>9.2090163942474739</v>
      </c>
      <c r="H814" s="307">
        <f t="shared" ca="1" si="360"/>
        <v>-106.7812120246015</v>
      </c>
      <c r="I814" s="304">
        <f t="shared" ca="1" si="361"/>
        <v>107.17757799275192</v>
      </c>
      <c r="J814" s="306">
        <f t="shared" ca="1" si="362"/>
        <v>746.86410190403069</v>
      </c>
      <c r="K814" s="307">
        <f t="shared" ca="1" si="363"/>
        <v>-6.816305247179125</v>
      </c>
      <c r="L814" s="304">
        <f t="shared" ca="1" si="348"/>
        <v>746.8952059895264</v>
      </c>
      <c r="M814" s="306">
        <f t="shared" ca="1" si="364"/>
        <v>-1.484767273877678</v>
      </c>
      <c r="N814" s="304">
        <f t="shared" ca="1" si="365"/>
        <v>-85.07089835233576</v>
      </c>
      <c r="P814" s="310">
        <f t="shared" ca="1" si="366"/>
        <v>23</v>
      </c>
      <c r="Q814" s="304">
        <f t="shared" ca="1" si="367"/>
        <v>0</v>
      </c>
      <c r="R814" s="306">
        <f t="shared" ca="1" si="368"/>
        <v>0</v>
      </c>
      <c r="S814" s="307">
        <f t="shared" ca="1" si="369"/>
        <v>5.083000000000002</v>
      </c>
      <c r="T814" s="304">
        <f t="shared" ca="1" si="349"/>
        <v>49.86423000000002</v>
      </c>
      <c r="U814" s="311">
        <f t="shared" ca="1" si="350"/>
        <v>0</v>
      </c>
      <c r="V814" s="306">
        <f t="shared" ca="1" si="351"/>
        <v>1.2258352820696574</v>
      </c>
      <c r="W814" s="304">
        <f t="shared" ca="1" si="352"/>
        <v>43.235793383163582</v>
      </c>
      <c r="Y814" s="314" t="str">
        <f t="shared" ca="1" si="370"/>
        <v/>
      </c>
      <c r="Z814" s="315" t="str">
        <f t="shared" ca="1" si="371"/>
        <v/>
      </c>
      <c r="AA814" s="316" t="str">
        <f t="shared" ca="1" si="372"/>
        <v/>
      </c>
      <c r="AC814" s="310" t="e">
        <f t="shared" ca="1" si="373"/>
        <v>#N/A</v>
      </c>
      <c r="AD814" s="323" t="e">
        <f t="shared" ca="1" si="374"/>
        <v>#N/A</v>
      </c>
      <c r="AE814" s="324" t="e">
        <f t="shared" ca="1" si="353"/>
        <v>#N/A</v>
      </c>
      <c r="AG814" s="306">
        <f t="shared" ca="1" si="375"/>
        <v>1.2677892868585374</v>
      </c>
      <c r="AH814" s="304">
        <f t="shared" ca="1" si="376"/>
        <v>-8.5059305389657478</v>
      </c>
    </row>
    <row r="815" spans="1:34" x14ac:dyDescent="0.2">
      <c r="A815" s="347">
        <f t="shared" ca="1" si="354"/>
        <v>1E-4</v>
      </c>
      <c r="B815" s="304">
        <f t="shared" ca="1" si="355"/>
        <v>29.242900000000049</v>
      </c>
      <c r="D815" s="306">
        <f t="shared" ca="1" si="356"/>
        <v>-0.73085736966919479</v>
      </c>
      <c r="E815" s="307">
        <f t="shared" ca="1" si="357"/>
        <v>-1.3354971422204667</v>
      </c>
      <c r="F815" s="304">
        <f t="shared" ca="1" si="358"/>
        <v>1.5224011007874396</v>
      </c>
      <c r="G815" s="306">
        <f t="shared" ca="1" si="359"/>
        <v>9.2089433085105075</v>
      </c>
      <c r="H815" s="307">
        <f t="shared" ca="1" si="360"/>
        <v>-106.78134557431572</v>
      </c>
      <c r="I815" s="304">
        <f t="shared" ca="1" si="361"/>
        <v>107.17770476885944</v>
      </c>
      <c r="J815" s="306">
        <f t="shared" ca="1" si="362"/>
        <v>746.86410190403069</v>
      </c>
      <c r="K815" s="307">
        <f t="shared" ca="1" si="363"/>
        <v>-6.8269833750590712</v>
      </c>
      <c r="L815" s="304">
        <f t="shared" ca="1" si="348"/>
        <v>746.8953035164418</v>
      </c>
      <c r="M815" s="306">
        <f t="shared" ca="1" si="364"/>
        <v>-1.4847680603326505</v>
      </c>
      <c r="N815" s="304">
        <f t="shared" ca="1" si="365"/>
        <v>-85.07094341288645</v>
      </c>
      <c r="P815" s="310">
        <f t="shared" ca="1" si="366"/>
        <v>23</v>
      </c>
      <c r="Q815" s="304">
        <f t="shared" ca="1" si="367"/>
        <v>0</v>
      </c>
      <c r="R815" s="306">
        <f t="shared" ca="1" si="368"/>
        <v>0</v>
      </c>
      <c r="S815" s="307">
        <f t="shared" ca="1" si="369"/>
        <v>5.083000000000002</v>
      </c>
      <c r="T815" s="304">
        <f t="shared" ca="1" si="349"/>
        <v>49.86423000000002</v>
      </c>
      <c r="U815" s="311">
        <f t="shared" ca="1" si="350"/>
        <v>0</v>
      </c>
      <c r="V815" s="306">
        <f t="shared" ca="1" si="351"/>
        <v>1.2258365910330986</v>
      </c>
      <c r="W815" s="304">
        <f t="shared" ca="1" si="352"/>
        <v>43.235941834907862</v>
      </c>
      <c r="Y815" s="314" t="str">
        <f t="shared" ca="1" si="370"/>
        <v/>
      </c>
      <c r="Z815" s="315" t="str">
        <f t="shared" ca="1" si="371"/>
        <v/>
      </c>
      <c r="AA815" s="316" t="str">
        <f t="shared" ca="1" si="372"/>
        <v/>
      </c>
      <c r="AC815" s="310" t="e">
        <f t="shared" ca="1" si="373"/>
        <v>#N/A</v>
      </c>
      <c r="AD815" s="323" t="e">
        <f t="shared" ca="1" si="374"/>
        <v>#N/A</v>
      </c>
      <c r="AE815" s="324" t="e">
        <f t="shared" ca="1" si="353"/>
        <v>#N/A</v>
      </c>
      <c r="AG815" s="306">
        <f t="shared" ca="1" si="375"/>
        <v>1.2677607438725804</v>
      </c>
      <c r="AH815" s="304">
        <f t="shared" ca="1" si="376"/>
        <v>-8.505959744867905</v>
      </c>
    </row>
    <row r="816" spans="1:34" x14ac:dyDescent="0.2">
      <c r="A816" s="347">
        <f t="shared" ca="1" si="354"/>
        <v>1E-4</v>
      </c>
      <c r="B816" s="304">
        <f t="shared" ca="1" si="355"/>
        <v>29.243000000000048</v>
      </c>
      <c r="D816" s="306">
        <f t="shared" ca="1" si="356"/>
        <v>-0.7308532142578047</v>
      </c>
      <c r="E816" s="307">
        <f t="shared" ca="1" si="357"/>
        <v>-1.3354674699061775</v>
      </c>
      <c r="F816" s="304">
        <f t="shared" ca="1" si="358"/>
        <v>1.5223730764725747</v>
      </c>
      <c r="G816" s="306">
        <f t="shared" ca="1" si="359"/>
        <v>9.2088702231890824</v>
      </c>
      <c r="H816" s="307">
        <f t="shared" ca="1" si="360"/>
        <v>-106.78147912106272</v>
      </c>
      <c r="I816" s="304">
        <f t="shared" ca="1" si="361"/>
        <v>107.17783154211271</v>
      </c>
      <c r="J816" s="306">
        <f t="shared" ca="1" si="362"/>
        <v>746.86410190403069</v>
      </c>
      <c r="K816" s="307">
        <f t="shared" ca="1" si="363"/>
        <v>-6.8376615162938403</v>
      </c>
      <c r="L816" s="304">
        <f t="shared" ca="1" si="348"/>
        <v>746.89540119612855</v>
      </c>
      <c r="M816" s="306">
        <f t="shared" ca="1" si="364"/>
        <v>-1.4847688467795208</v>
      </c>
      <c r="N816" s="304">
        <f t="shared" ca="1" si="365"/>
        <v>-85.070988472972928</v>
      </c>
      <c r="P816" s="310">
        <f t="shared" ca="1" si="366"/>
        <v>23</v>
      </c>
      <c r="Q816" s="304">
        <f t="shared" ca="1" si="367"/>
        <v>0</v>
      </c>
      <c r="R816" s="306">
        <f t="shared" ca="1" si="368"/>
        <v>0</v>
      </c>
      <c r="S816" s="307">
        <f t="shared" ca="1" si="369"/>
        <v>5.083000000000002</v>
      </c>
      <c r="T816" s="304">
        <f t="shared" ca="1" si="349"/>
        <v>49.86423000000002</v>
      </c>
      <c r="U816" s="311">
        <f t="shared" ca="1" si="350"/>
        <v>0</v>
      </c>
      <c r="V816" s="306">
        <f t="shared" ca="1" si="351"/>
        <v>1.2258378999995749</v>
      </c>
      <c r="W816" s="304">
        <f t="shared" ca="1" si="352"/>
        <v>43.236090284795765</v>
      </c>
      <c r="Y816" s="314" t="str">
        <f t="shared" ca="1" si="370"/>
        <v/>
      </c>
      <c r="Z816" s="315" t="str">
        <f t="shared" ca="1" si="371"/>
        <v/>
      </c>
      <c r="AA816" s="316" t="str">
        <f t="shared" ca="1" si="372"/>
        <v/>
      </c>
      <c r="AC816" s="310" t="e">
        <f t="shared" ca="1" si="373"/>
        <v>#N/A</v>
      </c>
      <c r="AD816" s="323" t="e">
        <f t="shared" ca="1" si="374"/>
        <v>#N/A</v>
      </c>
      <c r="AE816" s="324" t="e">
        <f t="shared" ca="1" si="353"/>
        <v>#N/A</v>
      </c>
      <c r="AG816" s="306">
        <f t="shared" ca="1" si="375"/>
        <v>1.2677322012389638</v>
      </c>
      <c r="AH816" s="304">
        <f t="shared" ca="1" si="376"/>
        <v>-8.5059889504048485</v>
      </c>
    </row>
    <row r="817" spans="1:34" x14ac:dyDescent="0.2">
      <c r="A817" s="347">
        <f t="shared" ca="1" si="354"/>
        <v>1E-4</v>
      </c>
      <c r="B817" s="304">
        <f t="shared" ca="1" si="355"/>
        <v>29.243100000000048</v>
      </c>
      <c r="D817" s="306">
        <f t="shared" ca="1" si="356"/>
        <v>-0.73084905883747742</v>
      </c>
      <c r="E817" s="307">
        <f t="shared" ca="1" si="357"/>
        <v>-1.3354377979629692</v>
      </c>
      <c r="F817" s="304">
        <f t="shared" ca="1" si="358"/>
        <v>1.522345052552742</v>
      </c>
      <c r="G817" s="306">
        <f t="shared" ca="1" si="359"/>
        <v>9.2087971382831988</v>
      </c>
      <c r="H817" s="307">
        <f t="shared" ca="1" si="360"/>
        <v>-106.78161266484251</v>
      </c>
      <c r="I817" s="304">
        <f t="shared" ca="1" si="361"/>
        <v>107.17795831251175</v>
      </c>
      <c r="J817" s="306">
        <f t="shared" ca="1" si="362"/>
        <v>746.86410190403069</v>
      </c>
      <c r="K817" s="307">
        <f t="shared" ca="1" si="363"/>
        <v>-6.8483396708831359</v>
      </c>
      <c r="L817" s="304">
        <f t="shared" ca="1" si="348"/>
        <v>746.8954990285871</v>
      </c>
      <c r="M817" s="306">
        <f t="shared" ca="1" si="364"/>
        <v>-1.4847696332182891</v>
      </c>
      <c r="N817" s="304">
        <f t="shared" ca="1" si="365"/>
        <v>-85.071033532595209</v>
      </c>
      <c r="P817" s="310">
        <f t="shared" ca="1" si="366"/>
        <v>23</v>
      </c>
      <c r="Q817" s="304">
        <f t="shared" ca="1" si="367"/>
        <v>0</v>
      </c>
      <c r="R817" s="306">
        <f t="shared" ca="1" si="368"/>
        <v>0</v>
      </c>
      <c r="S817" s="307">
        <f t="shared" ca="1" si="369"/>
        <v>5.083000000000002</v>
      </c>
      <c r="T817" s="304">
        <f t="shared" ca="1" si="349"/>
        <v>49.86423000000002</v>
      </c>
      <c r="U817" s="311">
        <f t="shared" ca="1" si="350"/>
        <v>0</v>
      </c>
      <c r="V817" s="306">
        <f t="shared" ca="1" si="351"/>
        <v>1.225839208969087</v>
      </c>
      <c r="W817" s="304">
        <f t="shared" ca="1" si="352"/>
        <v>43.236238732827346</v>
      </c>
      <c r="Y817" s="314" t="str">
        <f t="shared" ca="1" si="370"/>
        <v/>
      </c>
      <c r="Z817" s="315" t="str">
        <f t="shared" ca="1" si="371"/>
        <v/>
      </c>
      <c r="AA817" s="316" t="str">
        <f t="shared" ca="1" si="372"/>
        <v/>
      </c>
      <c r="AC817" s="310" t="e">
        <f t="shared" ca="1" si="373"/>
        <v>#N/A</v>
      </c>
      <c r="AD817" s="323" t="e">
        <f t="shared" ca="1" si="374"/>
        <v>#N/A</v>
      </c>
      <c r="AE817" s="324" t="e">
        <f t="shared" ca="1" si="353"/>
        <v>#N/A</v>
      </c>
      <c r="AG817" s="306">
        <f t="shared" ca="1" si="375"/>
        <v>1.2677036589576822</v>
      </c>
      <c r="AH817" s="304">
        <f t="shared" ca="1" si="376"/>
        <v>-8.5060181555765784</v>
      </c>
    </row>
    <row r="818" spans="1:34" x14ac:dyDescent="0.2">
      <c r="A818" s="347">
        <f t="shared" ca="1" si="354"/>
        <v>1E-4</v>
      </c>
      <c r="B818" s="304">
        <f t="shared" ca="1" si="355"/>
        <v>29.243200000000048</v>
      </c>
      <c r="D818" s="306">
        <f t="shared" ca="1" si="356"/>
        <v>-0.73084490340821395</v>
      </c>
      <c r="E818" s="307">
        <f t="shared" ca="1" si="357"/>
        <v>-1.335408126390826</v>
      </c>
      <c r="F818" s="304">
        <f t="shared" ca="1" si="358"/>
        <v>1.5223170290279282</v>
      </c>
      <c r="G818" s="306">
        <f t="shared" ca="1" si="359"/>
        <v>9.2087240537928583</v>
      </c>
      <c r="H818" s="307">
        <f t="shared" ca="1" si="360"/>
        <v>-106.78174620565515</v>
      </c>
      <c r="I818" s="304">
        <f t="shared" ca="1" si="361"/>
        <v>107.1780850800566</v>
      </c>
      <c r="J818" s="306">
        <f t="shared" ca="1" si="362"/>
        <v>746.86410190403069</v>
      </c>
      <c r="K818" s="307">
        <f t="shared" ca="1" si="363"/>
        <v>-6.8590178388266612</v>
      </c>
      <c r="L818" s="304">
        <f t="shared" ca="1" si="348"/>
        <v>746.89559701381802</v>
      </c>
      <c r="M818" s="306">
        <f t="shared" ca="1" si="364"/>
        <v>-1.4847704196489555</v>
      </c>
      <c r="N818" s="304">
        <f t="shared" ca="1" si="365"/>
        <v>-85.071078591753263</v>
      </c>
      <c r="P818" s="310">
        <f t="shared" ca="1" si="366"/>
        <v>23</v>
      </c>
      <c r="Q818" s="304">
        <f t="shared" ca="1" si="367"/>
        <v>0</v>
      </c>
      <c r="R818" s="306">
        <f t="shared" ca="1" si="368"/>
        <v>0</v>
      </c>
      <c r="S818" s="307">
        <f t="shared" ca="1" si="369"/>
        <v>5.083000000000002</v>
      </c>
      <c r="T818" s="304">
        <f t="shared" ca="1" si="349"/>
        <v>49.86423000000002</v>
      </c>
      <c r="U818" s="311">
        <f t="shared" ca="1" si="350"/>
        <v>0</v>
      </c>
      <c r="V818" s="306">
        <f t="shared" ca="1" si="351"/>
        <v>1.2258405179416341</v>
      </c>
      <c r="W818" s="304">
        <f t="shared" ca="1" si="352"/>
        <v>43.236387179002591</v>
      </c>
      <c r="Y818" s="314" t="str">
        <f t="shared" ca="1" si="370"/>
        <v/>
      </c>
      <c r="Z818" s="315" t="str">
        <f t="shared" ca="1" si="371"/>
        <v/>
      </c>
      <c r="AA818" s="316" t="str">
        <f t="shared" ca="1" si="372"/>
        <v/>
      </c>
      <c r="AC818" s="310" t="e">
        <f t="shared" ca="1" si="373"/>
        <v>#N/A</v>
      </c>
      <c r="AD818" s="323" t="e">
        <f t="shared" ca="1" si="374"/>
        <v>#N/A</v>
      </c>
      <c r="AE818" s="324" t="e">
        <f t="shared" ca="1" si="353"/>
        <v>#N/A</v>
      </c>
      <c r="AG818" s="306">
        <f t="shared" ca="1" si="375"/>
        <v>1.2676751170287304</v>
      </c>
      <c r="AH818" s="304">
        <f t="shared" ca="1" si="376"/>
        <v>-8.506047360383107</v>
      </c>
    </row>
    <row r="819" spans="1:34" x14ac:dyDescent="0.2">
      <c r="A819" s="347">
        <f t="shared" ca="1" si="354"/>
        <v>1E-4</v>
      </c>
      <c r="B819" s="304">
        <f t="shared" ca="1" si="355"/>
        <v>29.243300000000048</v>
      </c>
      <c r="D819" s="306">
        <f t="shared" ca="1" si="356"/>
        <v>-0.73084074797001519</v>
      </c>
      <c r="E819" s="307">
        <f t="shared" ca="1" si="357"/>
        <v>-1.3353784551897547</v>
      </c>
      <c r="F819" s="304">
        <f t="shared" ca="1" si="358"/>
        <v>1.52228900589814</v>
      </c>
      <c r="G819" s="306">
        <f t="shared" ca="1" si="359"/>
        <v>9.208650969718061</v>
      </c>
      <c r="H819" s="307">
        <f t="shared" ca="1" si="360"/>
        <v>-106.78187974350067</v>
      </c>
      <c r="I819" s="304">
        <f t="shared" ca="1" si="361"/>
        <v>107.17821184474728</v>
      </c>
      <c r="J819" s="306">
        <f t="shared" ca="1" si="362"/>
        <v>746.86410190403069</v>
      </c>
      <c r="K819" s="307">
        <f t="shared" ca="1" si="363"/>
        <v>-6.8696960201241186</v>
      </c>
      <c r="L819" s="304">
        <f t="shared" ca="1" si="348"/>
        <v>746.89569515182188</v>
      </c>
      <c r="M819" s="306">
        <f t="shared" ca="1" si="364"/>
        <v>-1.4847712060715204</v>
      </c>
      <c r="N819" s="304">
        <f t="shared" ca="1" si="365"/>
        <v>-85.071123650447149</v>
      </c>
      <c r="P819" s="310">
        <f t="shared" ca="1" si="366"/>
        <v>23</v>
      </c>
      <c r="Q819" s="304">
        <f t="shared" ca="1" si="367"/>
        <v>0</v>
      </c>
      <c r="R819" s="306">
        <f t="shared" ca="1" si="368"/>
        <v>0</v>
      </c>
      <c r="S819" s="307">
        <f t="shared" ca="1" si="369"/>
        <v>5.083000000000002</v>
      </c>
      <c r="T819" s="304">
        <f t="shared" ca="1" si="349"/>
        <v>49.86423000000002</v>
      </c>
      <c r="U819" s="311">
        <f t="shared" ca="1" si="350"/>
        <v>0</v>
      </c>
      <c r="V819" s="306">
        <f t="shared" ca="1" si="351"/>
        <v>1.2258418269172164</v>
      </c>
      <c r="W819" s="304">
        <f t="shared" ca="1" si="352"/>
        <v>43.236535623321487</v>
      </c>
      <c r="Y819" s="314" t="str">
        <f t="shared" ca="1" si="370"/>
        <v/>
      </c>
      <c r="Z819" s="315" t="str">
        <f t="shared" ca="1" si="371"/>
        <v/>
      </c>
      <c r="AA819" s="316" t="str">
        <f t="shared" ca="1" si="372"/>
        <v/>
      </c>
      <c r="AC819" s="310" t="e">
        <f t="shared" ca="1" si="373"/>
        <v>#N/A</v>
      </c>
      <c r="AD819" s="323" t="e">
        <f t="shared" ca="1" si="374"/>
        <v>#N/A</v>
      </c>
      <c r="AE819" s="324" t="e">
        <f t="shared" ca="1" si="353"/>
        <v>#N/A</v>
      </c>
      <c r="AG819" s="306">
        <f t="shared" ca="1" si="375"/>
        <v>1.2676465754521118</v>
      </c>
      <c r="AH819" s="304">
        <f t="shared" ca="1" si="376"/>
        <v>-8.5060765648244292</v>
      </c>
    </row>
    <row r="820" spans="1:34" x14ac:dyDescent="0.2">
      <c r="A820" s="347">
        <f t="shared" ca="1" si="354"/>
        <v>1E-4</v>
      </c>
      <c r="B820" s="304">
        <f t="shared" ca="1" si="355"/>
        <v>29.243400000000047</v>
      </c>
      <c r="D820" s="306">
        <f t="shared" ca="1" si="356"/>
        <v>-0.73083659252287925</v>
      </c>
      <c r="E820" s="307">
        <f t="shared" ca="1" si="357"/>
        <v>-1.3353487843597556</v>
      </c>
      <c r="F820" s="304">
        <f t="shared" ca="1" si="358"/>
        <v>1.5222609831633767</v>
      </c>
      <c r="G820" s="306">
        <f t="shared" ca="1" si="359"/>
        <v>9.2085778860588086</v>
      </c>
      <c r="H820" s="307">
        <f t="shared" ca="1" si="360"/>
        <v>-106.7820132783791</v>
      </c>
      <c r="I820" s="304">
        <f t="shared" ca="1" si="361"/>
        <v>107.17833860658385</v>
      </c>
      <c r="J820" s="306">
        <f t="shared" ca="1" si="362"/>
        <v>746.86410190403069</v>
      </c>
      <c r="K820" s="307">
        <f t="shared" ca="1" si="363"/>
        <v>-6.8803742147752125</v>
      </c>
      <c r="L820" s="304">
        <f t="shared" ca="1" si="348"/>
        <v>746.89579344259903</v>
      </c>
      <c r="M820" s="306">
        <f t="shared" ca="1" si="364"/>
        <v>-1.4847719924859837</v>
      </c>
      <c r="N820" s="304">
        <f t="shared" ca="1" si="365"/>
        <v>-85.071168708676851</v>
      </c>
      <c r="P820" s="310">
        <f t="shared" ca="1" si="366"/>
        <v>23</v>
      </c>
      <c r="Q820" s="304">
        <f t="shared" ca="1" si="367"/>
        <v>0</v>
      </c>
      <c r="R820" s="306">
        <f t="shared" ca="1" si="368"/>
        <v>0</v>
      </c>
      <c r="S820" s="307">
        <f t="shared" ca="1" si="369"/>
        <v>5.083000000000002</v>
      </c>
      <c r="T820" s="304">
        <f t="shared" ca="1" si="349"/>
        <v>49.86423000000002</v>
      </c>
      <c r="U820" s="311">
        <f t="shared" ca="1" si="350"/>
        <v>0</v>
      </c>
      <c r="V820" s="306">
        <f t="shared" ca="1" si="351"/>
        <v>1.2258431358958339</v>
      </c>
      <c r="W820" s="304">
        <f t="shared" ca="1" si="352"/>
        <v>43.23668406578409</v>
      </c>
      <c r="Y820" s="314" t="str">
        <f t="shared" ca="1" si="370"/>
        <v/>
      </c>
      <c r="Z820" s="315" t="str">
        <f t="shared" ca="1" si="371"/>
        <v/>
      </c>
      <c r="AA820" s="316" t="str">
        <f t="shared" ca="1" si="372"/>
        <v/>
      </c>
      <c r="AC820" s="310" t="e">
        <f t="shared" ca="1" si="373"/>
        <v>#N/A</v>
      </c>
      <c r="AD820" s="323" t="e">
        <f t="shared" ca="1" si="374"/>
        <v>#N/A</v>
      </c>
      <c r="AE820" s="324" t="e">
        <f t="shared" ca="1" si="353"/>
        <v>#N/A</v>
      </c>
      <c r="AG820" s="306">
        <f t="shared" ca="1" si="375"/>
        <v>1.2676180342278247</v>
      </c>
      <c r="AH820" s="304">
        <f t="shared" ca="1" si="376"/>
        <v>-8.5061057689005448</v>
      </c>
    </row>
    <row r="821" spans="1:34" x14ac:dyDescent="0.2">
      <c r="A821" s="347">
        <f t="shared" ca="1" si="354"/>
        <v>1E-4</v>
      </c>
      <c r="B821" s="304">
        <f t="shared" ca="1" si="355"/>
        <v>29.243500000000047</v>
      </c>
      <c r="D821" s="306">
        <f t="shared" ca="1" si="356"/>
        <v>-0.73083243706680856</v>
      </c>
      <c r="E821" s="307">
        <f t="shared" ca="1" si="357"/>
        <v>-1.3353191139008178</v>
      </c>
      <c r="F821" s="304">
        <f t="shared" ca="1" si="358"/>
        <v>1.5222329608236302</v>
      </c>
      <c r="G821" s="306">
        <f t="shared" ca="1" si="359"/>
        <v>9.2085048028151011</v>
      </c>
      <c r="H821" s="307">
        <f t="shared" ca="1" si="360"/>
        <v>-106.78214681029048</v>
      </c>
      <c r="I821" s="304">
        <f t="shared" ca="1" si="361"/>
        <v>107.17846536556632</v>
      </c>
      <c r="J821" s="306">
        <f t="shared" ca="1" si="362"/>
        <v>746.86410190403069</v>
      </c>
      <c r="K821" s="307">
        <f t="shared" ca="1" si="363"/>
        <v>-6.8910524227796461</v>
      </c>
      <c r="L821" s="304">
        <f t="shared" ca="1" si="348"/>
        <v>746.89589188615025</v>
      </c>
      <c r="M821" s="306">
        <f t="shared" ca="1" si="364"/>
        <v>-1.4847727788923453</v>
      </c>
      <c r="N821" s="304">
        <f t="shared" ca="1" si="365"/>
        <v>-85.071213766442341</v>
      </c>
      <c r="P821" s="310">
        <f t="shared" ca="1" si="366"/>
        <v>23</v>
      </c>
      <c r="Q821" s="304">
        <f t="shared" ca="1" si="367"/>
        <v>0</v>
      </c>
      <c r="R821" s="306">
        <f t="shared" ca="1" si="368"/>
        <v>0</v>
      </c>
      <c r="S821" s="307">
        <f t="shared" ca="1" si="369"/>
        <v>5.083000000000002</v>
      </c>
      <c r="T821" s="304">
        <f t="shared" ca="1" si="349"/>
        <v>49.86423000000002</v>
      </c>
      <c r="U821" s="311">
        <f t="shared" ca="1" si="350"/>
        <v>0</v>
      </c>
      <c r="V821" s="306">
        <f t="shared" ca="1" si="351"/>
        <v>1.2258444448774866</v>
      </c>
      <c r="W821" s="304">
        <f t="shared" ca="1" si="352"/>
        <v>43.236832506390371</v>
      </c>
      <c r="Y821" s="314" t="str">
        <f t="shared" ca="1" si="370"/>
        <v/>
      </c>
      <c r="Z821" s="315" t="str">
        <f t="shared" ca="1" si="371"/>
        <v/>
      </c>
      <c r="AA821" s="316" t="str">
        <f t="shared" ca="1" si="372"/>
        <v/>
      </c>
      <c r="AC821" s="310" t="e">
        <f t="shared" ca="1" si="373"/>
        <v>#N/A</v>
      </c>
      <c r="AD821" s="323" t="e">
        <f t="shared" ca="1" si="374"/>
        <v>#N/A</v>
      </c>
      <c r="AE821" s="324" t="e">
        <f t="shared" ca="1" si="353"/>
        <v>#N/A</v>
      </c>
      <c r="AG821" s="306">
        <f t="shared" ca="1" si="375"/>
        <v>1.2675894933558638</v>
      </c>
      <c r="AH821" s="304">
        <f t="shared" ca="1" si="376"/>
        <v>-8.5061349726114646</v>
      </c>
    </row>
    <row r="822" spans="1:34" x14ac:dyDescent="0.2">
      <c r="A822" s="347">
        <f t="shared" ca="1" si="354"/>
        <v>1E-4</v>
      </c>
      <c r="B822" s="304">
        <f t="shared" ca="1" si="355"/>
        <v>29.243600000000047</v>
      </c>
      <c r="D822" s="306">
        <f t="shared" ca="1" si="356"/>
        <v>-0.7308282816018058</v>
      </c>
      <c r="E822" s="307">
        <f t="shared" ca="1" si="357"/>
        <v>-1.3352894438129486</v>
      </c>
      <c r="F822" s="304">
        <f t="shared" ca="1" si="358"/>
        <v>1.5222049388789085</v>
      </c>
      <c r="G822" s="306">
        <f t="shared" ca="1" si="359"/>
        <v>9.2084317199869403</v>
      </c>
      <c r="H822" s="307">
        <f t="shared" ca="1" si="360"/>
        <v>-106.78228033923486</v>
      </c>
      <c r="I822" s="304">
        <f t="shared" ca="1" si="361"/>
        <v>107.17859212169475</v>
      </c>
      <c r="J822" s="306">
        <f t="shared" ca="1" si="362"/>
        <v>746.86410190403069</v>
      </c>
      <c r="K822" s="307">
        <f t="shared" ca="1" si="363"/>
        <v>-6.901730644137122</v>
      </c>
      <c r="L822" s="304">
        <f t="shared" ca="1" si="348"/>
        <v>746.89599048247578</v>
      </c>
      <c r="M822" s="306">
        <f t="shared" ca="1" si="364"/>
        <v>-1.4847735652906056</v>
      </c>
      <c r="N822" s="304">
        <f t="shared" ca="1" si="365"/>
        <v>-85.071258823743676</v>
      </c>
      <c r="P822" s="310">
        <f t="shared" ca="1" si="366"/>
        <v>23</v>
      </c>
      <c r="Q822" s="304">
        <f t="shared" ca="1" si="367"/>
        <v>0</v>
      </c>
      <c r="R822" s="306">
        <f t="shared" ca="1" si="368"/>
        <v>0</v>
      </c>
      <c r="S822" s="307">
        <f t="shared" ca="1" si="369"/>
        <v>5.083000000000002</v>
      </c>
      <c r="T822" s="304">
        <f t="shared" ca="1" si="349"/>
        <v>49.86423000000002</v>
      </c>
      <c r="U822" s="311">
        <f t="shared" ca="1" si="350"/>
        <v>0</v>
      </c>
      <c r="V822" s="306">
        <f t="shared" ca="1" si="351"/>
        <v>1.2258457538621745</v>
      </c>
      <c r="W822" s="304">
        <f t="shared" ca="1" si="352"/>
        <v>43.236980945140395</v>
      </c>
      <c r="Y822" s="314" t="str">
        <f t="shared" ca="1" si="370"/>
        <v/>
      </c>
      <c r="Z822" s="315" t="str">
        <f t="shared" ca="1" si="371"/>
        <v/>
      </c>
      <c r="AA822" s="316" t="str">
        <f t="shared" ca="1" si="372"/>
        <v/>
      </c>
      <c r="AC822" s="310" t="e">
        <f t="shared" ca="1" si="373"/>
        <v>#N/A</v>
      </c>
      <c r="AD822" s="323" t="e">
        <f t="shared" ca="1" si="374"/>
        <v>#N/A</v>
      </c>
      <c r="AE822" s="324" t="e">
        <f t="shared" ca="1" si="353"/>
        <v>#N/A</v>
      </c>
      <c r="AG822" s="306">
        <f t="shared" ca="1" si="375"/>
        <v>1.267560952836229</v>
      </c>
      <c r="AH822" s="304">
        <f t="shared" ca="1" si="376"/>
        <v>-8.5061641759571813</v>
      </c>
    </row>
    <row r="823" spans="1:34" x14ac:dyDescent="0.2">
      <c r="A823" s="347">
        <f t="shared" ca="1" si="354"/>
        <v>1E-4</v>
      </c>
      <c r="B823" s="304">
        <f t="shared" ca="1" si="355"/>
        <v>29.243700000000047</v>
      </c>
      <c r="D823" s="306">
        <f t="shared" ca="1" si="356"/>
        <v>-0.73082412612787007</v>
      </c>
      <c r="E823" s="307">
        <f t="shared" ca="1" si="357"/>
        <v>-1.3352597740961318</v>
      </c>
      <c r="F823" s="304">
        <f t="shared" ca="1" si="358"/>
        <v>1.5221769173291972</v>
      </c>
      <c r="G823" s="306">
        <f t="shared" ca="1" si="359"/>
        <v>9.208358637574328</v>
      </c>
      <c r="H823" s="307">
        <f t="shared" ca="1" si="360"/>
        <v>-106.78241386521226</v>
      </c>
      <c r="I823" s="304">
        <f t="shared" ca="1" si="361"/>
        <v>107.17871887496914</v>
      </c>
      <c r="J823" s="306">
        <f t="shared" ca="1" si="362"/>
        <v>746.86410190403069</v>
      </c>
      <c r="K823" s="307">
        <f t="shared" ca="1" si="363"/>
        <v>-6.9124088788473443</v>
      </c>
      <c r="L823" s="304">
        <f t="shared" ca="1" si="348"/>
        <v>746.89608923157618</v>
      </c>
      <c r="M823" s="306">
        <f t="shared" ca="1" si="364"/>
        <v>-1.4847743516807648</v>
      </c>
      <c r="N823" s="304">
        <f t="shared" ca="1" si="365"/>
        <v>-85.071303880580857</v>
      </c>
      <c r="P823" s="310">
        <f t="shared" ca="1" si="366"/>
        <v>23</v>
      </c>
      <c r="Q823" s="304">
        <f t="shared" ca="1" si="367"/>
        <v>0</v>
      </c>
      <c r="R823" s="306">
        <f t="shared" ca="1" si="368"/>
        <v>0</v>
      </c>
      <c r="S823" s="307">
        <f t="shared" ca="1" si="369"/>
        <v>5.083000000000002</v>
      </c>
      <c r="T823" s="304">
        <f t="shared" ca="1" si="349"/>
        <v>49.86423000000002</v>
      </c>
      <c r="U823" s="311">
        <f t="shared" ca="1" si="350"/>
        <v>0</v>
      </c>
      <c r="V823" s="306">
        <f t="shared" ca="1" si="351"/>
        <v>1.2258470628498972</v>
      </c>
      <c r="W823" s="304">
        <f t="shared" ca="1" si="352"/>
        <v>43.237129382034105</v>
      </c>
      <c r="Y823" s="314" t="str">
        <f t="shared" ca="1" si="370"/>
        <v/>
      </c>
      <c r="Z823" s="315" t="str">
        <f t="shared" ca="1" si="371"/>
        <v/>
      </c>
      <c r="AA823" s="316" t="str">
        <f t="shared" ca="1" si="372"/>
        <v/>
      </c>
      <c r="AC823" s="310" t="e">
        <f t="shared" ca="1" si="373"/>
        <v>#N/A</v>
      </c>
      <c r="AD823" s="323" t="e">
        <f t="shared" ca="1" si="374"/>
        <v>#N/A</v>
      </c>
      <c r="AE823" s="324" t="e">
        <f t="shared" ca="1" si="353"/>
        <v>#N/A</v>
      </c>
      <c r="AG823" s="306">
        <f t="shared" ca="1" si="375"/>
        <v>1.2675324126689116</v>
      </c>
      <c r="AH823" s="304">
        <f t="shared" ca="1" si="376"/>
        <v>-8.5061933789377093</v>
      </c>
    </row>
    <row r="824" spans="1:34" x14ac:dyDescent="0.2">
      <c r="A824" s="347">
        <f t="shared" ca="1" si="354"/>
        <v>1E-4</v>
      </c>
      <c r="B824" s="304">
        <f t="shared" ca="1" si="355"/>
        <v>29.243800000000046</v>
      </c>
      <c r="D824" s="306">
        <f t="shared" ca="1" si="356"/>
        <v>-0.73081997064500015</v>
      </c>
      <c r="E824" s="307">
        <f t="shared" ca="1" si="357"/>
        <v>-1.3352301047503801</v>
      </c>
      <c r="F824" s="304">
        <f t="shared" ca="1" si="358"/>
        <v>1.5221488961745069</v>
      </c>
      <c r="G824" s="306">
        <f t="shared" ca="1" si="359"/>
        <v>9.2082855555772642</v>
      </c>
      <c r="H824" s="307">
        <f t="shared" ca="1" si="360"/>
        <v>-106.78254738822274</v>
      </c>
      <c r="I824" s="304">
        <f t="shared" ca="1" si="361"/>
        <v>107.17884562538956</v>
      </c>
      <c r="J824" s="306">
        <f t="shared" ca="1" si="362"/>
        <v>746.86410190403069</v>
      </c>
      <c r="K824" s="307">
        <f t="shared" ca="1" si="363"/>
        <v>-6.9230871269100165</v>
      </c>
      <c r="L824" s="304">
        <f t="shared" ca="1" si="348"/>
        <v>746.89618813345214</v>
      </c>
      <c r="M824" s="306">
        <f t="shared" ca="1" si="364"/>
        <v>-1.4847751380628227</v>
      </c>
      <c r="N824" s="304">
        <f t="shared" ca="1" si="365"/>
        <v>-85.071348936953854</v>
      </c>
      <c r="P824" s="310">
        <f t="shared" ca="1" si="366"/>
        <v>23</v>
      </c>
      <c r="Q824" s="304">
        <f t="shared" ca="1" si="367"/>
        <v>0</v>
      </c>
      <c r="R824" s="306">
        <f t="shared" ca="1" si="368"/>
        <v>0</v>
      </c>
      <c r="S824" s="307">
        <f t="shared" ca="1" si="369"/>
        <v>5.083000000000002</v>
      </c>
      <c r="T824" s="304">
        <f t="shared" ca="1" si="349"/>
        <v>49.86423000000002</v>
      </c>
      <c r="U824" s="311">
        <f t="shared" ca="1" si="350"/>
        <v>0</v>
      </c>
      <c r="V824" s="306">
        <f t="shared" ca="1" si="351"/>
        <v>1.2258483718406552</v>
      </c>
      <c r="W824" s="304">
        <f t="shared" ca="1" si="352"/>
        <v>43.237277817071572</v>
      </c>
      <c r="Y824" s="314" t="str">
        <f t="shared" ca="1" si="370"/>
        <v/>
      </c>
      <c r="Z824" s="315" t="str">
        <f t="shared" ca="1" si="371"/>
        <v/>
      </c>
      <c r="AA824" s="316" t="str">
        <f t="shared" ca="1" si="372"/>
        <v/>
      </c>
      <c r="AC824" s="310" t="e">
        <f t="shared" ca="1" si="373"/>
        <v>#N/A</v>
      </c>
      <c r="AD824" s="323" t="e">
        <f t="shared" ca="1" si="374"/>
        <v>#N/A</v>
      </c>
      <c r="AE824" s="324" t="e">
        <f t="shared" ca="1" si="353"/>
        <v>#N/A</v>
      </c>
      <c r="AG824" s="306">
        <f t="shared" ca="1" si="375"/>
        <v>1.2675038728539203</v>
      </c>
      <c r="AH824" s="304">
        <f t="shared" ca="1" si="376"/>
        <v>-8.5062225815530379</v>
      </c>
    </row>
    <row r="825" spans="1:34" x14ac:dyDescent="0.2">
      <c r="A825" s="347">
        <f t="shared" ca="1" si="354"/>
        <v>1E-4</v>
      </c>
      <c r="B825" s="304">
        <f t="shared" ca="1" si="355"/>
        <v>29.243900000000046</v>
      </c>
      <c r="D825" s="306">
        <f t="shared" ca="1" si="356"/>
        <v>-0.73081581515320049</v>
      </c>
      <c r="E825" s="307">
        <f t="shared" ca="1" si="357"/>
        <v>-1.3352004357756826</v>
      </c>
      <c r="F825" s="304">
        <f t="shared" ca="1" si="358"/>
        <v>1.5221208754148303</v>
      </c>
      <c r="G825" s="306">
        <f t="shared" ca="1" si="359"/>
        <v>9.2082124739957489</v>
      </c>
      <c r="H825" s="307">
        <f t="shared" ca="1" si="360"/>
        <v>-106.78268090826631</v>
      </c>
      <c r="I825" s="304">
        <f t="shared" ca="1" si="361"/>
        <v>107.17897237295605</v>
      </c>
      <c r="J825" s="306">
        <f t="shared" ca="1" si="362"/>
        <v>746.86410190403069</v>
      </c>
      <c r="K825" s="307">
        <f t="shared" ca="1" si="363"/>
        <v>-6.9337653883248409</v>
      </c>
      <c r="L825" s="304">
        <f t="shared" ca="1" si="348"/>
        <v>746.89628718810388</v>
      </c>
      <c r="M825" s="306">
        <f t="shared" ca="1" si="364"/>
        <v>-1.4847759244367795</v>
      </c>
      <c r="N825" s="304">
        <f t="shared" ca="1" si="365"/>
        <v>-85.071393992862696</v>
      </c>
      <c r="P825" s="310">
        <f t="shared" ca="1" si="366"/>
        <v>23</v>
      </c>
      <c r="Q825" s="304">
        <f t="shared" ca="1" si="367"/>
        <v>0</v>
      </c>
      <c r="R825" s="306">
        <f t="shared" ca="1" si="368"/>
        <v>0</v>
      </c>
      <c r="S825" s="307">
        <f t="shared" ca="1" si="369"/>
        <v>5.083000000000002</v>
      </c>
      <c r="T825" s="304">
        <f t="shared" ca="1" si="349"/>
        <v>49.86423000000002</v>
      </c>
      <c r="U825" s="311">
        <f t="shared" ca="1" si="350"/>
        <v>0</v>
      </c>
      <c r="V825" s="306">
        <f t="shared" ca="1" si="351"/>
        <v>1.2258496808344477</v>
      </c>
      <c r="W825" s="304">
        <f t="shared" ca="1" si="352"/>
        <v>43.237426250252796</v>
      </c>
      <c r="Y825" s="314" t="str">
        <f t="shared" ca="1" si="370"/>
        <v/>
      </c>
      <c r="Z825" s="315" t="str">
        <f t="shared" ca="1" si="371"/>
        <v/>
      </c>
      <c r="AA825" s="316" t="str">
        <f t="shared" ca="1" si="372"/>
        <v/>
      </c>
      <c r="AC825" s="310" t="e">
        <f t="shared" ca="1" si="373"/>
        <v>#N/A</v>
      </c>
      <c r="AD825" s="323" t="e">
        <f t="shared" ca="1" si="374"/>
        <v>#N/A</v>
      </c>
      <c r="AE825" s="324" t="e">
        <f t="shared" ca="1" si="353"/>
        <v>#N/A</v>
      </c>
      <c r="AG825" s="306">
        <f t="shared" ca="1" si="375"/>
        <v>1.2674753333912463</v>
      </c>
      <c r="AH825" s="304">
        <f t="shared" ca="1" si="376"/>
        <v>-8.5062517838031777</v>
      </c>
    </row>
    <row r="826" spans="1:34" x14ac:dyDescent="0.2">
      <c r="A826" s="347">
        <f t="shared" ca="1" si="354"/>
        <v>1E-4</v>
      </c>
      <c r="B826" s="304">
        <f t="shared" ca="1" si="355"/>
        <v>29.244000000000046</v>
      </c>
      <c r="D826" s="306">
        <f t="shared" ca="1" si="356"/>
        <v>-0.73081165965247097</v>
      </c>
      <c r="E826" s="307">
        <f t="shared" ca="1" si="357"/>
        <v>-1.3351707671720341</v>
      </c>
      <c r="F826" s="304">
        <f t="shared" ca="1" si="358"/>
        <v>1.5220928550501633</v>
      </c>
      <c r="G826" s="306">
        <f t="shared" ca="1" si="359"/>
        <v>9.2081393928297839</v>
      </c>
      <c r="H826" s="307">
        <f t="shared" ca="1" si="360"/>
        <v>-106.78281442534303</v>
      </c>
      <c r="I826" s="304">
        <f t="shared" ca="1" si="361"/>
        <v>107.17909911766861</v>
      </c>
      <c r="J826" s="306">
        <f t="shared" ca="1" si="362"/>
        <v>746.86410190403069</v>
      </c>
      <c r="K826" s="307">
        <f t="shared" ca="1" si="363"/>
        <v>-6.9444436630915209</v>
      </c>
      <c r="L826" s="304">
        <f t="shared" ca="1" si="348"/>
        <v>746.8963863955322</v>
      </c>
      <c r="M826" s="306">
        <f t="shared" ca="1" si="364"/>
        <v>-1.4847767108026355</v>
      </c>
      <c r="N826" s="304">
        <f t="shared" ca="1" si="365"/>
        <v>-85.071439048307397</v>
      </c>
      <c r="P826" s="310">
        <f t="shared" ca="1" si="366"/>
        <v>23</v>
      </c>
      <c r="Q826" s="304">
        <f t="shared" ca="1" si="367"/>
        <v>0</v>
      </c>
      <c r="R826" s="306">
        <f t="shared" ca="1" si="368"/>
        <v>0</v>
      </c>
      <c r="S826" s="307">
        <f t="shared" ca="1" si="369"/>
        <v>5.083000000000002</v>
      </c>
      <c r="T826" s="304">
        <f t="shared" ca="1" si="349"/>
        <v>49.86423000000002</v>
      </c>
      <c r="U826" s="311">
        <f t="shared" ca="1" si="350"/>
        <v>0</v>
      </c>
      <c r="V826" s="306">
        <f t="shared" ca="1" si="351"/>
        <v>1.2258509898312759</v>
      </c>
      <c r="W826" s="304">
        <f t="shared" ca="1" si="352"/>
        <v>43.23757468157779</v>
      </c>
      <c r="Y826" s="314" t="str">
        <f t="shared" ca="1" si="370"/>
        <v/>
      </c>
      <c r="Z826" s="315" t="str">
        <f t="shared" ca="1" si="371"/>
        <v/>
      </c>
      <c r="AA826" s="316" t="str">
        <f t="shared" ca="1" si="372"/>
        <v/>
      </c>
      <c r="AC826" s="310" t="e">
        <f t="shared" ca="1" si="373"/>
        <v>#N/A</v>
      </c>
      <c r="AD826" s="323" t="e">
        <f t="shared" ca="1" si="374"/>
        <v>#N/A</v>
      </c>
      <c r="AE826" s="324" t="e">
        <f t="shared" ca="1" si="353"/>
        <v>#N/A</v>
      </c>
      <c r="AG826" s="306">
        <f t="shared" ca="1" si="375"/>
        <v>1.2674467942808878</v>
      </c>
      <c r="AH826" s="304">
        <f t="shared" ca="1" si="376"/>
        <v>-8.5062809856881323</v>
      </c>
    </row>
    <row r="827" spans="1:34" x14ac:dyDescent="0.2">
      <c r="A827" s="347">
        <f t="shared" ca="1" si="354"/>
        <v>1E-4</v>
      </c>
      <c r="B827" s="304">
        <f t="shared" ca="1" si="355"/>
        <v>29.244100000000046</v>
      </c>
      <c r="D827" s="306">
        <f t="shared" ca="1" si="356"/>
        <v>-0.7308075041428117</v>
      </c>
      <c r="E827" s="307">
        <f t="shared" ca="1" si="357"/>
        <v>-1.3351410989394346</v>
      </c>
      <c r="F827" s="304">
        <f t="shared" ca="1" si="358"/>
        <v>1.5220648350805055</v>
      </c>
      <c r="G827" s="306">
        <f t="shared" ca="1" si="359"/>
        <v>9.2080663120793691</v>
      </c>
      <c r="H827" s="307">
        <f t="shared" ca="1" si="360"/>
        <v>-106.78294793945292</v>
      </c>
      <c r="I827" s="304">
        <f t="shared" ca="1" si="361"/>
        <v>107.17922585952729</v>
      </c>
      <c r="J827" s="306">
        <f t="shared" ca="1" si="362"/>
        <v>746.86410190403069</v>
      </c>
      <c r="K827" s="307">
        <f t="shared" ca="1" si="363"/>
        <v>-6.9551219512097608</v>
      </c>
      <c r="L827" s="304">
        <f t="shared" ca="1" si="348"/>
        <v>746.89648575573744</v>
      </c>
      <c r="M827" s="306">
        <f t="shared" ca="1" si="364"/>
        <v>-1.4847774971603906</v>
      </c>
      <c r="N827" s="304">
        <f t="shared" ca="1" si="365"/>
        <v>-85.071484103287958</v>
      </c>
      <c r="P827" s="310">
        <f t="shared" ca="1" si="366"/>
        <v>23</v>
      </c>
      <c r="Q827" s="304">
        <f t="shared" ca="1" si="367"/>
        <v>0</v>
      </c>
      <c r="R827" s="306">
        <f t="shared" ca="1" si="368"/>
        <v>0</v>
      </c>
      <c r="S827" s="307">
        <f t="shared" ca="1" si="369"/>
        <v>5.083000000000002</v>
      </c>
      <c r="T827" s="304">
        <f t="shared" ca="1" si="349"/>
        <v>49.86423000000002</v>
      </c>
      <c r="U827" s="311">
        <f t="shared" ca="1" si="350"/>
        <v>0</v>
      </c>
      <c r="V827" s="306">
        <f t="shared" ca="1" si="351"/>
        <v>1.2258522988311389</v>
      </c>
      <c r="W827" s="304">
        <f t="shared" ca="1" si="352"/>
        <v>43.237723111046549</v>
      </c>
      <c r="Y827" s="314" t="str">
        <f t="shared" ca="1" si="370"/>
        <v/>
      </c>
      <c r="Z827" s="315" t="str">
        <f t="shared" ca="1" si="371"/>
        <v/>
      </c>
      <c r="AA827" s="316" t="str">
        <f t="shared" ca="1" si="372"/>
        <v/>
      </c>
      <c r="AC827" s="310" t="e">
        <f t="shared" ca="1" si="373"/>
        <v>#N/A</v>
      </c>
      <c r="AD827" s="323" t="e">
        <f t="shared" ca="1" si="374"/>
        <v>#N/A</v>
      </c>
      <c r="AE827" s="324" t="e">
        <f t="shared" ca="1" si="353"/>
        <v>#N/A</v>
      </c>
      <c r="AG827" s="306">
        <f t="shared" ca="1" si="375"/>
        <v>1.2674182555228395</v>
      </c>
      <c r="AH827" s="304">
        <f t="shared" ca="1" si="376"/>
        <v>-8.5063101872079034</v>
      </c>
    </row>
    <row r="828" spans="1:34" x14ac:dyDescent="0.2">
      <c r="A828" s="347">
        <f t="shared" ca="1" si="354"/>
        <v>1E-4</v>
      </c>
      <c r="B828" s="304">
        <f t="shared" ca="1" si="355"/>
        <v>29.244200000000045</v>
      </c>
      <c r="D828" s="306">
        <f t="shared" ca="1" si="356"/>
        <v>-0.73080334862422369</v>
      </c>
      <c r="E828" s="307">
        <f t="shared" ca="1" si="357"/>
        <v>-1.335111431077884</v>
      </c>
      <c r="F828" s="304">
        <f t="shared" ca="1" si="358"/>
        <v>1.5220368155058583</v>
      </c>
      <c r="G828" s="306">
        <f t="shared" ca="1" si="359"/>
        <v>9.2079932317445063</v>
      </c>
      <c r="H828" s="307">
        <f t="shared" ca="1" si="360"/>
        <v>-106.78308145059603</v>
      </c>
      <c r="I828" s="304">
        <f t="shared" ca="1" si="361"/>
        <v>107.17935259853213</v>
      </c>
      <c r="J828" s="306">
        <f t="shared" ca="1" si="362"/>
        <v>746.86410190403069</v>
      </c>
      <c r="K828" s="307">
        <f t="shared" ca="1" si="363"/>
        <v>-6.9658002526792631</v>
      </c>
      <c r="L828" s="304">
        <f t="shared" ca="1" si="348"/>
        <v>746.89658526872017</v>
      </c>
      <c r="M828" s="306">
        <f t="shared" ca="1" si="364"/>
        <v>-1.4847782835100451</v>
      </c>
      <c r="N828" s="304">
        <f t="shared" ca="1" si="365"/>
        <v>-85.071529157804378</v>
      </c>
      <c r="P828" s="310">
        <f t="shared" ca="1" si="366"/>
        <v>23</v>
      </c>
      <c r="Q828" s="304">
        <f t="shared" ca="1" si="367"/>
        <v>0</v>
      </c>
      <c r="R828" s="306">
        <f t="shared" ca="1" si="368"/>
        <v>0</v>
      </c>
      <c r="S828" s="307">
        <f t="shared" ca="1" si="369"/>
        <v>5.083000000000002</v>
      </c>
      <c r="T828" s="304">
        <f t="shared" ca="1" si="349"/>
        <v>49.86423000000002</v>
      </c>
      <c r="U828" s="311">
        <f t="shared" ca="1" si="350"/>
        <v>0</v>
      </c>
      <c r="V828" s="306">
        <f t="shared" ca="1" si="351"/>
        <v>1.2258536078340365</v>
      </c>
      <c r="W828" s="304">
        <f t="shared" ca="1" si="352"/>
        <v>43.2378715386591</v>
      </c>
      <c r="Y828" s="314" t="str">
        <f t="shared" ca="1" si="370"/>
        <v/>
      </c>
      <c r="Z828" s="315" t="str">
        <f t="shared" ca="1" si="371"/>
        <v/>
      </c>
      <c r="AA828" s="316" t="str">
        <f t="shared" ca="1" si="372"/>
        <v/>
      </c>
      <c r="AC828" s="310" t="e">
        <f t="shared" ca="1" si="373"/>
        <v>#N/A</v>
      </c>
      <c r="AD828" s="323" t="e">
        <f t="shared" ca="1" si="374"/>
        <v>#N/A</v>
      </c>
      <c r="AE828" s="324" t="e">
        <f t="shared" ca="1" si="353"/>
        <v>#N/A</v>
      </c>
      <c r="AG828" s="306">
        <f t="shared" ca="1" si="375"/>
        <v>1.2673897171171067</v>
      </c>
      <c r="AH828" s="304">
        <f t="shared" ca="1" si="376"/>
        <v>-8.5063393883624894</v>
      </c>
    </row>
    <row r="829" spans="1:34" x14ac:dyDescent="0.2">
      <c r="A829" s="347">
        <f t="shared" ca="1" si="354"/>
        <v>1E-4</v>
      </c>
      <c r="B829" s="304">
        <f t="shared" ca="1" si="355"/>
        <v>29.244300000000045</v>
      </c>
      <c r="D829" s="306">
        <f t="shared" ca="1" si="356"/>
        <v>-0.73079919309670749</v>
      </c>
      <c r="E829" s="307">
        <f t="shared" ca="1" si="357"/>
        <v>-1.3350817635873788</v>
      </c>
      <c r="F829" s="304">
        <f t="shared" ca="1" si="358"/>
        <v>1.5220087963262185</v>
      </c>
      <c r="G829" s="306">
        <f t="shared" ca="1" si="359"/>
        <v>9.2079201518251974</v>
      </c>
      <c r="H829" s="307">
        <f t="shared" ca="1" si="360"/>
        <v>-106.78321495877239</v>
      </c>
      <c r="I829" s="304">
        <f t="shared" ca="1" si="361"/>
        <v>107.17947933468318</v>
      </c>
      <c r="J829" s="306">
        <f t="shared" ca="1" si="362"/>
        <v>746.86410190403069</v>
      </c>
      <c r="K829" s="307">
        <f t="shared" ca="1" si="363"/>
        <v>-6.9764785674997318</v>
      </c>
      <c r="L829" s="304">
        <f t="shared" ca="1" si="348"/>
        <v>746.89668493448085</v>
      </c>
      <c r="M829" s="306">
        <f t="shared" ca="1" si="364"/>
        <v>-1.484779069851599</v>
      </c>
      <c r="N829" s="304">
        <f t="shared" ca="1" si="365"/>
        <v>-85.071574211856671</v>
      </c>
      <c r="P829" s="310">
        <f t="shared" ca="1" si="366"/>
        <v>23</v>
      </c>
      <c r="Q829" s="304">
        <f t="shared" ca="1" si="367"/>
        <v>0</v>
      </c>
      <c r="R829" s="306">
        <f t="shared" ca="1" si="368"/>
        <v>0</v>
      </c>
      <c r="S829" s="307">
        <f t="shared" ca="1" si="369"/>
        <v>5.083000000000002</v>
      </c>
      <c r="T829" s="304">
        <f t="shared" ca="1" si="349"/>
        <v>49.86423000000002</v>
      </c>
      <c r="U829" s="311">
        <f t="shared" ca="1" si="350"/>
        <v>0</v>
      </c>
      <c r="V829" s="306">
        <f t="shared" ca="1" si="351"/>
        <v>1.2258549168399693</v>
      </c>
      <c r="W829" s="304">
        <f t="shared" ca="1" si="352"/>
        <v>43.238019964415457</v>
      </c>
      <c r="Y829" s="314" t="str">
        <f t="shared" ca="1" si="370"/>
        <v/>
      </c>
      <c r="Z829" s="315" t="str">
        <f t="shared" ca="1" si="371"/>
        <v/>
      </c>
      <c r="AA829" s="316" t="str">
        <f t="shared" ca="1" si="372"/>
        <v/>
      </c>
      <c r="AC829" s="310" t="e">
        <f t="shared" ca="1" si="373"/>
        <v>#N/A</v>
      </c>
      <c r="AD829" s="323" t="e">
        <f t="shared" ca="1" si="374"/>
        <v>#N/A</v>
      </c>
      <c r="AE829" s="324" t="e">
        <f t="shared" ca="1" si="353"/>
        <v>#N/A</v>
      </c>
      <c r="AG829" s="306">
        <f t="shared" ca="1" si="375"/>
        <v>1.2673611790636805</v>
      </c>
      <c r="AH829" s="304">
        <f t="shared" ca="1" si="376"/>
        <v>-8.5063685891518954</v>
      </c>
    </row>
    <row r="830" spans="1:34" x14ac:dyDescent="0.2">
      <c r="A830" s="347">
        <f t="shared" ca="1" si="354"/>
        <v>1E-4</v>
      </c>
      <c r="B830" s="304">
        <f t="shared" ca="1" si="355"/>
        <v>29.244400000000045</v>
      </c>
      <c r="D830" s="306">
        <f t="shared" ca="1" si="356"/>
        <v>-0.73079503756026465</v>
      </c>
      <c r="E830" s="307">
        <f t="shared" ca="1" si="357"/>
        <v>-1.3350520964679156</v>
      </c>
      <c r="F830" s="304">
        <f t="shared" ca="1" si="358"/>
        <v>1.5219807775415841</v>
      </c>
      <c r="G830" s="306">
        <f t="shared" ca="1" si="359"/>
        <v>9.2078470723214405</v>
      </c>
      <c r="H830" s="307">
        <f t="shared" ca="1" si="360"/>
        <v>-106.78334846398204</v>
      </c>
      <c r="I830" s="304">
        <f t="shared" ca="1" si="361"/>
        <v>107.17960606798046</v>
      </c>
      <c r="J830" s="306">
        <f t="shared" ca="1" si="362"/>
        <v>746.86410190403069</v>
      </c>
      <c r="K830" s="307">
        <f t="shared" ca="1" si="363"/>
        <v>-6.9871568956708696</v>
      </c>
      <c r="L830" s="304">
        <f t="shared" ca="1" si="348"/>
        <v>746.89678475302003</v>
      </c>
      <c r="M830" s="306">
        <f t="shared" ca="1" si="364"/>
        <v>-1.4847798561850525</v>
      </c>
      <c r="N830" s="304">
        <f t="shared" ca="1" si="365"/>
        <v>-85.071619265444852</v>
      </c>
      <c r="P830" s="310">
        <f t="shared" ca="1" si="366"/>
        <v>23</v>
      </c>
      <c r="Q830" s="304">
        <f t="shared" ca="1" si="367"/>
        <v>0</v>
      </c>
      <c r="R830" s="306">
        <f t="shared" ca="1" si="368"/>
        <v>0</v>
      </c>
      <c r="S830" s="307">
        <f t="shared" ca="1" si="369"/>
        <v>5.083000000000002</v>
      </c>
      <c r="T830" s="304">
        <f t="shared" ca="1" si="349"/>
        <v>49.86423000000002</v>
      </c>
      <c r="U830" s="311">
        <f t="shared" ca="1" si="350"/>
        <v>0</v>
      </c>
      <c r="V830" s="306">
        <f t="shared" ca="1" si="351"/>
        <v>1.2258562258489369</v>
      </c>
      <c r="W830" s="304">
        <f t="shared" ca="1" si="352"/>
        <v>43.238168388315643</v>
      </c>
      <c r="Y830" s="314" t="str">
        <f t="shared" ca="1" si="370"/>
        <v/>
      </c>
      <c r="Z830" s="315" t="str">
        <f t="shared" ca="1" si="371"/>
        <v/>
      </c>
      <c r="AA830" s="316" t="str">
        <f t="shared" ca="1" si="372"/>
        <v/>
      </c>
      <c r="AC830" s="310" t="e">
        <f t="shared" ca="1" si="373"/>
        <v>#N/A</v>
      </c>
      <c r="AD830" s="323" t="e">
        <f t="shared" ca="1" si="374"/>
        <v>#N/A</v>
      </c>
      <c r="AE830" s="324" t="e">
        <f t="shared" ca="1" si="353"/>
        <v>#N/A</v>
      </c>
      <c r="AG830" s="306">
        <f t="shared" ca="1" si="375"/>
        <v>1.267332641362561</v>
      </c>
      <c r="AH830" s="304">
        <f t="shared" ca="1" si="376"/>
        <v>-8.5063977895761251</v>
      </c>
    </row>
    <row r="831" spans="1:34" x14ac:dyDescent="0.2">
      <c r="A831" s="347">
        <f t="shared" ca="1" si="354"/>
        <v>1E-4</v>
      </c>
      <c r="B831" s="304">
        <f t="shared" ca="1" si="355"/>
        <v>29.244500000000045</v>
      </c>
      <c r="D831" s="306">
        <f t="shared" ca="1" si="356"/>
        <v>-0.7307908820148955</v>
      </c>
      <c r="E831" s="307">
        <f t="shared" ca="1" si="357"/>
        <v>-1.3350224297194888</v>
      </c>
      <c r="F831" s="304">
        <f t="shared" ca="1" si="358"/>
        <v>1.5219527591519508</v>
      </c>
      <c r="G831" s="306">
        <f t="shared" ca="1" si="359"/>
        <v>9.2077739932332392</v>
      </c>
      <c r="H831" s="307">
        <f t="shared" ca="1" si="360"/>
        <v>-106.78348196622501</v>
      </c>
      <c r="I831" s="304">
        <f t="shared" ca="1" si="361"/>
        <v>107.179732798424</v>
      </c>
      <c r="J831" s="306">
        <f t="shared" ca="1" si="362"/>
        <v>746.86410190403069</v>
      </c>
      <c r="K831" s="307">
        <f t="shared" ca="1" si="363"/>
        <v>-6.9978352371923798</v>
      </c>
      <c r="L831" s="304">
        <f t="shared" ca="1" si="348"/>
        <v>746.89688472433807</v>
      </c>
      <c r="M831" s="306">
        <f t="shared" ca="1" si="364"/>
        <v>-1.4847806425104058</v>
      </c>
      <c r="N831" s="304">
        <f t="shared" ca="1" si="365"/>
        <v>-85.071664318568921</v>
      </c>
      <c r="P831" s="310">
        <f t="shared" ca="1" si="366"/>
        <v>23</v>
      </c>
      <c r="Q831" s="304">
        <f t="shared" ca="1" si="367"/>
        <v>0</v>
      </c>
      <c r="R831" s="306">
        <f t="shared" ca="1" si="368"/>
        <v>0</v>
      </c>
      <c r="S831" s="307">
        <f t="shared" ca="1" si="369"/>
        <v>5.083000000000002</v>
      </c>
      <c r="T831" s="304">
        <f t="shared" ca="1" si="349"/>
        <v>49.86423000000002</v>
      </c>
      <c r="U831" s="311">
        <f t="shared" ca="1" si="350"/>
        <v>0</v>
      </c>
      <c r="V831" s="306">
        <f t="shared" ca="1" si="351"/>
        <v>1.2258575348609395</v>
      </c>
      <c r="W831" s="304">
        <f t="shared" ca="1" si="352"/>
        <v>43.238316810359656</v>
      </c>
      <c r="Y831" s="314" t="str">
        <f t="shared" ca="1" si="370"/>
        <v/>
      </c>
      <c r="Z831" s="315" t="str">
        <f t="shared" ca="1" si="371"/>
        <v/>
      </c>
      <c r="AA831" s="316" t="str">
        <f t="shared" ca="1" si="372"/>
        <v/>
      </c>
      <c r="AC831" s="310" t="e">
        <f t="shared" ca="1" si="373"/>
        <v>#N/A</v>
      </c>
      <c r="AD831" s="323" t="e">
        <f t="shared" ca="1" si="374"/>
        <v>#N/A</v>
      </c>
      <c r="AE831" s="324" t="e">
        <f t="shared" ca="1" si="353"/>
        <v>#N/A</v>
      </c>
      <c r="AG831" s="306">
        <f t="shared" ca="1" si="375"/>
        <v>1.2673041040137445</v>
      </c>
      <c r="AH831" s="304">
        <f t="shared" ca="1" si="376"/>
        <v>-8.5064269896351821</v>
      </c>
    </row>
    <row r="832" spans="1:34" x14ac:dyDescent="0.2">
      <c r="A832" s="347">
        <f t="shared" ca="1" si="354"/>
        <v>1E-4</v>
      </c>
      <c r="B832" s="304">
        <f t="shared" ca="1" si="355"/>
        <v>29.244600000000045</v>
      </c>
      <c r="D832" s="306">
        <f t="shared" ca="1" si="356"/>
        <v>-0.7307867264605995</v>
      </c>
      <c r="E832" s="307">
        <f t="shared" ca="1" si="357"/>
        <v>-1.3349927633421004</v>
      </c>
      <c r="F832" s="304">
        <f t="shared" ca="1" si="358"/>
        <v>1.5219247411573202</v>
      </c>
      <c r="G832" s="306">
        <f t="shared" ca="1" si="359"/>
        <v>9.2077009145605935</v>
      </c>
      <c r="H832" s="307">
        <f t="shared" ca="1" si="360"/>
        <v>-106.78361546550134</v>
      </c>
      <c r="I832" s="304">
        <f t="shared" ca="1" si="361"/>
        <v>107.17985952601383</v>
      </c>
      <c r="J832" s="306">
        <f t="shared" ca="1" si="362"/>
        <v>746.86410190403069</v>
      </c>
      <c r="K832" s="307">
        <f t="shared" ca="1" si="363"/>
        <v>-7.0085135920639665</v>
      </c>
      <c r="L832" s="304">
        <f t="shared" ca="1" si="348"/>
        <v>746.89698484843575</v>
      </c>
      <c r="M832" s="306">
        <f t="shared" ca="1" si="364"/>
        <v>-1.4847814288276586</v>
      </c>
      <c r="N832" s="304">
        <f t="shared" ca="1" si="365"/>
        <v>-85.071709371228863</v>
      </c>
      <c r="P832" s="310">
        <f t="shared" ca="1" si="366"/>
        <v>23</v>
      </c>
      <c r="Q832" s="304">
        <f t="shared" ca="1" si="367"/>
        <v>0</v>
      </c>
      <c r="R832" s="306">
        <f t="shared" ca="1" si="368"/>
        <v>0</v>
      </c>
      <c r="S832" s="307">
        <f t="shared" ca="1" si="369"/>
        <v>5.083000000000002</v>
      </c>
      <c r="T832" s="304">
        <f t="shared" ca="1" si="349"/>
        <v>49.86423000000002</v>
      </c>
      <c r="U832" s="311">
        <f t="shared" ca="1" si="350"/>
        <v>0</v>
      </c>
      <c r="V832" s="306">
        <f t="shared" ca="1" si="351"/>
        <v>1.2258588438759768</v>
      </c>
      <c r="W832" s="304">
        <f t="shared" ca="1" si="352"/>
        <v>43.238465230547497</v>
      </c>
      <c r="Y832" s="314" t="str">
        <f t="shared" ca="1" si="370"/>
        <v/>
      </c>
      <c r="Z832" s="315" t="str">
        <f t="shared" ca="1" si="371"/>
        <v/>
      </c>
      <c r="AA832" s="316" t="str">
        <f t="shared" ca="1" si="372"/>
        <v/>
      </c>
      <c r="AC832" s="310" t="e">
        <f t="shared" ca="1" si="373"/>
        <v>#N/A</v>
      </c>
      <c r="AD832" s="323" t="e">
        <f t="shared" ca="1" si="374"/>
        <v>#N/A</v>
      </c>
      <c r="AE832" s="324" t="e">
        <f t="shared" ca="1" si="353"/>
        <v>#N/A</v>
      </c>
      <c r="AG832" s="306">
        <f t="shared" ca="1" si="375"/>
        <v>1.2672755670172311</v>
      </c>
      <c r="AH832" s="304">
        <f t="shared" ca="1" si="376"/>
        <v>-8.5064561893290662</v>
      </c>
    </row>
    <row r="833" spans="1:34" x14ac:dyDescent="0.2">
      <c r="A833" s="347">
        <f t="shared" ca="1" si="354"/>
        <v>1E-4</v>
      </c>
      <c r="B833" s="304">
        <f t="shared" ca="1" si="355"/>
        <v>29.244700000000044</v>
      </c>
      <c r="D833" s="306">
        <f t="shared" ca="1" si="356"/>
        <v>-0.73078257089738019</v>
      </c>
      <c r="E833" s="307">
        <f t="shared" ca="1" si="357"/>
        <v>-1.3349630973357485</v>
      </c>
      <c r="F833" s="304">
        <f t="shared" ca="1" si="358"/>
        <v>1.5218967235576926</v>
      </c>
      <c r="G833" s="306">
        <f t="shared" ca="1" si="359"/>
        <v>9.2076278363035033</v>
      </c>
      <c r="H833" s="307">
        <f t="shared" ca="1" si="360"/>
        <v>-106.78374896181107</v>
      </c>
      <c r="I833" s="304">
        <f t="shared" ca="1" si="361"/>
        <v>107.17998625074999</v>
      </c>
      <c r="J833" s="306">
        <f t="shared" ca="1" si="362"/>
        <v>746.86410190403069</v>
      </c>
      <c r="K833" s="307">
        <f t="shared" ca="1" si="363"/>
        <v>-7.0191919602853323</v>
      </c>
      <c r="L833" s="304">
        <f t="shared" ca="1" si="348"/>
        <v>746.89708512531342</v>
      </c>
      <c r="M833" s="306">
        <f t="shared" ca="1" si="364"/>
        <v>-1.4847822151368113</v>
      </c>
      <c r="N833" s="304">
        <f t="shared" ca="1" si="365"/>
        <v>-85.071754423424707</v>
      </c>
      <c r="P833" s="310">
        <f t="shared" ca="1" si="366"/>
        <v>23</v>
      </c>
      <c r="Q833" s="304">
        <f t="shared" ca="1" si="367"/>
        <v>0</v>
      </c>
      <c r="R833" s="306">
        <f t="shared" ca="1" si="368"/>
        <v>0</v>
      </c>
      <c r="S833" s="307">
        <f t="shared" ca="1" si="369"/>
        <v>5.083000000000002</v>
      </c>
      <c r="T833" s="304">
        <f t="shared" ca="1" si="349"/>
        <v>49.86423000000002</v>
      </c>
      <c r="U833" s="311">
        <f t="shared" ca="1" si="350"/>
        <v>0</v>
      </c>
      <c r="V833" s="306">
        <f t="shared" ca="1" si="351"/>
        <v>1.2258601528940489</v>
      </c>
      <c r="W833" s="304">
        <f t="shared" ca="1" si="352"/>
        <v>43.238613648879202</v>
      </c>
      <c r="Y833" s="314" t="str">
        <f t="shared" ca="1" si="370"/>
        <v/>
      </c>
      <c r="Z833" s="315" t="str">
        <f t="shared" ca="1" si="371"/>
        <v/>
      </c>
      <c r="AA833" s="316" t="str">
        <f t="shared" ca="1" si="372"/>
        <v/>
      </c>
      <c r="AC833" s="310" t="e">
        <f t="shared" ca="1" si="373"/>
        <v>#N/A</v>
      </c>
      <c r="AD833" s="323" t="e">
        <f t="shared" ca="1" si="374"/>
        <v>#N/A</v>
      </c>
      <c r="AE833" s="324" t="e">
        <f t="shared" ca="1" si="353"/>
        <v>#N/A</v>
      </c>
      <c r="AG833" s="306">
        <f t="shared" ca="1" si="375"/>
        <v>1.267247030373019</v>
      </c>
      <c r="AH833" s="304">
        <f t="shared" ca="1" si="376"/>
        <v>-8.5064853886577776</v>
      </c>
    </row>
    <row r="834" spans="1:34" x14ac:dyDescent="0.2">
      <c r="A834" s="347">
        <f t="shared" ca="1" si="354"/>
        <v>1E-4</v>
      </c>
      <c r="B834" s="304">
        <f t="shared" ca="1" si="355"/>
        <v>29.244800000000044</v>
      </c>
      <c r="D834" s="306">
        <f t="shared" ca="1" si="356"/>
        <v>-0.73077841532523791</v>
      </c>
      <c r="E834" s="307">
        <f t="shared" ca="1" si="357"/>
        <v>-1.3349334317004278</v>
      </c>
      <c r="F834" s="304">
        <f t="shared" ca="1" si="358"/>
        <v>1.5218687063530634</v>
      </c>
      <c r="G834" s="306">
        <f t="shared" ca="1" si="359"/>
        <v>9.2075547584619706</v>
      </c>
      <c r="H834" s="307">
        <f t="shared" ca="1" si="360"/>
        <v>-106.78388245515424</v>
      </c>
      <c r="I834" s="304">
        <f t="shared" ca="1" si="361"/>
        <v>107.18011297263254</v>
      </c>
      <c r="J834" s="306">
        <f t="shared" ca="1" si="362"/>
        <v>746.86410190403069</v>
      </c>
      <c r="K834" s="307">
        <f t="shared" ca="1" si="363"/>
        <v>-7.0298703418561805</v>
      </c>
      <c r="L834" s="304">
        <f t="shared" ca="1" si="348"/>
        <v>746.89718555497154</v>
      </c>
      <c r="M834" s="306">
        <f t="shared" ca="1" si="364"/>
        <v>-1.484783001437864</v>
      </c>
      <c r="N834" s="304">
        <f t="shared" ca="1" si="365"/>
        <v>-85.071799475156453</v>
      </c>
      <c r="P834" s="310">
        <f t="shared" ca="1" si="366"/>
        <v>23</v>
      </c>
      <c r="Q834" s="304">
        <f t="shared" ca="1" si="367"/>
        <v>0</v>
      </c>
      <c r="R834" s="306">
        <f t="shared" ca="1" si="368"/>
        <v>0</v>
      </c>
      <c r="S834" s="307">
        <f t="shared" ca="1" si="369"/>
        <v>5.083000000000002</v>
      </c>
      <c r="T834" s="304">
        <f t="shared" ca="1" si="349"/>
        <v>49.86423000000002</v>
      </c>
      <c r="U834" s="311">
        <f t="shared" ca="1" si="350"/>
        <v>0</v>
      </c>
      <c r="V834" s="306">
        <f t="shared" ca="1" si="351"/>
        <v>1.2258614619151558</v>
      </c>
      <c r="W834" s="304">
        <f t="shared" ca="1" si="352"/>
        <v>43.238762065354784</v>
      </c>
      <c r="Y834" s="314" t="str">
        <f t="shared" ca="1" si="370"/>
        <v/>
      </c>
      <c r="Z834" s="315" t="str">
        <f t="shared" ca="1" si="371"/>
        <v/>
      </c>
      <c r="AA834" s="316" t="str">
        <f t="shared" ca="1" si="372"/>
        <v/>
      </c>
      <c r="AC834" s="310" t="e">
        <f t="shared" ca="1" si="373"/>
        <v>#N/A</v>
      </c>
      <c r="AD834" s="323" t="e">
        <f t="shared" ca="1" si="374"/>
        <v>#N/A</v>
      </c>
      <c r="AE834" s="324" t="e">
        <f t="shared" ca="1" si="353"/>
        <v>#N/A</v>
      </c>
      <c r="AG834" s="306">
        <f t="shared" ca="1" si="375"/>
        <v>1.2672184940811047</v>
      </c>
      <c r="AH834" s="304">
        <f t="shared" ca="1" si="376"/>
        <v>-8.5065145876213233</v>
      </c>
    </row>
    <row r="835" spans="1:34" x14ac:dyDescent="0.2">
      <c r="A835" s="347">
        <f t="shared" ca="1" si="354"/>
        <v>1E-4</v>
      </c>
      <c r="B835" s="304">
        <f t="shared" ca="1" si="355"/>
        <v>29.244900000000044</v>
      </c>
      <c r="D835" s="306">
        <f t="shared" ca="1" si="356"/>
        <v>-0.73077425974417254</v>
      </c>
      <c r="E835" s="307">
        <f t="shared" ca="1" si="357"/>
        <v>-1.334903766436133</v>
      </c>
      <c r="F835" s="304">
        <f t="shared" ca="1" si="358"/>
        <v>1.5218406895434282</v>
      </c>
      <c r="G835" s="306">
        <f t="shared" ca="1" si="359"/>
        <v>9.207481681035997</v>
      </c>
      <c r="H835" s="307">
        <f t="shared" ca="1" si="360"/>
        <v>-106.78401594553088</v>
      </c>
      <c r="I835" s="304">
        <f t="shared" ca="1" si="361"/>
        <v>107.18023969166147</v>
      </c>
      <c r="J835" s="306">
        <f t="shared" ca="1" si="362"/>
        <v>746.86410190403069</v>
      </c>
      <c r="K835" s="307">
        <f t="shared" ca="1" si="363"/>
        <v>-7.0405487367762145</v>
      </c>
      <c r="L835" s="304">
        <f t="shared" ca="1" si="348"/>
        <v>746.89728613741079</v>
      </c>
      <c r="M835" s="306">
        <f t="shared" ca="1" si="364"/>
        <v>-1.4847837877308168</v>
      </c>
      <c r="N835" s="304">
        <f t="shared" ca="1" si="365"/>
        <v>-85.071844526424101</v>
      </c>
      <c r="P835" s="310">
        <f t="shared" ca="1" si="366"/>
        <v>23</v>
      </c>
      <c r="Q835" s="304">
        <f t="shared" ca="1" si="367"/>
        <v>0</v>
      </c>
      <c r="R835" s="306">
        <f t="shared" ca="1" si="368"/>
        <v>0</v>
      </c>
      <c r="S835" s="307">
        <f t="shared" ca="1" si="369"/>
        <v>5.083000000000002</v>
      </c>
      <c r="T835" s="304">
        <f t="shared" ca="1" si="349"/>
        <v>49.86423000000002</v>
      </c>
      <c r="U835" s="311">
        <f t="shared" ca="1" si="350"/>
        <v>0</v>
      </c>
      <c r="V835" s="306">
        <f t="shared" ca="1" si="351"/>
        <v>1.2258627709392973</v>
      </c>
      <c r="W835" s="304">
        <f t="shared" ca="1" si="352"/>
        <v>43.23891047997423</v>
      </c>
      <c r="Y835" s="314" t="str">
        <f t="shared" ca="1" si="370"/>
        <v/>
      </c>
      <c r="Z835" s="315" t="str">
        <f t="shared" ca="1" si="371"/>
        <v/>
      </c>
      <c r="AA835" s="316" t="str">
        <f t="shared" ca="1" si="372"/>
        <v/>
      </c>
      <c r="AC835" s="310" t="e">
        <f t="shared" ca="1" si="373"/>
        <v>#N/A</v>
      </c>
      <c r="AD835" s="323" t="e">
        <f t="shared" ca="1" si="374"/>
        <v>#N/A</v>
      </c>
      <c r="AE835" s="324" t="e">
        <f t="shared" ca="1" si="353"/>
        <v>#N/A</v>
      </c>
      <c r="AG835" s="306">
        <f t="shared" ca="1" si="375"/>
        <v>1.2671899581414827</v>
      </c>
      <c r="AH835" s="304">
        <f t="shared" ca="1" si="376"/>
        <v>-8.5065437862197069</v>
      </c>
    </row>
    <row r="836" spans="1:34" x14ac:dyDescent="0.2">
      <c r="A836" s="347">
        <f t="shared" ca="1" si="354"/>
        <v>1E-4</v>
      </c>
      <c r="B836" s="304">
        <f t="shared" ca="1" si="355"/>
        <v>29.245000000000044</v>
      </c>
      <c r="D836" s="306">
        <f t="shared" ca="1" si="356"/>
        <v>-0.73077010415418553</v>
      </c>
      <c r="E836" s="307">
        <f t="shared" ca="1" si="357"/>
        <v>-1.3348741015428676</v>
      </c>
      <c r="F836" s="304">
        <f t="shared" ca="1" si="358"/>
        <v>1.5218126731287911</v>
      </c>
      <c r="G836" s="306">
        <f t="shared" ca="1" si="359"/>
        <v>9.2074086040255807</v>
      </c>
      <c r="H836" s="307">
        <f t="shared" ca="1" si="360"/>
        <v>-106.78414943294104</v>
      </c>
      <c r="I836" s="304">
        <f t="shared" ca="1" si="361"/>
        <v>107.18036640783687</v>
      </c>
      <c r="J836" s="306">
        <f t="shared" ca="1" si="362"/>
        <v>746.86410190403069</v>
      </c>
      <c r="K836" s="307">
        <f t="shared" ca="1" si="363"/>
        <v>-7.0512271450451385</v>
      </c>
      <c r="L836" s="304">
        <f t="shared" ref="L836:L899" ca="1" si="377">SQRT(pos_x^2+pos_z^2)</f>
        <v>746.8973868726315</v>
      </c>
      <c r="M836" s="306">
        <f t="shared" ca="1" si="364"/>
        <v>-1.4847845740156698</v>
      </c>
      <c r="N836" s="304">
        <f t="shared" ca="1" si="365"/>
        <v>-85.07188957722768</v>
      </c>
      <c r="P836" s="310">
        <f t="shared" ca="1" si="366"/>
        <v>23</v>
      </c>
      <c r="Q836" s="304">
        <f t="shared" ca="1" si="367"/>
        <v>0</v>
      </c>
      <c r="R836" s="306">
        <f t="shared" ca="1" si="368"/>
        <v>0</v>
      </c>
      <c r="S836" s="307">
        <f t="shared" ca="1" si="369"/>
        <v>5.083000000000002</v>
      </c>
      <c r="T836" s="304">
        <f t="shared" ref="T836:T899" ca="1" si="378">m*g</f>
        <v>49.86423000000002</v>
      </c>
      <c r="U836" s="311">
        <f t="shared" ref="U836:U899" ca="1" si="379">IF(pos_xz&lt;L_rampe,Poids*COS(Beta),0)</f>
        <v>0</v>
      </c>
      <c r="V836" s="306">
        <f t="shared" ref="V836:V899" ca="1" si="380">Rho_moyen*(20000-Alt_rampe-pos_z)/(20000+Alt_rampe+pos_z)</f>
        <v>1.225864079966474</v>
      </c>
      <c r="W836" s="304">
        <f t="shared" ref="W836:W899" ca="1" si="381">1/2*Rho*Sref*Cx*vit_xz^2</f>
        <v>43.239058892737596</v>
      </c>
      <c r="Y836" s="314" t="str">
        <f t="shared" ca="1" si="370"/>
        <v/>
      </c>
      <c r="Z836" s="315" t="str">
        <f t="shared" ca="1" si="371"/>
        <v/>
      </c>
      <c r="AA836" s="316" t="str">
        <f t="shared" ca="1" si="372"/>
        <v/>
      </c>
      <c r="AC836" s="310" t="e">
        <f t="shared" ca="1" si="373"/>
        <v>#N/A</v>
      </c>
      <c r="AD836" s="323" t="e">
        <f t="shared" ca="1" si="374"/>
        <v>#N/A</v>
      </c>
      <c r="AE836" s="324" t="e">
        <f t="shared" ref="AE836:AE899" ca="1" si="382">IF(t&lt;T_para, pos_z, NA())</f>
        <v>#N/A</v>
      </c>
      <c r="AG836" s="306">
        <f t="shared" ca="1" si="375"/>
        <v>1.2671614225541585</v>
      </c>
      <c r="AH836" s="304">
        <f t="shared" ca="1" si="376"/>
        <v>-8.5065729844529248</v>
      </c>
    </row>
    <row r="837" spans="1:34" x14ac:dyDescent="0.2">
      <c r="A837" s="347">
        <f t="shared" ref="A837:A900" ca="1" si="383">IF(B836+0.01&lt;=T_ini+ROUNDUP(Temps_fin_propu,0), 0.01, IF(K836&gt;0, 0.1, 0.0001))</f>
        <v>1E-4</v>
      </c>
      <c r="B837" s="304">
        <f t="shared" ref="B837:B900" ca="1" si="384">B836+pas</f>
        <v>29.245100000000043</v>
      </c>
      <c r="D837" s="306">
        <f t="shared" ref="D837:D900" ca="1" si="385">IF(AND(L836&lt;L_rampe,Poussee&lt;Poids*SIN(M836)),0,(-W836+Poussee)/m*COS(M836)-U836/m*SIN(M836))</f>
        <v>-0.73076594855527743</v>
      </c>
      <c r="E837" s="307">
        <f t="shared" ref="E837:E900" ca="1" si="386">IF(AND(L836&lt;L_rampe,Poussee&lt;Poids*SIN(M836)),0,(-W836+Poussee)/m*SIN(M836)+U836/m*COS(M836)-Poids/m)</f>
        <v>-1.3348444370206227</v>
      </c>
      <c r="F837" s="304">
        <f t="shared" ref="F837:F900" ca="1" si="387">SQRT(acc_x^2+acc_z^2)</f>
        <v>1.5217846571091449</v>
      </c>
      <c r="G837" s="306">
        <f t="shared" ref="G837:G900" ca="1" si="388">G836+acc_x*pas</f>
        <v>9.2073355274307254</v>
      </c>
      <c r="H837" s="307">
        <f t="shared" ref="H837:H900" ca="1" si="389">H836+acc_z*pas</f>
        <v>-106.78428291738474</v>
      </c>
      <c r="I837" s="304">
        <f t="shared" ref="I837:I900" ca="1" si="390">SQRT(vit_x^2+vit_z^2)</f>
        <v>107.18049312115875</v>
      </c>
      <c r="J837" s="306">
        <f t="shared" ref="J837:J900" ca="1" si="391">J836+0.5*(vit_x+G836)*pas*(K836&gt;=0)</f>
        <v>746.86410190403069</v>
      </c>
      <c r="K837" s="307">
        <f t="shared" ref="K837:K900" ca="1" si="392">K836+0.5*(vit_z+H836)*pas</f>
        <v>-7.0619055666626549</v>
      </c>
      <c r="L837" s="304">
        <f t="shared" ca="1" si="377"/>
        <v>746.89748776063425</v>
      </c>
      <c r="M837" s="306">
        <f t="shared" ref="M837:M900" ca="1" si="393">IF(AND(L836&gt;L_rampe,G837&gt;0),ATAN2(G837,H837),$M$4)</f>
        <v>-1.4847853602924233</v>
      </c>
      <c r="N837" s="304">
        <f t="shared" ref="N837:N900" ca="1" si="394">DEGREES(Beta)</f>
        <v>-85.071934627567174</v>
      </c>
      <c r="P837" s="310">
        <f t="shared" ref="P837:P900" ca="1" si="395">MATCH(t-pas/2-T_ini,CdP_t)</f>
        <v>23</v>
      </c>
      <c r="Q837" s="304">
        <f t="shared" ref="Q837:Q900" ca="1" si="396">(INDEX(CdP,2,i_P+1)-INDEX(CdP,2,i_P+0))/(INDEX(CdP,1,i_P+1)-INDEX(CdP,1,i_P+0))*(t-pas/2-T_ini-INDEX(CdP,1,i_P+0))+INDEX(CdP,2,i_P+0)</f>
        <v>0</v>
      </c>
      <c r="R837" s="306">
        <f t="shared" ref="R837:R900" ca="1" si="397">Poussee/(g*ISP)</f>
        <v>0</v>
      </c>
      <c r="S837" s="307">
        <f t="shared" ref="S837:S900" ca="1" si="398">S836-Débit*pas</f>
        <v>5.083000000000002</v>
      </c>
      <c r="T837" s="304">
        <f t="shared" ca="1" si="378"/>
        <v>49.86423000000002</v>
      </c>
      <c r="U837" s="311">
        <f t="shared" ca="1" si="379"/>
        <v>0</v>
      </c>
      <c r="V837" s="306">
        <f t="shared" ca="1" si="380"/>
        <v>1.2258653889966846</v>
      </c>
      <c r="W837" s="304">
        <f t="shared" ca="1" si="381"/>
        <v>43.239207303644854</v>
      </c>
      <c r="Y837" s="314" t="str">
        <f t="shared" ref="Y837:Y900" ca="1" si="399">IF(AND(pos_z&lt;=0,K836&gt;0),"Impact balistique","") &amp; IF(AND(H838&lt;0,vit_z&gt;=0),"Apogée","") &amp; IF(AND(Poussee=0,Q836&gt;0),"Fin de propulsion","") &amp; IF(AND(L838&gt;L_rampe,pos_xz&lt;=L_rampe),"Sortie de rampe","")</f>
        <v/>
      </c>
      <c r="Z837" s="315" t="str">
        <f t="shared" ref="Z837:Z900" ca="1" si="400">IF(ABS(t-T_para)&lt;pas/2,"Para","")</f>
        <v/>
      </c>
      <c r="AA837" s="316" t="str">
        <f t="shared" ref="AA837:AA900" ca="1" si="401">IF(ABS(t-T_satellite)&lt;pas/2,"Satellite","")</f>
        <v/>
      </c>
      <c r="AC837" s="310" t="e">
        <f t="shared" ref="AC837:AC900" ca="1" si="402">IF(ABS(t-ROUND(t,0))&lt;0.001,t,NA())</f>
        <v>#N/A</v>
      </c>
      <c r="AD837" s="323" t="e">
        <f t="shared" ref="AD837:AD900" ca="1" si="403">IF(ABS(t-ROUND(t,0))&lt;0.001,pos_x,NA())</f>
        <v>#N/A</v>
      </c>
      <c r="AE837" s="324" t="e">
        <f t="shared" ca="1" si="382"/>
        <v>#N/A</v>
      </c>
      <c r="AG837" s="306">
        <f t="shared" ref="AG837:AG900" ca="1" si="404">IF(AND(L836&lt;L_rampe,Poussee&lt;Poids*SIN(M836)),0,(-W836+Poussee)/m-Poids*SIN(M836)/m)</f>
        <v>1.2671328873191179</v>
      </c>
      <c r="AH837" s="304">
        <f t="shared" ref="AH837:AH900" ca="1" si="405">IF(AND(L836&lt;L_rampe,Poussee&lt;Poids*SIN(M836)), g*SIN(M836), (-W836+Poussee)/m)</f>
        <v>-8.5066021823209876</v>
      </c>
    </row>
    <row r="838" spans="1:34" x14ac:dyDescent="0.2">
      <c r="A838" s="347">
        <f t="shared" ca="1" si="383"/>
        <v>1E-4</v>
      </c>
      <c r="B838" s="304">
        <f t="shared" ca="1" si="384"/>
        <v>29.245200000000043</v>
      </c>
      <c r="D838" s="306">
        <f t="shared" ca="1" si="385"/>
        <v>-0.73076179294744747</v>
      </c>
      <c r="E838" s="307">
        <f t="shared" ca="1" si="386"/>
        <v>-1.334814772869402</v>
      </c>
      <c r="F838" s="304">
        <f t="shared" ca="1" si="387"/>
        <v>1.5217566414844923</v>
      </c>
      <c r="G838" s="306">
        <f t="shared" ca="1" si="388"/>
        <v>9.2072624512514309</v>
      </c>
      <c r="H838" s="307">
        <f t="shared" ca="1" si="389"/>
        <v>-106.78441639886204</v>
      </c>
      <c r="I838" s="304">
        <f t="shared" ca="1" si="390"/>
        <v>107.18061983162713</v>
      </c>
      <c r="J838" s="306">
        <f t="shared" ca="1" si="391"/>
        <v>746.86410190403069</v>
      </c>
      <c r="K838" s="307">
        <f t="shared" ca="1" si="392"/>
        <v>-7.0725840016284671</v>
      </c>
      <c r="L838" s="304">
        <f t="shared" ca="1" si="377"/>
        <v>746.8975888014196</v>
      </c>
      <c r="M838" s="306">
        <f t="shared" ca="1" si="393"/>
        <v>-1.484786146561077</v>
      </c>
      <c r="N838" s="304">
        <f t="shared" ca="1" si="394"/>
        <v>-85.071979677442599</v>
      </c>
      <c r="P838" s="310">
        <f t="shared" ca="1" si="395"/>
        <v>23</v>
      </c>
      <c r="Q838" s="304">
        <f t="shared" ca="1" si="396"/>
        <v>0</v>
      </c>
      <c r="R838" s="306">
        <f t="shared" ca="1" si="397"/>
        <v>0</v>
      </c>
      <c r="S838" s="307">
        <f t="shared" ca="1" si="398"/>
        <v>5.083000000000002</v>
      </c>
      <c r="T838" s="304">
        <f t="shared" ca="1" si="378"/>
        <v>49.86423000000002</v>
      </c>
      <c r="U838" s="311">
        <f t="shared" ca="1" si="379"/>
        <v>0</v>
      </c>
      <c r="V838" s="306">
        <f t="shared" ca="1" si="380"/>
        <v>1.2258666980299304</v>
      </c>
      <c r="W838" s="304">
        <f t="shared" ca="1" si="381"/>
        <v>43.239355712696053</v>
      </c>
      <c r="Y838" s="314" t="str">
        <f t="shared" ca="1" si="399"/>
        <v/>
      </c>
      <c r="Z838" s="315" t="str">
        <f t="shared" ca="1" si="400"/>
        <v/>
      </c>
      <c r="AA838" s="316" t="str">
        <f t="shared" ca="1" si="401"/>
        <v/>
      </c>
      <c r="AC838" s="310" t="e">
        <f t="shared" ca="1" si="402"/>
        <v>#N/A</v>
      </c>
      <c r="AD838" s="323" t="e">
        <f t="shared" ca="1" si="403"/>
        <v>#N/A</v>
      </c>
      <c r="AE838" s="324" t="e">
        <f t="shared" ca="1" si="382"/>
        <v>#N/A</v>
      </c>
      <c r="AG838" s="306">
        <f t="shared" ca="1" si="404"/>
        <v>1.2671043524363714</v>
      </c>
      <c r="AH838" s="304">
        <f t="shared" ca="1" si="405"/>
        <v>-8.5066313798238902</v>
      </c>
    </row>
    <row r="839" spans="1:34" x14ac:dyDescent="0.2">
      <c r="A839" s="347">
        <f t="shared" ca="1" si="383"/>
        <v>1E-4</v>
      </c>
      <c r="B839" s="304">
        <f t="shared" ca="1" si="384"/>
        <v>29.245300000000043</v>
      </c>
      <c r="D839" s="306">
        <f t="shared" ca="1" si="385"/>
        <v>-0.73075763733069998</v>
      </c>
      <c r="E839" s="307">
        <f t="shared" ca="1" si="386"/>
        <v>-1.3347851090891947</v>
      </c>
      <c r="F839" s="304">
        <f t="shared" ca="1" si="387"/>
        <v>1.521728626254826</v>
      </c>
      <c r="G839" s="306">
        <f t="shared" ca="1" si="388"/>
        <v>9.2071893754876974</v>
      </c>
      <c r="H839" s="307">
        <f t="shared" ca="1" si="389"/>
        <v>-106.78454987737294</v>
      </c>
      <c r="I839" s="304">
        <f t="shared" ca="1" si="390"/>
        <v>107.18074653924204</v>
      </c>
      <c r="J839" s="306">
        <f t="shared" ca="1" si="391"/>
        <v>746.86410190403069</v>
      </c>
      <c r="K839" s="307">
        <f t="shared" ca="1" si="392"/>
        <v>-7.0832624499422785</v>
      </c>
      <c r="L839" s="304">
        <f t="shared" ca="1" si="377"/>
        <v>746.8976899949879</v>
      </c>
      <c r="M839" s="306">
        <f t="shared" ca="1" si="393"/>
        <v>-1.4847869328216314</v>
      </c>
      <c r="N839" s="304">
        <f t="shared" ca="1" si="394"/>
        <v>-85.072024726853968</v>
      </c>
      <c r="P839" s="310">
        <f t="shared" ca="1" si="395"/>
        <v>23</v>
      </c>
      <c r="Q839" s="304">
        <f t="shared" ca="1" si="396"/>
        <v>0</v>
      </c>
      <c r="R839" s="306">
        <f t="shared" ca="1" si="397"/>
        <v>0</v>
      </c>
      <c r="S839" s="307">
        <f t="shared" ca="1" si="398"/>
        <v>5.083000000000002</v>
      </c>
      <c r="T839" s="304">
        <f t="shared" ca="1" si="378"/>
        <v>49.86423000000002</v>
      </c>
      <c r="U839" s="311">
        <f t="shared" ca="1" si="379"/>
        <v>0</v>
      </c>
      <c r="V839" s="306">
        <f t="shared" ca="1" si="380"/>
        <v>1.2258680070662109</v>
      </c>
      <c r="W839" s="304">
        <f t="shared" ca="1" si="381"/>
        <v>43.239504119891166</v>
      </c>
      <c r="Y839" s="314" t="str">
        <f t="shared" ca="1" si="399"/>
        <v/>
      </c>
      <c r="Z839" s="315" t="str">
        <f t="shared" ca="1" si="400"/>
        <v/>
      </c>
      <c r="AA839" s="316" t="str">
        <f t="shared" ca="1" si="401"/>
        <v/>
      </c>
      <c r="AC839" s="310" t="e">
        <f t="shared" ca="1" si="402"/>
        <v>#N/A</v>
      </c>
      <c r="AD839" s="323" t="e">
        <f t="shared" ca="1" si="403"/>
        <v>#N/A</v>
      </c>
      <c r="AE839" s="324" t="e">
        <f t="shared" ca="1" si="382"/>
        <v>#N/A</v>
      </c>
      <c r="AG839" s="306">
        <f t="shared" ca="1" si="404"/>
        <v>1.267075817905905</v>
      </c>
      <c r="AH839" s="304">
        <f t="shared" ca="1" si="405"/>
        <v>-8.5066605769616448</v>
      </c>
    </row>
    <row r="840" spans="1:34" x14ac:dyDescent="0.2">
      <c r="A840" s="347">
        <f t="shared" ca="1" si="383"/>
        <v>1E-4</v>
      </c>
      <c r="B840" s="304">
        <f t="shared" ca="1" si="384"/>
        <v>29.245400000000043</v>
      </c>
      <c r="D840" s="306">
        <f t="shared" ca="1" si="385"/>
        <v>-0.73075348170503218</v>
      </c>
      <c r="E840" s="307">
        <f t="shared" ca="1" si="386"/>
        <v>-1.3347554456800079</v>
      </c>
      <c r="F840" s="304">
        <f t="shared" ca="1" si="387"/>
        <v>1.5217006114201517</v>
      </c>
      <c r="G840" s="306">
        <f t="shared" ca="1" si="388"/>
        <v>9.2071163001395266</v>
      </c>
      <c r="H840" s="307">
        <f t="shared" ca="1" si="389"/>
        <v>-106.78468335291751</v>
      </c>
      <c r="I840" s="304">
        <f t="shared" ca="1" si="390"/>
        <v>107.18087324400354</v>
      </c>
      <c r="J840" s="306">
        <f t="shared" ca="1" si="391"/>
        <v>746.86410190403069</v>
      </c>
      <c r="K840" s="307">
        <f t="shared" ca="1" si="392"/>
        <v>-7.0939409116037933</v>
      </c>
      <c r="L840" s="304">
        <f t="shared" ca="1" si="377"/>
        <v>746.89779134133983</v>
      </c>
      <c r="M840" s="306">
        <f t="shared" ca="1" si="393"/>
        <v>-1.4847877190740864</v>
      </c>
      <c r="N840" s="304">
        <f t="shared" ca="1" si="394"/>
        <v>-85.072069775801268</v>
      </c>
      <c r="P840" s="310">
        <f t="shared" ca="1" si="395"/>
        <v>23</v>
      </c>
      <c r="Q840" s="304">
        <f t="shared" ca="1" si="396"/>
        <v>0</v>
      </c>
      <c r="R840" s="306">
        <f t="shared" ca="1" si="397"/>
        <v>0</v>
      </c>
      <c r="S840" s="307">
        <f t="shared" ca="1" si="398"/>
        <v>5.083000000000002</v>
      </c>
      <c r="T840" s="304">
        <f t="shared" ca="1" si="378"/>
        <v>49.86423000000002</v>
      </c>
      <c r="U840" s="311">
        <f t="shared" ca="1" si="379"/>
        <v>0</v>
      </c>
      <c r="V840" s="306">
        <f t="shared" ca="1" si="380"/>
        <v>1.2258693161055259</v>
      </c>
      <c r="W840" s="304">
        <f t="shared" ca="1" si="381"/>
        <v>43.23965252523022</v>
      </c>
      <c r="Y840" s="314" t="str">
        <f t="shared" ca="1" si="399"/>
        <v/>
      </c>
      <c r="Z840" s="315" t="str">
        <f t="shared" ca="1" si="400"/>
        <v/>
      </c>
      <c r="AA840" s="316" t="str">
        <f t="shared" ca="1" si="401"/>
        <v/>
      </c>
      <c r="AC840" s="310" t="e">
        <f t="shared" ca="1" si="402"/>
        <v>#N/A</v>
      </c>
      <c r="AD840" s="323" t="e">
        <f t="shared" ca="1" si="403"/>
        <v>#N/A</v>
      </c>
      <c r="AE840" s="324" t="e">
        <f t="shared" ca="1" si="382"/>
        <v>#N/A</v>
      </c>
      <c r="AG840" s="306">
        <f t="shared" ca="1" si="404"/>
        <v>1.2670472837277291</v>
      </c>
      <c r="AH840" s="304">
        <f t="shared" ca="1" si="405"/>
        <v>-8.5066897737342408</v>
      </c>
    </row>
    <row r="841" spans="1:34" x14ac:dyDescent="0.2">
      <c r="A841" s="347">
        <f t="shared" ca="1" si="383"/>
        <v>1E-4</v>
      </c>
      <c r="B841" s="304">
        <f t="shared" ca="1" si="384"/>
        <v>29.245500000000042</v>
      </c>
      <c r="D841" s="306">
        <f t="shared" ca="1" si="385"/>
        <v>-0.73074932607044829</v>
      </c>
      <c r="E841" s="307">
        <f t="shared" ca="1" si="386"/>
        <v>-1.3347257826418346</v>
      </c>
      <c r="F841" s="304">
        <f t="shared" ca="1" si="387"/>
        <v>1.521672596980465</v>
      </c>
      <c r="G841" s="306">
        <f t="shared" ca="1" si="388"/>
        <v>9.2070432252069203</v>
      </c>
      <c r="H841" s="307">
        <f t="shared" ca="1" si="389"/>
        <v>-106.78481682549578</v>
      </c>
      <c r="I841" s="304">
        <f t="shared" ca="1" si="390"/>
        <v>107.18099994591167</v>
      </c>
      <c r="J841" s="306">
        <f t="shared" ca="1" si="391"/>
        <v>746.86410190403069</v>
      </c>
      <c r="K841" s="307">
        <f t="shared" ca="1" si="392"/>
        <v>-7.1046193866127139</v>
      </c>
      <c r="L841" s="304">
        <f t="shared" ca="1" si="377"/>
        <v>746.89789284047583</v>
      </c>
      <c r="M841" s="306">
        <f t="shared" ca="1" si="393"/>
        <v>-1.4847885053184422</v>
      </c>
      <c r="N841" s="304">
        <f t="shared" ca="1" si="394"/>
        <v>-85.072114824284526</v>
      </c>
      <c r="P841" s="310">
        <f t="shared" ca="1" si="395"/>
        <v>23</v>
      </c>
      <c r="Q841" s="304">
        <f t="shared" ca="1" si="396"/>
        <v>0</v>
      </c>
      <c r="R841" s="306">
        <f t="shared" ca="1" si="397"/>
        <v>0</v>
      </c>
      <c r="S841" s="307">
        <f t="shared" ca="1" si="398"/>
        <v>5.083000000000002</v>
      </c>
      <c r="T841" s="304">
        <f t="shared" ca="1" si="378"/>
        <v>49.86423000000002</v>
      </c>
      <c r="U841" s="311">
        <f t="shared" ca="1" si="379"/>
        <v>0</v>
      </c>
      <c r="V841" s="306">
        <f t="shared" ca="1" si="380"/>
        <v>1.2258706251478753</v>
      </c>
      <c r="W841" s="304">
        <f t="shared" ca="1" si="381"/>
        <v>43.239800928713258</v>
      </c>
      <c r="Y841" s="314" t="str">
        <f t="shared" ca="1" si="399"/>
        <v/>
      </c>
      <c r="Z841" s="315" t="str">
        <f t="shared" ca="1" si="400"/>
        <v/>
      </c>
      <c r="AA841" s="316" t="str">
        <f t="shared" ca="1" si="401"/>
        <v/>
      </c>
      <c r="AC841" s="310" t="e">
        <f t="shared" ca="1" si="402"/>
        <v>#N/A</v>
      </c>
      <c r="AD841" s="323" t="e">
        <f t="shared" ca="1" si="403"/>
        <v>#N/A</v>
      </c>
      <c r="AE841" s="324" t="e">
        <f t="shared" ca="1" si="382"/>
        <v>#N/A</v>
      </c>
      <c r="AG841" s="306">
        <f t="shared" ca="1" si="404"/>
        <v>1.2670187499018333</v>
      </c>
      <c r="AH841" s="304">
        <f t="shared" ca="1" si="405"/>
        <v>-8.506718970141689</v>
      </c>
    </row>
    <row r="842" spans="1:34" x14ac:dyDescent="0.2">
      <c r="A842" s="347">
        <f t="shared" ca="1" si="383"/>
        <v>1E-4</v>
      </c>
      <c r="B842" s="304">
        <f t="shared" ca="1" si="384"/>
        <v>29.245600000000042</v>
      </c>
      <c r="D842" s="306">
        <f t="shared" ca="1" si="385"/>
        <v>-0.73074517042694653</v>
      </c>
      <c r="E842" s="307">
        <f t="shared" ca="1" si="386"/>
        <v>-1.3346961199746676</v>
      </c>
      <c r="F842" s="304">
        <f t="shared" ca="1" si="387"/>
        <v>1.5216445829357588</v>
      </c>
      <c r="G842" s="306">
        <f t="shared" ca="1" si="388"/>
        <v>9.2069701506898785</v>
      </c>
      <c r="H842" s="307">
        <f t="shared" ca="1" si="389"/>
        <v>-106.78495029510778</v>
      </c>
      <c r="I842" s="304">
        <f t="shared" ca="1" si="390"/>
        <v>107.18112664496643</v>
      </c>
      <c r="J842" s="306">
        <f t="shared" ca="1" si="391"/>
        <v>746.86410190403069</v>
      </c>
      <c r="K842" s="307">
        <f t="shared" ca="1" si="392"/>
        <v>-7.1152978749687437</v>
      </c>
      <c r="L842" s="304">
        <f t="shared" ca="1" si="377"/>
        <v>746.89799449239638</v>
      </c>
      <c r="M842" s="306">
        <f t="shared" ca="1" si="393"/>
        <v>-1.484789291554699</v>
      </c>
      <c r="N842" s="304">
        <f t="shared" ca="1" si="394"/>
        <v>-85.072159872303743</v>
      </c>
      <c r="P842" s="310">
        <f t="shared" ca="1" si="395"/>
        <v>23</v>
      </c>
      <c r="Q842" s="304">
        <f t="shared" ca="1" si="396"/>
        <v>0</v>
      </c>
      <c r="R842" s="306">
        <f t="shared" ca="1" si="397"/>
        <v>0</v>
      </c>
      <c r="S842" s="307">
        <f t="shared" ca="1" si="398"/>
        <v>5.083000000000002</v>
      </c>
      <c r="T842" s="304">
        <f t="shared" ca="1" si="378"/>
        <v>49.86423000000002</v>
      </c>
      <c r="U842" s="311">
        <f t="shared" ca="1" si="379"/>
        <v>0</v>
      </c>
      <c r="V842" s="306">
        <f t="shared" ca="1" si="380"/>
        <v>1.2258719341932591</v>
      </c>
      <c r="W842" s="304">
        <f t="shared" ca="1" si="381"/>
        <v>43.239949330340238</v>
      </c>
      <c r="Y842" s="314" t="str">
        <f t="shared" ca="1" si="399"/>
        <v/>
      </c>
      <c r="Z842" s="315" t="str">
        <f t="shared" ca="1" si="400"/>
        <v/>
      </c>
      <c r="AA842" s="316" t="str">
        <f t="shared" ca="1" si="401"/>
        <v/>
      </c>
      <c r="AC842" s="310" t="e">
        <f t="shared" ca="1" si="402"/>
        <v>#N/A</v>
      </c>
      <c r="AD842" s="323" t="e">
        <f t="shared" ca="1" si="403"/>
        <v>#N/A</v>
      </c>
      <c r="AE842" s="324" t="e">
        <f t="shared" ca="1" si="382"/>
        <v>#N/A</v>
      </c>
      <c r="AG842" s="306">
        <f t="shared" ca="1" si="404"/>
        <v>1.2669902164282121</v>
      </c>
      <c r="AH842" s="304">
        <f t="shared" ca="1" si="405"/>
        <v>-8.5067481661839945</v>
      </c>
    </row>
    <row r="843" spans="1:34" x14ac:dyDescent="0.2">
      <c r="A843" s="347">
        <f t="shared" ca="1" si="383"/>
        <v>1E-4</v>
      </c>
      <c r="B843" s="304">
        <f t="shared" ca="1" si="384"/>
        <v>29.245700000000042</v>
      </c>
      <c r="D843" s="306">
        <f t="shared" ca="1" si="385"/>
        <v>-0.73074101477452791</v>
      </c>
      <c r="E843" s="307">
        <f t="shared" ca="1" si="386"/>
        <v>-1.3346664576785177</v>
      </c>
      <c r="F843" s="304">
        <f t="shared" ca="1" si="387"/>
        <v>1.5216165692860435</v>
      </c>
      <c r="G843" s="306">
        <f t="shared" ca="1" si="388"/>
        <v>9.2068970765884011</v>
      </c>
      <c r="H843" s="307">
        <f t="shared" ca="1" si="389"/>
        <v>-106.78508376175354</v>
      </c>
      <c r="I843" s="304">
        <f t="shared" ca="1" si="390"/>
        <v>107.18125334116787</v>
      </c>
      <c r="J843" s="306">
        <f t="shared" ca="1" si="391"/>
        <v>746.86410190403069</v>
      </c>
      <c r="K843" s="307">
        <f t="shared" ca="1" si="392"/>
        <v>-7.1259763766715869</v>
      </c>
      <c r="L843" s="304">
        <f t="shared" ca="1" si="377"/>
        <v>746.89809629710203</v>
      </c>
      <c r="M843" s="306">
        <f t="shared" ca="1" si="393"/>
        <v>-1.4847900777828567</v>
      </c>
      <c r="N843" s="304">
        <f t="shared" ca="1" si="394"/>
        <v>-85.072204919858905</v>
      </c>
      <c r="P843" s="310">
        <f t="shared" ca="1" si="395"/>
        <v>23</v>
      </c>
      <c r="Q843" s="304">
        <f t="shared" ca="1" si="396"/>
        <v>0</v>
      </c>
      <c r="R843" s="306">
        <f t="shared" ca="1" si="397"/>
        <v>0</v>
      </c>
      <c r="S843" s="307">
        <f t="shared" ca="1" si="398"/>
        <v>5.083000000000002</v>
      </c>
      <c r="T843" s="304">
        <f t="shared" ca="1" si="378"/>
        <v>49.86423000000002</v>
      </c>
      <c r="U843" s="311">
        <f t="shared" ca="1" si="379"/>
        <v>0</v>
      </c>
      <c r="V843" s="306">
        <f t="shared" ca="1" si="380"/>
        <v>1.2258732432416781</v>
      </c>
      <c r="W843" s="304">
        <f t="shared" ca="1" si="381"/>
        <v>43.240097730111238</v>
      </c>
      <c r="Y843" s="314" t="str">
        <f t="shared" ca="1" si="399"/>
        <v/>
      </c>
      <c r="Z843" s="315" t="str">
        <f t="shared" ca="1" si="400"/>
        <v/>
      </c>
      <c r="AA843" s="316" t="str">
        <f t="shared" ca="1" si="401"/>
        <v/>
      </c>
      <c r="AC843" s="310" t="e">
        <f t="shared" ca="1" si="402"/>
        <v>#N/A</v>
      </c>
      <c r="AD843" s="323" t="e">
        <f t="shared" ca="1" si="403"/>
        <v>#N/A</v>
      </c>
      <c r="AE843" s="324" t="e">
        <f t="shared" ca="1" si="382"/>
        <v>#N/A</v>
      </c>
      <c r="AG843" s="306">
        <f t="shared" ca="1" si="404"/>
        <v>1.2669616833068762</v>
      </c>
      <c r="AH843" s="304">
        <f t="shared" ca="1" si="405"/>
        <v>-8.5067773618611486</v>
      </c>
    </row>
    <row r="844" spans="1:34" x14ac:dyDescent="0.2">
      <c r="A844" s="347">
        <f t="shared" ca="1" si="383"/>
        <v>1E-4</v>
      </c>
      <c r="B844" s="304">
        <f t="shared" ca="1" si="384"/>
        <v>29.245800000000042</v>
      </c>
      <c r="D844" s="306">
        <f t="shared" ca="1" si="385"/>
        <v>-0.7307368591131953</v>
      </c>
      <c r="E844" s="307">
        <f t="shared" ca="1" si="386"/>
        <v>-1.3346367957533651</v>
      </c>
      <c r="F844" s="304">
        <f t="shared" ca="1" si="387"/>
        <v>1.5215885560313036</v>
      </c>
      <c r="G844" s="306">
        <f t="shared" ca="1" si="388"/>
        <v>9.2068240029024899</v>
      </c>
      <c r="H844" s="307">
        <f t="shared" ca="1" si="389"/>
        <v>-106.78521722543312</v>
      </c>
      <c r="I844" s="304">
        <f t="shared" ca="1" si="390"/>
        <v>107.18138003451607</v>
      </c>
      <c r="J844" s="306">
        <f t="shared" ca="1" si="391"/>
        <v>746.86410190403069</v>
      </c>
      <c r="K844" s="307">
        <f t="shared" ca="1" si="392"/>
        <v>-7.136654891720946</v>
      </c>
      <c r="L844" s="304">
        <f t="shared" ca="1" si="377"/>
        <v>746.89819825459335</v>
      </c>
      <c r="M844" s="306">
        <f t="shared" ca="1" si="393"/>
        <v>-1.4847908640029155</v>
      </c>
      <c r="N844" s="304">
        <f t="shared" ca="1" si="394"/>
        <v>-85.072249966950054</v>
      </c>
      <c r="P844" s="310">
        <f t="shared" ca="1" si="395"/>
        <v>23</v>
      </c>
      <c r="Q844" s="304">
        <f t="shared" ca="1" si="396"/>
        <v>0</v>
      </c>
      <c r="R844" s="306">
        <f t="shared" ca="1" si="397"/>
        <v>0</v>
      </c>
      <c r="S844" s="307">
        <f t="shared" ca="1" si="398"/>
        <v>5.083000000000002</v>
      </c>
      <c r="T844" s="304">
        <f t="shared" ca="1" si="378"/>
        <v>49.86423000000002</v>
      </c>
      <c r="U844" s="311">
        <f t="shared" ca="1" si="379"/>
        <v>0</v>
      </c>
      <c r="V844" s="306">
        <f t="shared" ca="1" si="380"/>
        <v>1.2258745522931311</v>
      </c>
      <c r="W844" s="304">
        <f t="shared" ca="1" si="381"/>
        <v>43.240246128026222</v>
      </c>
      <c r="Y844" s="314" t="str">
        <f t="shared" ca="1" si="399"/>
        <v/>
      </c>
      <c r="Z844" s="315" t="str">
        <f t="shared" ca="1" si="400"/>
        <v/>
      </c>
      <c r="AA844" s="316" t="str">
        <f t="shared" ca="1" si="401"/>
        <v/>
      </c>
      <c r="AC844" s="310" t="e">
        <f t="shared" ca="1" si="402"/>
        <v>#N/A</v>
      </c>
      <c r="AD844" s="323" t="e">
        <f t="shared" ca="1" si="403"/>
        <v>#N/A</v>
      </c>
      <c r="AE844" s="324" t="e">
        <f t="shared" ca="1" si="382"/>
        <v>#N/A</v>
      </c>
      <c r="AG844" s="306">
        <f t="shared" ca="1" si="404"/>
        <v>1.2669331505378079</v>
      </c>
      <c r="AH844" s="304">
        <f t="shared" ca="1" si="405"/>
        <v>-8.506806557173169</v>
      </c>
    </row>
    <row r="845" spans="1:34" x14ac:dyDescent="0.2">
      <c r="A845" s="347">
        <f t="shared" ca="1" si="383"/>
        <v>1E-4</v>
      </c>
      <c r="B845" s="304">
        <f t="shared" ca="1" si="384"/>
        <v>29.245900000000042</v>
      </c>
      <c r="D845" s="306">
        <f t="shared" ca="1" si="385"/>
        <v>-0.73073270344294794</v>
      </c>
      <c r="E845" s="307">
        <f t="shared" ca="1" si="386"/>
        <v>-1.3346071341992172</v>
      </c>
      <c r="F845" s="304">
        <f t="shared" ca="1" si="387"/>
        <v>1.5215605431715449</v>
      </c>
      <c r="G845" s="306">
        <f t="shared" ca="1" si="388"/>
        <v>9.206750929632145</v>
      </c>
      <c r="H845" s="307">
        <f t="shared" ca="1" si="389"/>
        <v>-106.78535068614653</v>
      </c>
      <c r="I845" s="304">
        <f t="shared" ca="1" si="390"/>
        <v>107.18150672501099</v>
      </c>
      <c r="J845" s="306">
        <f t="shared" ca="1" si="391"/>
        <v>746.86410190403069</v>
      </c>
      <c r="K845" s="307">
        <f t="shared" ca="1" si="392"/>
        <v>-7.1473334201165253</v>
      </c>
      <c r="L845" s="304">
        <f t="shared" ca="1" si="377"/>
        <v>746.89830036487069</v>
      </c>
      <c r="M845" s="306">
        <f t="shared" ca="1" si="393"/>
        <v>-1.4847916502148755</v>
      </c>
      <c r="N845" s="304">
        <f t="shared" ca="1" si="394"/>
        <v>-85.072295013577161</v>
      </c>
      <c r="P845" s="310">
        <f t="shared" ca="1" si="395"/>
        <v>23</v>
      </c>
      <c r="Q845" s="304">
        <f t="shared" ca="1" si="396"/>
        <v>0</v>
      </c>
      <c r="R845" s="306">
        <f t="shared" ca="1" si="397"/>
        <v>0</v>
      </c>
      <c r="S845" s="307">
        <f t="shared" ca="1" si="398"/>
        <v>5.083000000000002</v>
      </c>
      <c r="T845" s="304">
        <f t="shared" ca="1" si="378"/>
        <v>49.86423000000002</v>
      </c>
      <c r="U845" s="311">
        <f t="shared" ca="1" si="379"/>
        <v>0</v>
      </c>
      <c r="V845" s="306">
        <f t="shared" ca="1" si="380"/>
        <v>1.2258758613476186</v>
      </c>
      <c r="W845" s="304">
        <f t="shared" ca="1" si="381"/>
        <v>43.240394524085211</v>
      </c>
      <c r="Y845" s="314" t="str">
        <f t="shared" ca="1" si="399"/>
        <v/>
      </c>
      <c r="Z845" s="315" t="str">
        <f t="shared" ca="1" si="400"/>
        <v/>
      </c>
      <c r="AA845" s="316" t="str">
        <f t="shared" ca="1" si="401"/>
        <v/>
      </c>
      <c r="AC845" s="310" t="e">
        <f t="shared" ca="1" si="402"/>
        <v>#N/A</v>
      </c>
      <c r="AD845" s="323" t="e">
        <f t="shared" ca="1" si="403"/>
        <v>#N/A</v>
      </c>
      <c r="AE845" s="324" t="e">
        <f t="shared" ca="1" si="382"/>
        <v>#N/A</v>
      </c>
      <c r="AG845" s="306">
        <f t="shared" ca="1" si="404"/>
        <v>1.2669046181210106</v>
      </c>
      <c r="AH845" s="304">
        <f t="shared" ca="1" si="405"/>
        <v>-8.5068357521200486</v>
      </c>
    </row>
    <row r="846" spans="1:34" x14ac:dyDescent="0.2">
      <c r="A846" s="347">
        <f t="shared" ca="1" si="383"/>
        <v>1E-4</v>
      </c>
      <c r="B846" s="304">
        <f t="shared" ca="1" si="384"/>
        <v>29.246000000000041</v>
      </c>
      <c r="D846" s="306">
        <f t="shared" ca="1" si="385"/>
        <v>-0.73072854776378748</v>
      </c>
      <c r="E846" s="307">
        <f t="shared" ca="1" si="386"/>
        <v>-1.334577473016072</v>
      </c>
      <c r="F846" s="304">
        <f t="shared" ca="1" si="387"/>
        <v>1.5215325307067669</v>
      </c>
      <c r="G846" s="306">
        <f t="shared" ca="1" si="388"/>
        <v>9.2066778567773682</v>
      </c>
      <c r="H846" s="307">
        <f t="shared" ca="1" si="389"/>
        <v>-106.78548414389383</v>
      </c>
      <c r="I846" s="304">
        <f t="shared" ca="1" si="390"/>
        <v>107.18163341265272</v>
      </c>
      <c r="J846" s="306">
        <f t="shared" ca="1" si="391"/>
        <v>746.86410190403069</v>
      </c>
      <c r="K846" s="307">
        <f t="shared" ca="1" si="392"/>
        <v>-7.1580119618580271</v>
      </c>
      <c r="L846" s="304">
        <f t="shared" ca="1" si="377"/>
        <v>746.89840262793462</v>
      </c>
      <c r="M846" s="306">
        <f t="shared" ca="1" si="393"/>
        <v>-1.484792436418737</v>
      </c>
      <c r="N846" s="304">
        <f t="shared" ca="1" si="394"/>
        <v>-85.072340059740256</v>
      </c>
      <c r="P846" s="310">
        <f t="shared" ca="1" si="395"/>
        <v>23</v>
      </c>
      <c r="Q846" s="304">
        <f t="shared" ca="1" si="396"/>
        <v>0</v>
      </c>
      <c r="R846" s="306">
        <f t="shared" ca="1" si="397"/>
        <v>0</v>
      </c>
      <c r="S846" s="307">
        <f t="shared" ca="1" si="398"/>
        <v>5.083000000000002</v>
      </c>
      <c r="T846" s="304">
        <f t="shared" ca="1" si="378"/>
        <v>49.86423000000002</v>
      </c>
      <c r="U846" s="311">
        <f t="shared" ca="1" si="379"/>
        <v>0</v>
      </c>
      <c r="V846" s="306">
        <f t="shared" ca="1" si="380"/>
        <v>1.2258771704051405</v>
      </c>
      <c r="W846" s="304">
        <f t="shared" ca="1" si="381"/>
        <v>43.24054291828822</v>
      </c>
      <c r="Y846" s="314" t="str">
        <f t="shared" ca="1" si="399"/>
        <v/>
      </c>
      <c r="Z846" s="315" t="str">
        <f t="shared" ca="1" si="400"/>
        <v/>
      </c>
      <c r="AA846" s="316" t="str">
        <f t="shared" ca="1" si="401"/>
        <v/>
      </c>
      <c r="AC846" s="310" t="e">
        <f t="shared" ca="1" si="402"/>
        <v>#N/A</v>
      </c>
      <c r="AD846" s="323" t="e">
        <f t="shared" ca="1" si="403"/>
        <v>#N/A</v>
      </c>
      <c r="AE846" s="324" t="e">
        <f t="shared" ca="1" si="382"/>
        <v>#N/A</v>
      </c>
      <c r="AG846" s="306">
        <f t="shared" ca="1" si="404"/>
        <v>1.2668760860564898</v>
      </c>
      <c r="AH846" s="304">
        <f t="shared" ca="1" si="405"/>
        <v>-8.5068649467017892</v>
      </c>
    </row>
    <row r="847" spans="1:34" x14ac:dyDescent="0.2">
      <c r="A847" s="347">
        <f t="shared" ca="1" si="383"/>
        <v>1E-4</v>
      </c>
      <c r="B847" s="304">
        <f t="shared" ca="1" si="384"/>
        <v>29.246100000000041</v>
      </c>
      <c r="D847" s="306">
        <f t="shared" ca="1" si="385"/>
        <v>-0.73072439207571227</v>
      </c>
      <c r="E847" s="307">
        <f t="shared" ca="1" si="386"/>
        <v>-1.3345478122039225</v>
      </c>
      <c r="F847" s="304">
        <f t="shared" ca="1" si="387"/>
        <v>1.5215045186369627</v>
      </c>
      <c r="G847" s="306">
        <f t="shared" ca="1" si="388"/>
        <v>9.2066047843381611</v>
      </c>
      <c r="H847" s="307">
        <f t="shared" ca="1" si="389"/>
        <v>-106.78561759867505</v>
      </c>
      <c r="I847" s="304">
        <f t="shared" ca="1" si="390"/>
        <v>107.18176009744128</v>
      </c>
      <c r="J847" s="306">
        <f t="shared" ca="1" si="391"/>
        <v>746.86410190403069</v>
      </c>
      <c r="K847" s="307">
        <f t="shared" ca="1" si="392"/>
        <v>-7.1686905169451558</v>
      </c>
      <c r="L847" s="304">
        <f t="shared" ca="1" si="377"/>
        <v>746.89850504378569</v>
      </c>
      <c r="M847" s="306">
        <f t="shared" ca="1" si="393"/>
        <v>-1.4847932226145</v>
      </c>
      <c r="N847" s="304">
        <f t="shared" ca="1" si="394"/>
        <v>-85.072385105439352</v>
      </c>
      <c r="P847" s="310">
        <f t="shared" ca="1" si="395"/>
        <v>23</v>
      </c>
      <c r="Q847" s="304">
        <f t="shared" ca="1" si="396"/>
        <v>0</v>
      </c>
      <c r="R847" s="306">
        <f t="shared" ca="1" si="397"/>
        <v>0</v>
      </c>
      <c r="S847" s="307">
        <f t="shared" ca="1" si="398"/>
        <v>5.083000000000002</v>
      </c>
      <c r="T847" s="304">
        <f t="shared" ca="1" si="378"/>
        <v>49.86423000000002</v>
      </c>
      <c r="U847" s="311">
        <f t="shared" ca="1" si="379"/>
        <v>0</v>
      </c>
      <c r="V847" s="306">
        <f t="shared" ca="1" si="380"/>
        <v>1.2258784794656967</v>
      </c>
      <c r="W847" s="304">
        <f t="shared" ca="1" si="381"/>
        <v>43.240691310635285</v>
      </c>
      <c r="Y847" s="314" t="str">
        <f t="shared" ca="1" si="399"/>
        <v/>
      </c>
      <c r="Z847" s="315" t="str">
        <f t="shared" ca="1" si="400"/>
        <v/>
      </c>
      <c r="AA847" s="316" t="str">
        <f t="shared" ca="1" si="401"/>
        <v/>
      </c>
      <c r="AC847" s="310" t="e">
        <f t="shared" ca="1" si="402"/>
        <v>#N/A</v>
      </c>
      <c r="AD847" s="323" t="e">
        <f t="shared" ca="1" si="403"/>
        <v>#N/A</v>
      </c>
      <c r="AE847" s="324" t="e">
        <f t="shared" ca="1" si="382"/>
        <v>#N/A</v>
      </c>
      <c r="AG847" s="306">
        <f t="shared" ca="1" si="404"/>
        <v>1.2668475543442366</v>
      </c>
      <c r="AH847" s="304">
        <f t="shared" ca="1" si="405"/>
        <v>-8.506894140918396</v>
      </c>
    </row>
    <row r="848" spans="1:34" x14ac:dyDescent="0.2">
      <c r="A848" s="347">
        <f t="shared" ca="1" si="383"/>
        <v>1E-4</v>
      </c>
      <c r="B848" s="304">
        <f t="shared" ca="1" si="384"/>
        <v>29.246200000000041</v>
      </c>
      <c r="D848" s="306">
        <f t="shared" ca="1" si="385"/>
        <v>-0.73072023637872618</v>
      </c>
      <c r="E848" s="307">
        <f t="shared" ca="1" si="386"/>
        <v>-1.3345181517627669</v>
      </c>
      <c r="F848" s="304">
        <f t="shared" ca="1" si="387"/>
        <v>1.5214765069621328</v>
      </c>
      <c r="G848" s="306">
        <f t="shared" ca="1" si="388"/>
        <v>9.2065317123145238</v>
      </c>
      <c r="H848" s="307">
        <f t="shared" ca="1" si="389"/>
        <v>-106.78575105049022</v>
      </c>
      <c r="I848" s="304">
        <f t="shared" ca="1" si="390"/>
        <v>107.1818867793767</v>
      </c>
      <c r="J848" s="306">
        <f t="shared" ca="1" si="391"/>
        <v>746.86410190403069</v>
      </c>
      <c r="K848" s="307">
        <f t="shared" ca="1" si="392"/>
        <v>-7.1793690853776138</v>
      </c>
      <c r="L848" s="304">
        <f t="shared" ca="1" si="377"/>
        <v>746.89860761242448</v>
      </c>
      <c r="M848" s="306">
        <f t="shared" ca="1" si="393"/>
        <v>-1.4847940088021643</v>
      </c>
      <c r="N848" s="304">
        <f t="shared" ca="1" si="394"/>
        <v>-85.072430150674421</v>
      </c>
      <c r="P848" s="310">
        <f t="shared" ca="1" si="395"/>
        <v>23</v>
      </c>
      <c r="Q848" s="304">
        <f t="shared" ca="1" si="396"/>
        <v>0</v>
      </c>
      <c r="R848" s="306">
        <f t="shared" ca="1" si="397"/>
        <v>0</v>
      </c>
      <c r="S848" s="307">
        <f t="shared" ca="1" si="398"/>
        <v>5.083000000000002</v>
      </c>
      <c r="T848" s="304">
        <f t="shared" ca="1" si="378"/>
        <v>49.86423000000002</v>
      </c>
      <c r="U848" s="311">
        <f t="shared" ca="1" si="379"/>
        <v>0</v>
      </c>
      <c r="V848" s="306">
        <f t="shared" ca="1" si="380"/>
        <v>1.2258797885292871</v>
      </c>
      <c r="W848" s="304">
        <f t="shared" ca="1" si="381"/>
        <v>43.240839701126383</v>
      </c>
      <c r="Y848" s="314" t="str">
        <f t="shared" ca="1" si="399"/>
        <v/>
      </c>
      <c r="Z848" s="315" t="str">
        <f t="shared" ca="1" si="400"/>
        <v/>
      </c>
      <c r="AA848" s="316" t="str">
        <f t="shared" ca="1" si="401"/>
        <v/>
      </c>
      <c r="AC848" s="310" t="e">
        <f t="shared" ca="1" si="402"/>
        <v>#N/A</v>
      </c>
      <c r="AD848" s="323" t="e">
        <f t="shared" ca="1" si="403"/>
        <v>#N/A</v>
      </c>
      <c r="AE848" s="324" t="e">
        <f t="shared" ca="1" si="382"/>
        <v>#N/A</v>
      </c>
      <c r="AG848" s="306">
        <f t="shared" ca="1" si="404"/>
        <v>1.2668190229842455</v>
      </c>
      <c r="AH848" s="304">
        <f t="shared" ca="1" si="405"/>
        <v>-8.5069233347698745</v>
      </c>
    </row>
    <row r="849" spans="1:34" x14ac:dyDescent="0.2">
      <c r="A849" s="347">
        <f t="shared" ca="1" si="383"/>
        <v>1E-4</v>
      </c>
      <c r="B849" s="304">
        <f t="shared" ca="1" si="384"/>
        <v>29.246300000000041</v>
      </c>
      <c r="D849" s="306">
        <f t="shared" ca="1" si="385"/>
        <v>-0.73071608067283023</v>
      </c>
      <c r="E849" s="307">
        <f t="shared" ca="1" si="386"/>
        <v>-1.3344884916926105</v>
      </c>
      <c r="F849" s="304">
        <f t="shared" ca="1" si="387"/>
        <v>1.5214484956822827</v>
      </c>
      <c r="G849" s="306">
        <f t="shared" ca="1" si="388"/>
        <v>9.2064586407064564</v>
      </c>
      <c r="H849" s="307">
        <f t="shared" ca="1" si="389"/>
        <v>-106.78588449933939</v>
      </c>
      <c r="I849" s="304">
        <f t="shared" ca="1" si="390"/>
        <v>107.18201345845902</v>
      </c>
      <c r="J849" s="306">
        <f t="shared" ca="1" si="391"/>
        <v>746.86410190403069</v>
      </c>
      <c r="K849" s="307">
        <f t="shared" ca="1" si="392"/>
        <v>-7.1900476671551052</v>
      </c>
      <c r="L849" s="304">
        <f t="shared" ca="1" si="377"/>
        <v>746.89871033385123</v>
      </c>
      <c r="M849" s="306">
        <f t="shared" ca="1" si="393"/>
        <v>-1.4847947949817306</v>
      </c>
      <c r="N849" s="304">
        <f t="shared" ca="1" si="394"/>
        <v>-85.072475195445506</v>
      </c>
      <c r="P849" s="310">
        <f t="shared" ca="1" si="395"/>
        <v>23</v>
      </c>
      <c r="Q849" s="304">
        <f t="shared" ca="1" si="396"/>
        <v>0</v>
      </c>
      <c r="R849" s="306">
        <f t="shared" ca="1" si="397"/>
        <v>0</v>
      </c>
      <c r="S849" s="307">
        <f t="shared" ca="1" si="398"/>
        <v>5.083000000000002</v>
      </c>
      <c r="T849" s="304">
        <f t="shared" ca="1" si="378"/>
        <v>49.86423000000002</v>
      </c>
      <c r="U849" s="311">
        <f t="shared" ca="1" si="379"/>
        <v>0</v>
      </c>
      <c r="V849" s="306">
        <f t="shared" ca="1" si="380"/>
        <v>1.2258810975959122</v>
      </c>
      <c r="W849" s="304">
        <f t="shared" ca="1" si="381"/>
        <v>43.240988089761565</v>
      </c>
      <c r="Y849" s="314" t="str">
        <f t="shared" ca="1" si="399"/>
        <v/>
      </c>
      <c r="Z849" s="315" t="str">
        <f t="shared" ca="1" si="400"/>
        <v/>
      </c>
      <c r="AA849" s="316" t="str">
        <f t="shared" ca="1" si="401"/>
        <v/>
      </c>
      <c r="AC849" s="310" t="e">
        <f t="shared" ca="1" si="402"/>
        <v>#N/A</v>
      </c>
      <c r="AD849" s="323" t="e">
        <f t="shared" ca="1" si="403"/>
        <v>#N/A</v>
      </c>
      <c r="AE849" s="324" t="e">
        <f t="shared" ca="1" si="382"/>
        <v>#N/A</v>
      </c>
      <c r="AG849" s="306">
        <f t="shared" ca="1" si="404"/>
        <v>1.2667904919765238</v>
      </c>
      <c r="AH849" s="304">
        <f t="shared" ca="1" si="405"/>
        <v>-8.5069525282562193</v>
      </c>
    </row>
    <row r="850" spans="1:34" x14ac:dyDescent="0.2">
      <c r="A850" s="347">
        <f t="shared" ca="1" si="383"/>
        <v>1E-4</v>
      </c>
      <c r="B850" s="304">
        <f t="shared" ca="1" si="384"/>
        <v>29.24640000000004</v>
      </c>
      <c r="D850" s="306">
        <f t="shared" ca="1" si="385"/>
        <v>-0.73071192495802184</v>
      </c>
      <c r="E850" s="307">
        <f t="shared" ca="1" si="386"/>
        <v>-1.3344588319934356</v>
      </c>
      <c r="F850" s="304">
        <f t="shared" ca="1" si="387"/>
        <v>1.5214204847973956</v>
      </c>
      <c r="G850" s="306">
        <f t="shared" ca="1" si="388"/>
        <v>9.2063855695139605</v>
      </c>
      <c r="H850" s="307">
        <f t="shared" ca="1" si="389"/>
        <v>-106.78601794522258</v>
      </c>
      <c r="I850" s="304">
        <f t="shared" ca="1" si="390"/>
        <v>107.18214013468828</v>
      </c>
      <c r="J850" s="306">
        <f t="shared" ca="1" si="391"/>
        <v>746.86410190403069</v>
      </c>
      <c r="K850" s="307">
        <f t="shared" ca="1" si="392"/>
        <v>-7.2007262622773336</v>
      </c>
      <c r="L850" s="304">
        <f t="shared" ca="1" si="377"/>
        <v>746.89881320806671</v>
      </c>
      <c r="M850" s="306">
        <f t="shared" ca="1" si="393"/>
        <v>-1.4847955811531985</v>
      </c>
      <c r="N850" s="304">
        <f t="shared" ca="1" si="394"/>
        <v>-85.072520239752592</v>
      </c>
      <c r="P850" s="310">
        <f t="shared" ca="1" si="395"/>
        <v>23</v>
      </c>
      <c r="Q850" s="304">
        <f t="shared" ca="1" si="396"/>
        <v>0</v>
      </c>
      <c r="R850" s="306">
        <f t="shared" ca="1" si="397"/>
        <v>0</v>
      </c>
      <c r="S850" s="307">
        <f t="shared" ca="1" si="398"/>
        <v>5.083000000000002</v>
      </c>
      <c r="T850" s="304">
        <f t="shared" ca="1" si="378"/>
        <v>49.86423000000002</v>
      </c>
      <c r="U850" s="311">
        <f t="shared" ca="1" si="379"/>
        <v>0</v>
      </c>
      <c r="V850" s="306">
        <f t="shared" ca="1" si="380"/>
        <v>1.2258824066655714</v>
      </c>
      <c r="W850" s="304">
        <f t="shared" ca="1" si="381"/>
        <v>43.241136476540809</v>
      </c>
      <c r="Y850" s="314" t="str">
        <f t="shared" ca="1" si="399"/>
        <v/>
      </c>
      <c r="Z850" s="315" t="str">
        <f t="shared" ca="1" si="400"/>
        <v/>
      </c>
      <c r="AA850" s="316" t="str">
        <f t="shared" ca="1" si="401"/>
        <v/>
      </c>
      <c r="AC850" s="310" t="e">
        <f t="shared" ca="1" si="402"/>
        <v>#N/A</v>
      </c>
      <c r="AD850" s="323" t="e">
        <f t="shared" ca="1" si="403"/>
        <v>#N/A</v>
      </c>
      <c r="AE850" s="324" t="e">
        <f t="shared" ca="1" si="382"/>
        <v>#N/A</v>
      </c>
      <c r="AG850" s="306">
        <f t="shared" ca="1" si="404"/>
        <v>1.2667619613210555</v>
      </c>
      <c r="AH850" s="304">
        <f t="shared" ca="1" si="405"/>
        <v>-8.5069817213774446</v>
      </c>
    </row>
    <row r="851" spans="1:34" x14ac:dyDescent="0.2">
      <c r="A851" s="347">
        <f t="shared" ca="1" si="383"/>
        <v>1E-4</v>
      </c>
      <c r="B851" s="304">
        <f t="shared" ca="1" si="384"/>
        <v>29.24650000000004</v>
      </c>
      <c r="D851" s="306">
        <f t="shared" ca="1" si="385"/>
        <v>-0.73070776923430536</v>
      </c>
      <c r="E851" s="307">
        <f t="shared" ca="1" si="386"/>
        <v>-1.3344291726652528</v>
      </c>
      <c r="F851" s="304">
        <f t="shared" ca="1" si="387"/>
        <v>1.5213924743074831</v>
      </c>
      <c r="G851" s="306">
        <f t="shared" ca="1" si="388"/>
        <v>9.2063124987370362</v>
      </c>
      <c r="H851" s="307">
        <f t="shared" ca="1" si="389"/>
        <v>-106.78615138813984</v>
      </c>
      <c r="I851" s="304">
        <f t="shared" ca="1" si="390"/>
        <v>107.18226680806448</v>
      </c>
      <c r="J851" s="306">
        <f t="shared" ca="1" si="391"/>
        <v>746.86410190403069</v>
      </c>
      <c r="K851" s="307">
        <f t="shared" ca="1" si="392"/>
        <v>-7.2114048707440013</v>
      </c>
      <c r="L851" s="304">
        <f t="shared" ca="1" si="377"/>
        <v>746.89891623507128</v>
      </c>
      <c r="M851" s="306">
        <f t="shared" ca="1" si="393"/>
        <v>-1.4847963673165685</v>
      </c>
      <c r="N851" s="304">
        <f t="shared" ca="1" si="394"/>
        <v>-85.072565283595708</v>
      </c>
      <c r="P851" s="310">
        <f t="shared" ca="1" si="395"/>
        <v>23</v>
      </c>
      <c r="Q851" s="304">
        <f t="shared" ca="1" si="396"/>
        <v>0</v>
      </c>
      <c r="R851" s="306">
        <f t="shared" ca="1" si="397"/>
        <v>0</v>
      </c>
      <c r="S851" s="307">
        <f t="shared" ca="1" si="398"/>
        <v>5.083000000000002</v>
      </c>
      <c r="T851" s="304">
        <f t="shared" ca="1" si="378"/>
        <v>49.86423000000002</v>
      </c>
      <c r="U851" s="311">
        <f t="shared" ca="1" si="379"/>
        <v>0</v>
      </c>
      <c r="V851" s="306">
        <f t="shared" ca="1" si="380"/>
        <v>1.2258837157382654</v>
      </c>
      <c r="W851" s="304">
        <f t="shared" ca="1" si="381"/>
        <v>43.241284861464145</v>
      </c>
      <c r="Y851" s="314" t="str">
        <f t="shared" ca="1" si="399"/>
        <v/>
      </c>
      <c r="Z851" s="315" t="str">
        <f t="shared" ca="1" si="400"/>
        <v/>
      </c>
      <c r="AA851" s="316" t="str">
        <f t="shared" ca="1" si="401"/>
        <v/>
      </c>
      <c r="AC851" s="310" t="e">
        <f t="shared" ca="1" si="402"/>
        <v>#N/A</v>
      </c>
      <c r="AD851" s="323" t="e">
        <f t="shared" ca="1" si="403"/>
        <v>#N/A</v>
      </c>
      <c r="AE851" s="324" t="e">
        <f t="shared" ca="1" si="382"/>
        <v>#N/A</v>
      </c>
      <c r="AG851" s="306">
        <f t="shared" ca="1" si="404"/>
        <v>1.2667334310178511</v>
      </c>
      <c r="AH851" s="304">
        <f t="shared" ca="1" si="405"/>
        <v>-8.5070109141335415</v>
      </c>
    </row>
    <row r="852" spans="1:34" x14ac:dyDescent="0.2">
      <c r="A852" s="347">
        <f t="shared" ca="1" si="383"/>
        <v>1E-4</v>
      </c>
      <c r="B852" s="304">
        <f t="shared" ca="1" si="384"/>
        <v>29.24660000000004</v>
      </c>
      <c r="D852" s="306">
        <f t="shared" ca="1" si="385"/>
        <v>-0.73070361350167934</v>
      </c>
      <c r="E852" s="307">
        <f t="shared" ca="1" si="386"/>
        <v>-1.3343995137080533</v>
      </c>
      <c r="F852" s="304">
        <f t="shared" ca="1" si="387"/>
        <v>1.5213644642125372</v>
      </c>
      <c r="G852" s="306">
        <f t="shared" ca="1" si="388"/>
        <v>9.2062394283756852</v>
      </c>
      <c r="H852" s="307">
        <f t="shared" ca="1" si="389"/>
        <v>-106.78628482809121</v>
      </c>
      <c r="I852" s="304">
        <f t="shared" ca="1" si="390"/>
        <v>107.18239347858771</v>
      </c>
      <c r="J852" s="306">
        <f t="shared" ca="1" si="391"/>
        <v>746.86410190403069</v>
      </c>
      <c r="K852" s="307">
        <f t="shared" ca="1" si="392"/>
        <v>-7.2220834925548125</v>
      </c>
      <c r="L852" s="304">
        <f t="shared" ca="1" si="377"/>
        <v>746.89901941486551</v>
      </c>
      <c r="M852" s="306">
        <f t="shared" ca="1" si="393"/>
        <v>-1.4847971534718403</v>
      </c>
      <c r="N852" s="304">
        <f t="shared" ca="1" si="394"/>
        <v>-85.072610326974811</v>
      </c>
      <c r="P852" s="310">
        <f t="shared" ca="1" si="395"/>
        <v>23</v>
      </c>
      <c r="Q852" s="304">
        <f t="shared" ca="1" si="396"/>
        <v>0</v>
      </c>
      <c r="R852" s="306">
        <f t="shared" ca="1" si="397"/>
        <v>0</v>
      </c>
      <c r="S852" s="307">
        <f t="shared" ca="1" si="398"/>
        <v>5.083000000000002</v>
      </c>
      <c r="T852" s="304">
        <f t="shared" ca="1" si="378"/>
        <v>49.86423000000002</v>
      </c>
      <c r="U852" s="311">
        <f t="shared" ca="1" si="379"/>
        <v>0</v>
      </c>
      <c r="V852" s="306">
        <f t="shared" ca="1" si="380"/>
        <v>1.2258850248139928</v>
      </c>
      <c r="W852" s="304">
        <f t="shared" ca="1" si="381"/>
        <v>43.241433244531578</v>
      </c>
      <c r="Y852" s="314" t="str">
        <f t="shared" ca="1" si="399"/>
        <v/>
      </c>
      <c r="Z852" s="315" t="str">
        <f t="shared" ca="1" si="400"/>
        <v/>
      </c>
      <c r="AA852" s="316" t="str">
        <f t="shared" ca="1" si="401"/>
        <v/>
      </c>
      <c r="AC852" s="310" t="e">
        <f t="shared" ca="1" si="402"/>
        <v>#N/A</v>
      </c>
      <c r="AD852" s="323" t="e">
        <f t="shared" ca="1" si="403"/>
        <v>#N/A</v>
      </c>
      <c r="AE852" s="324" t="e">
        <f t="shared" ca="1" si="382"/>
        <v>#N/A</v>
      </c>
      <c r="AG852" s="306">
        <f t="shared" ca="1" si="404"/>
        <v>1.2667049010669018</v>
      </c>
      <c r="AH852" s="304">
        <f t="shared" ca="1" si="405"/>
        <v>-8.5070401065245189</v>
      </c>
    </row>
    <row r="853" spans="1:34" x14ac:dyDescent="0.2">
      <c r="A853" s="347">
        <f t="shared" ca="1" si="383"/>
        <v>1E-4</v>
      </c>
      <c r="B853" s="304">
        <f t="shared" ca="1" si="384"/>
        <v>29.24670000000004</v>
      </c>
      <c r="D853" s="306">
        <f t="shared" ca="1" si="385"/>
        <v>-0.73069945776014744</v>
      </c>
      <c r="E853" s="307">
        <f t="shared" ca="1" si="386"/>
        <v>-1.334369855121837</v>
      </c>
      <c r="F853" s="304">
        <f t="shared" ca="1" si="387"/>
        <v>1.5213364545125598</v>
      </c>
      <c r="G853" s="306">
        <f t="shared" ca="1" si="388"/>
        <v>9.2061663584299094</v>
      </c>
      <c r="H853" s="307">
        <f t="shared" ca="1" si="389"/>
        <v>-106.78641826507672</v>
      </c>
      <c r="I853" s="304">
        <f t="shared" ca="1" si="390"/>
        <v>107.18252014625799</v>
      </c>
      <c r="J853" s="306">
        <f t="shared" ca="1" si="391"/>
        <v>746.86410190403069</v>
      </c>
      <c r="K853" s="307">
        <f t="shared" ca="1" si="392"/>
        <v>-7.2327621277094707</v>
      </c>
      <c r="L853" s="304">
        <f t="shared" ca="1" si="377"/>
        <v>746.89912274744995</v>
      </c>
      <c r="M853" s="306">
        <f t="shared" ca="1" si="393"/>
        <v>-1.4847979396190143</v>
      </c>
      <c r="N853" s="304">
        <f t="shared" ca="1" si="394"/>
        <v>-85.072655369889958</v>
      </c>
      <c r="P853" s="310">
        <f t="shared" ca="1" si="395"/>
        <v>23</v>
      </c>
      <c r="Q853" s="304">
        <f t="shared" ca="1" si="396"/>
        <v>0</v>
      </c>
      <c r="R853" s="306">
        <f t="shared" ca="1" si="397"/>
        <v>0</v>
      </c>
      <c r="S853" s="307">
        <f t="shared" ca="1" si="398"/>
        <v>5.083000000000002</v>
      </c>
      <c r="T853" s="304">
        <f t="shared" ca="1" si="378"/>
        <v>49.86423000000002</v>
      </c>
      <c r="U853" s="311">
        <f t="shared" ca="1" si="379"/>
        <v>0</v>
      </c>
      <c r="V853" s="306">
        <f t="shared" ca="1" si="380"/>
        <v>1.2258863338927553</v>
      </c>
      <c r="W853" s="304">
        <f t="shared" ca="1" si="381"/>
        <v>43.241581625743152</v>
      </c>
      <c r="Y853" s="314" t="str">
        <f t="shared" ca="1" si="399"/>
        <v/>
      </c>
      <c r="Z853" s="315" t="str">
        <f t="shared" ca="1" si="400"/>
        <v/>
      </c>
      <c r="AA853" s="316" t="str">
        <f t="shared" ca="1" si="401"/>
        <v/>
      </c>
      <c r="AC853" s="310" t="e">
        <f t="shared" ca="1" si="402"/>
        <v>#N/A</v>
      </c>
      <c r="AD853" s="323" t="e">
        <f t="shared" ca="1" si="403"/>
        <v>#N/A</v>
      </c>
      <c r="AE853" s="324" t="e">
        <f t="shared" ca="1" si="382"/>
        <v>#N/A</v>
      </c>
      <c r="AG853" s="306">
        <f t="shared" ca="1" si="404"/>
        <v>1.2666763714682077</v>
      </c>
      <c r="AH853" s="304">
        <f t="shared" ca="1" si="405"/>
        <v>-8.5070692985503769</v>
      </c>
    </row>
    <row r="854" spans="1:34" x14ac:dyDescent="0.2">
      <c r="A854" s="347">
        <f t="shared" ca="1" si="383"/>
        <v>1E-4</v>
      </c>
      <c r="B854" s="304">
        <f t="shared" ca="1" si="384"/>
        <v>29.246800000000039</v>
      </c>
      <c r="D854" s="306">
        <f t="shared" ca="1" si="385"/>
        <v>-0.73069530200970789</v>
      </c>
      <c r="E854" s="307">
        <f t="shared" ca="1" si="386"/>
        <v>-1.3343401969065987</v>
      </c>
      <c r="F854" s="304">
        <f t="shared" ca="1" si="387"/>
        <v>1.5213084452075454</v>
      </c>
      <c r="G854" s="306">
        <f t="shared" ca="1" si="388"/>
        <v>9.2060932888997087</v>
      </c>
      <c r="H854" s="307">
        <f t="shared" ca="1" si="389"/>
        <v>-106.78655169909641</v>
      </c>
      <c r="I854" s="304">
        <f t="shared" ca="1" si="390"/>
        <v>107.18264681107532</v>
      </c>
      <c r="J854" s="306">
        <f t="shared" ca="1" si="391"/>
        <v>746.86410190403069</v>
      </c>
      <c r="K854" s="307">
        <f t="shared" ca="1" si="392"/>
        <v>-7.2434407762076791</v>
      </c>
      <c r="L854" s="304">
        <f t="shared" ca="1" si="377"/>
        <v>746.89922623282507</v>
      </c>
      <c r="M854" s="306">
        <f t="shared" ca="1" si="393"/>
        <v>-1.4847987257580908</v>
      </c>
      <c r="N854" s="304">
        <f t="shared" ca="1" si="394"/>
        <v>-85.072700412341163</v>
      </c>
      <c r="P854" s="310">
        <f t="shared" ca="1" si="395"/>
        <v>23</v>
      </c>
      <c r="Q854" s="304">
        <f t="shared" ca="1" si="396"/>
        <v>0</v>
      </c>
      <c r="R854" s="306">
        <f t="shared" ca="1" si="397"/>
        <v>0</v>
      </c>
      <c r="S854" s="307">
        <f t="shared" ca="1" si="398"/>
        <v>5.083000000000002</v>
      </c>
      <c r="T854" s="304">
        <f t="shared" ca="1" si="378"/>
        <v>49.86423000000002</v>
      </c>
      <c r="U854" s="311">
        <f t="shared" ca="1" si="379"/>
        <v>0</v>
      </c>
      <c r="V854" s="306">
        <f t="shared" ca="1" si="380"/>
        <v>1.2258876429745516</v>
      </c>
      <c r="W854" s="304">
        <f t="shared" ca="1" si="381"/>
        <v>43.241730005098837</v>
      </c>
      <c r="Y854" s="314" t="str">
        <f t="shared" ca="1" si="399"/>
        <v/>
      </c>
      <c r="Z854" s="315" t="str">
        <f t="shared" ca="1" si="400"/>
        <v/>
      </c>
      <c r="AA854" s="316" t="str">
        <f t="shared" ca="1" si="401"/>
        <v/>
      </c>
      <c r="AC854" s="310" t="e">
        <f t="shared" ca="1" si="402"/>
        <v>#N/A</v>
      </c>
      <c r="AD854" s="323" t="e">
        <f t="shared" ca="1" si="403"/>
        <v>#N/A</v>
      </c>
      <c r="AE854" s="324" t="e">
        <f t="shared" ca="1" si="382"/>
        <v>#N/A</v>
      </c>
      <c r="AG854" s="306">
        <f t="shared" ca="1" si="404"/>
        <v>1.2666478422217615</v>
      </c>
      <c r="AH854" s="304">
        <f t="shared" ca="1" si="405"/>
        <v>-8.5070984902111224</v>
      </c>
    </row>
    <row r="855" spans="1:34" x14ac:dyDescent="0.2">
      <c r="A855" s="347">
        <f t="shared" ca="1" si="383"/>
        <v>1E-4</v>
      </c>
      <c r="B855" s="304">
        <f t="shared" ca="1" si="384"/>
        <v>29.246900000000039</v>
      </c>
      <c r="D855" s="306">
        <f t="shared" ca="1" si="385"/>
        <v>-0.73069114625036025</v>
      </c>
      <c r="E855" s="307">
        <f t="shared" ca="1" si="386"/>
        <v>-1.3343105390623382</v>
      </c>
      <c r="F855" s="304">
        <f t="shared" ca="1" si="387"/>
        <v>1.5212804362974937</v>
      </c>
      <c r="G855" s="306">
        <f t="shared" ca="1" si="388"/>
        <v>9.2060202197850831</v>
      </c>
      <c r="H855" s="307">
        <f t="shared" ca="1" si="389"/>
        <v>-106.78668513015032</v>
      </c>
      <c r="I855" s="304">
        <f t="shared" ca="1" si="390"/>
        <v>107.18277347303977</v>
      </c>
      <c r="J855" s="306">
        <f t="shared" ca="1" si="391"/>
        <v>746.86410190403069</v>
      </c>
      <c r="K855" s="307">
        <f t="shared" ca="1" si="392"/>
        <v>-7.2541194380491412</v>
      </c>
      <c r="L855" s="304">
        <f t="shared" ca="1" si="377"/>
        <v>746.89932987099121</v>
      </c>
      <c r="M855" s="306">
        <f t="shared" ca="1" si="393"/>
        <v>-1.4847995118890693</v>
      </c>
      <c r="N855" s="304">
        <f t="shared" ca="1" si="394"/>
        <v>-85.07274545432837</v>
      </c>
      <c r="P855" s="310">
        <f t="shared" ca="1" si="395"/>
        <v>23</v>
      </c>
      <c r="Q855" s="304">
        <f t="shared" ca="1" si="396"/>
        <v>0</v>
      </c>
      <c r="R855" s="306">
        <f t="shared" ca="1" si="397"/>
        <v>0</v>
      </c>
      <c r="S855" s="307">
        <f t="shared" ca="1" si="398"/>
        <v>5.083000000000002</v>
      </c>
      <c r="T855" s="304">
        <f t="shared" ca="1" si="378"/>
        <v>49.86423000000002</v>
      </c>
      <c r="U855" s="311">
        <f t="shared" ca="1" si="379"/>
        <v>0</v>
      </c>
      <c r="V855" s="306">
        <f t="shared" ca="1" si="380"/>
        <v>1.2258889520593819</v>
      </c>
      <c r="W855" s="304">
        <f t="shared" ca="1" si="381"/>
        <v>43.241878382598671</v>
      </c>
      <c r="Y855" s="314" t="str">
        <f t="shared" ca="1" si="399"/>
        <v/>
      </c>
      <c r="Z855" s="315" t="str">
        <f t="shared" ca="1" si="400"/>
        <v/>
      </c>
      <c r="AA855" s="316" t="str">
        <f t="shared" ca="1" si="401"/>
        <v/>
      </c>
      <c r="AC855" s="310" t="e">
        <f t="shared" ca="1" si="402"/>
        <v>#N/A</v>
      </c>
      <c r="AD855" s="323" t="e">
        <f t="shared" ca="1" si="403"/>
        <v>#N/A</v>
      </c>
      <c r="AE855" s="324" t="e">
        <f t="shared" ca="1" si="382"/>
        <v>#N/A</v>
      </c>
      <c r="AG855" s="306">
        <f t="shared" ca="1" si="404"/>
        <v>1.2666193133275687</v>
      </c>
      <c r="AH855" s="304">
        <f t="shared" ca="1" si="405"/>
        <v>-8.507127681506752</v>
      </c>
    </row>
    <row r="856" spans="1:34" x14ac:dyDescent="0.2">
      <c r="A856" s="347">
        <f t="shared" ca="1" si="383"/>
        <v>1E-4</v>
      </c>
      <c r="B856" s="304">
        <f t="shared" ca="1" si="384"/>
        <v>29.247000000000039</v>
      </c>
      <c r="D856" s="306">
        <f t="shared" ca="1" si="385"/>
        <v>-0.73068699048211039</v>
      </c>
      <c r="E856" s="307">
        <f t="shared" ca="1" si="386"/>
        <v>-1.3342808815890486</v>
      </c>
      <c r="F856" s="304">
        <f t="shared" ca="1" si="387"/>
        <v>1.521252427782402</v>
      </c>
      <c r="G856" s="306">
        <f t="shared" ca="1" si="388"/>
        <v>9.2059471510860345</v>
      </c>
      <c r="H856" s="307">
        <f t="shared" ca="1" si="389"/>
        <v>-106.78681855823848</v>
      </c>
      <c r="I856" s="304">
        <f t="shared" ca="1" si="390"/>
        <v>107.18290013215137</v>
      </c>
      <c r="J856" s="306">
        <f t="shared" ca="1" si="391"/>
        <v>746.86410190403069</v>
      </c>
      <c r="K856" s="307">
        <f t="shared" ca="1" si="392"/>
        <v>-7.2647981132335602</v>
      </c>
      <c r="L856" s="304">
        <f t="shared" ca="1" si="377"/>
        <v>746.89943366194916</v>
      </c>
      <c r="M856" s="306">
        <f t="shared" ca="1" si="393"/>
        <v>-1.4848002980119506</v>
      </c>
      <c r="N856" s="304">
        <f t="shared" ca="1" si="394"/>
        <v>-85.072790495851649</v>
      </c>
      <c r="P856" s="310">
        <f t="shared" ca="1" si="395"/>
        <v>23</v>
      </c>
      <c r="Q856" s="304">
        <f t="shared" ca="1" si="396"/>
        <v>0</v>
      </c>
      <c r="R856" s="306">
        <f t="shared" ca="1" si="397"/>
        <v>0</v>
      </c>
      <c r="S856" s="307">
        <f t="shared" ca="1" si="398"/>
        <v>5.083000000000002</v>
      </c>
      <c r="T856" s="304">
        <f t="shared" ca="1" si="378"/>
        <v>49.86423000000002</v>
      </c>
      <c r="U856" s="311">
        <f t="shared" ca="1" si="379"/>
        <v>0</v>
      </c>
      <c r="V856" s="306">
        <f t="shared" ca="1" si="380"/>
        <v>1.2258902611472462</v>
      </c>
      <c r="W856" s="304">
        <f t="shared" ca="1" si="381"/>
        <v>43.242026758242659</v>
      </c>
      <c r="Y856" s="314" t="str">
        <f t="shared" ca="1" si="399"/>
        <v/>
      </c>
      <c r="Z856" s="315" t="str">
        <f t="shared" ca="1" si="400"/>
        <v/>
      </c>
      <c r="AA856" s="316" t="str">
        <f t="shared" ca="1" si="401"/>
        <v/>
      </c>
      <c r="AC856" s="310" t="e">
        <f t="shared" ca="1" si="402"/>
        <v>#N/A</v>
      </c>
      <c r="AD856" s="323" t="e">
        <f t="shared" ca="1" si="403"/>
        <v>#N/A</v>
      </c>
      <c r="AE856" s="324" t="e">
        <f t="shared" ca="1" si="382"/>
        <v>#N/A</v>
      </c>
      <c r="AG856" s="306">
        <f t="shared" ca="1" si="404"/>
        <v>1.2665907847856204</v>
      </c>
      <c r="AH856" s="304">
        <f t="shared" ca="1" si="405"/>
        <v>-8.5071568724372728</v>
      </c>
    </row>
    <row r="857" spans="1:34" x14ac:dyDescent="0.2">
      <c r="A857" s="347">
        <f t="shared" ca="1" si="383"/>
        <v>1E-4</v>
      </c>
      <c r="B857" s="304">
        <f t="shared" ca="1" si="384"/>
        <v>29.247100000000039</v>
      </c>
      <c r="D857" s="306">
        <f t="shared" ca="1" si="385"/>
        <v>-0.73068283470495421</v>
      </c>
      <c r="E857" s="307">
        <f t="shared" ca="1" si="386"/>
        <v>-1.3342512244867333</v>
      </c>
      <c r="F857" s="304">
        <f t="shared" ca="1" si="387"/>
        <v>1.5212244196622715</v>
      </c>
      <c r="G857" s="306">
        <f t="shared" ca="1" si="388"/>
        <v>9.2058740828025645</v>
      </c>
      <c r="H857" s="307">
        <f t="shared" ca="1" si="389"/>
        <v>-106.78695198336092</v>
      </c>
      <c r="I857" s="304">
        <f t="shared" ca="1" si="390"/>
        <v>107.18302678841015</v>
      </c>
      <c r="J857" s="306">
        <f t="shared" ca="1" si="391"/>
        <v>746.86410190403069</v>
      </c>
      <c r="K857" s="307">
        <f t="shared" ca="1" si="392"/>
        <v>-7.2754768017606404</v>
      </c>
      <c r="L857" s="304">
        <f t="shared" ca="1" si="377"/>
        <v>746.89953760569915</v>
      </c>
      <c r="M857" s="306">
        <f t="shared" ca="1" si="393"/>
        <v>-1.4848010841267343</v>
      </c>
      <c r="N857" s="304">
        <f t="shared" ca="1" si="394"/>
        <v>-85.072835536910958</v>
      </c>
      <c r="P857" s="310">
        <f t="shared" ca="1" si="395"/>
        <v>23</v>
      </c>
      <c r="Q857" s="304">
        <f t="shared" ca="1" si="396"/>
        <v>0</v>
      </c>
      <c r="R857" s="306">
        <f t="shared" ca="1" si="397"/>
        <v>0</v>
      </c>
      <c r="S857" s="307">
        <f t="shared" ca="1" si="398"/>
        <v>5.083000000000002</v>
      </c>
      <c r="T857" s="304">
        <f t="shared" ca="1" si="378"/>
        <v>49.86423000000002</v>
      </c>
      <c r="U857" s="311">
        <f t="shared" ca="1" si="379"/>
        <v>0</v>
      </c>
      <c r="V857" s="306">
        <f t="shared" ca="1" si="380"/>
        <v>1.2258915702381452</v>
      </c>
      <c r="W857" s="304">
        <f t="shared" ca="1" si="381"/>
        <v>43.242175132030816</v>
      </c>
      <c r="Y857" s="314" t="str">
        <f t="shared" ca="1" si="399"/>
        <v/>
      </c>
      <c r="Z857" s="315" t="str">
        <f t="shared" ca="1" si="400"/>
        <v/>
      </c>
      <c r="AA857" s="316" t="str">
        <f t="shared" ca="1" si="401"/>
        <v/>
      </c>
      <c r="AC857" s="310" t="e">
        <f t="shared" ca="1" si="402"/>
        <v>#N/A</v>
      </c>
      <c r="AD857" s="323" t="e">
        <f t="shared" ca="1" si="403"/>
        <v>#N/A</v>
      </c>
      <c r="AE857" s="324" t="e">
        <f t="shared" ca="1" si="382"/>
        <v>#N/A</v>
      </c>
      <c r="AG857" s="306">
        <f t="shared" ca="1" si="404"/>
        <v>1.26656225659592</v>
      </c>
      <c r="AH857" s="304">
        <f t="shared" ca="1" si="405"/>
        <v>-8.5071860630026848</v>
      </c>
    </row>
    <row r="858" spans="1:34" x14ac:dyDescent="0.2">
      <c r="A858" s="347">
        <f t="shared" ca="1" si="383"/>
        <v>1E-4</v>
      </c>
      <c r="B858" s="304">
        <f t="shared" ca="1" si="384"/>
        <v>29.247200000000039</v>
      </c>
      <c r="D858" s="306">
        <f t="shared" ca="1" si="385"/>
        <v>-0.73067867891889537</v>
      </c>
      <c r="E858" s="307">
        <f t="shared" ca="1" si="386"/>
        <v>-1.334221567755387</v>
      </c>
      <c r="F858" s="304">
        <f t="shared" ca="1" si="387"/>
        <v>1.5211964119370993</v>
      </c>
      <c r="G858" s="306">
        <f t="shared" ca="1" si="388"/>
        <v>9.2058010149346732</v>
      </c>
      <c r="H858" s="307">
        <f t="shared" ca="1" si="389"/>
        <v>-106.7870854055177</v>
      </c>
      <c r="I858" s="304">
        <f t="shared" ca="1" si="390"/>
        <v>107.18315344181615</v>
      </c>
      <c r="J858" s="306">
        <f t="shared" ca="1" si="391"/>
        <v>746.86410190403069</v>
      </c>
      <c r="K858" s="307">
        <f t="shared" ca="1" si="392"/>
        <v>-7.2861555036300842</v>
      </c>
      <c r="L858" s="304">
        <f t="shared" ca="1" si="377"/>
        <v>746.89964170224187</v>
      </c>
      <c r="M858" s="306">
        <f t="shared" ca="1" si="393"/>
        <v>-1.4848018702334207</v>
      </c>
      <c r="N858" s="304">
        <f t="shared" ca="1" si="394"/>
        <v>-85.072880577506339</v>
      </c>
      <c r="P858" s="310">
        <f t="shared" ca="1" si="395"/>
        <v>23</v>
      </c>
      <c r="Q858" s="304">
        <f t="shared" ca="1" si="396"/>
        <v>0</v>
      </c>
      <c r="R858" s="306">
        <f t="shared" ca="1" si="397"/>
        <v>0</v>
      </c>
      <c r="S858" s="307">
        <f t="shared" ca="1" si="398"/>
        <v>5.083000000000002</v>
      </c>
      <c r="T858" s="304">
        <f t="shared" ca="1" si="378"/>
        <v>49.86423000000002</v>
      </c>
      <c r="U858" s="311">
        <f t="shared" ca="1" si="379"/>
        <v>0</v>
      </c>
      <c r="V858" s="306">
        <f t="shared" ca="1" si="380"/>
        <v>1.2258928793320776</v>
      </c>
      <c r="W858" s="304">
        <f t="shared" ca="1" si="381"/>
        <v>43.242323503963149</v>
      </c>
      <c r="Y858" s="314" t="str">
        <f t="shared" ca="1" si="399"/>
        <v/>
      </c>
      <c r="Z858" s="315" t="str">
        <f t="shared" ca="1" si="400"/>
        <v/>
      </c>
      <c r="AA858" s="316" t="str">
        <f t="shared" ca="1" si="401"/>
        <v/>
      </c>
      <c r="AC858" s="310" t="e">
        <f t="shared" ca="1" si="402"/>
        <v>#N/A</v>
      </c>
      <c r="AD858" s="323" t="e">
        <f t="shared" ca="1" si="403"/>
        <v>#N/A</v>
      </c>
      <c r="AE858" s="324" t="e">
        <f t="shared" ca="1" si="382"/>
        <v>#N/A</v>
      </c>
      <c r="AG858" s="306">
        <f t="shared" ca="1" si="404"/>
        <v>1.2665337287584624</v>
      </c>
      <c r="AH858" s="304">
        <f t="shared" ca="1" si="405"/>
        <v>-8.5072152532029897</v>
      </c>
    </row>
    <row r="859" spans="1:34" x14ac:dyDescent="0.2">
      <c r="A859" s="347">
        <f t="shared" ca="1" si="383"/>
        <v>1E-4</v>
      </c>
      <c r="B859" s="304">
        <f t="shared" ca="1" si="384"/>
        <v>29.247300000000038</v>
      </c>
      <c r="D859" s="306">
        <f t="shared" ca="1" si="385"/>
        <v>-0.73067452312393388</v>
      </c>
      <c r="E859" s="307">
        <f t="shared" ca="1" si="386"/>
        <v>-1.334191911395008</v>
      </c>
      <c r="F859" s="304">
        <f t="shared" ca="1" si="387"/>
        <v>1.5211684046068841</v>
      </c>
      <c r="G859" s="306">
        <f t="shared" ca="1" si="388"/>
        <v>9.2057279474823606</v>
      </c>
      <c r="H859" s="307">
        <f t="shared" ca="1" si="389"/>
        <v>-106.78721882470884</v>
      </c>
      <c r="I859" s="304">
        <f t="shared" ca="1" si="390"/>
        <v>107.18328009236939</v>
      </c>
      <c r="J859" s="306">
        <f t="shared" ca="1" si="391"/>
        <v>746.86410190403069</v>
      </c>
      <c r="K859" s="307">
        <f t="shared" ca="1" si="392"/>
        <v>-7.296834218841596</v>
      </c>
      <c r="L859" s="304">
        <f t="shared" ca="1" si="377"/>
        <v>746.89974595157787</v>
      </c>
      <c r="M859" s="306">
        <f t="shared" ca="1" si="393"/>
        <v>-1.48480265633201</v>
      </c>
      <c r="N859" s="304">
        <f t="shared" ca="1" si="394"/>
        <v>-85.072925617637793</v>
      </c>
      <c r="P859" s="310">
        <f t="shared" ca="1" si="395"/>
        <v>23</v>
      </c>
      <c r="Q859" s="304">
        <f t="shared" ca="1" si="396"/>
        <v>0</v>
      </c>
      <c r="R859" s="306">
        <f t="shared" ca="1" si="397"/>
        <v>0</v>
      </c>
      <c r="S859" s="307">
        <f t="shared" ca="1" si="398"/>
        <v>5.083000000000002</v>
      </c>
      <c r="T859" s="304">
        <f t="shared" ca="1" si="378"/>
        <v>49.86423000000002</v>
      </c>
      <c r="U859" s="311">
        <f t="shared" ca="1" si="379"/>
        <v>0</v>
      </c>
      <c r="V859" s="306">
        <f t="shared" ca="1" si="380"/>
        <v>1.2258941884290449</v>
      </c>
      <c r="W859" s="304">
        <f t="shared" ca="1" si="381"/>
        <v>43.242471874039694</v>
      </c>
      <c r="Y859" s="314" t="str">
        <f t="shared" ca="1" si="399"/>
        <v/>
      </c>
      <c r="Z859" s="315" t="str">
        <f t="shared" ca="1" si="400"/>
        <v/>
      </c>
      <c r="AA859" s="316" t="str">
        <f t="shared" ca="1" si="401"/>
        <v/>
      </c>
      <c r="AC859" s="310" t="e">
        <f t="shared" ca="1" si="402"/>
        <v>#N/A</v>
      </c>
      <c r="AD859" s="323" t="e">
        <f t="shared" ca="1" si="403"/>
        <v>#N/A</v>
      </c>
      <c r="AE859" s="324" t="e">
        <f t="shared" ca="1" si="382"/>
        <v>#N/A</v>
      </c>
      <c r="AG859" s="306">
        <f t="shared" ca="1" si="404"/>
        <v>1.2665052012732438</v>
      </c>
      <c r="AH859" s="304">
        <f t="shared" ca="1" si="405"/>
        <v>-8.5072444430381928</v>
      </c>
    </row>
    <row r="860" spans="1:34" x14ac:dyDescent="0.2">
      <c r="A860" s="347">
        <f t="shared" ca="1" si="383"/>
        <v>1E-4</v>
      </c>
      <c r="B860" s="304">
        <f t="shared" ca="1" si="384"/>
        <v>29.247400000000038</v>
      </c>
      <c r="D860" s="306">
        <f t="shared" ca="1" si="385"/>
        <v>-0.73067036732007007</v>
      </c>
      <c r="E860" s="307">
        <f t="shared" ca="1" si="386"/>
        <v>-1.3341622554055892</v>
      </c>
      <c r="F860" s="304">
        <f t="shared" ca="1" si="387"/>
        <v>1.5211403976716202</v>
      </c>
      <c r="G860" s="306">
        <f t="shared" ca="1" si="388"/>
        <v>9.2056548804456284</v>
      </c>
      <c r="H860" s="307">
        <f t="shared" ca="1" si="389"/>
        <v>-106.78735224093438</v>
      </c>
      <c r="I860" s="304">
        <f t="shared" ca="1" si="390"/>
        <v>107.18340674006991</v>
      </c>
      <c r="J860" s="306">
        <f t="shared" ca="1" si="391"/>
        <v>746.86410190403069</v>
      </c>
      <c r="K860" s="307">
        <f t="shared" ca="1" si="392"/>
        <v>-7.3075129473948781</v>
      </c>
      <c r="L860" s="304">
        <f t="shared" ca="1" si="377"/>
        <v>746.89985035370751</v>
      </c>
      <c r="M860" s="306">
        <f t="shared" ca="1" si="393"/>
        <v>-1.4848034424225023</v>
      </c>
      <c r="N860" s="304">
        <f t="shared" ca="1" si="394"/>
        <v>-85.072970657305319</v>
      </c>
      <c r="P860" s="310">
        <f t="shared" ca="1" si="395"/>
        <v>23</v>
      </c>
      <c r="Q860" s="304">
        <f t="shared" ca="1" si="396"/>
        <v>0</v>
      </c>
      <c r="R860" s="306">
        <f t="shared" ca="1" si="397"/>
        <v>0</v>
      </c>
      <c r="S860" s="307">
        <f t="shared" ca="1" si="398"/>
        <v>5.083000000000002</v>
      </c>
      <c r="T860" s="304">
        <f t="shared" ca="1" si="378"/>
        <v>49.86423000000002</v>
      </c>
      <c r="U860" s="311">
        <f t="shared" ca="1" si="379"/>
        <v>0</v>
      </c>
      <c r="V860" s="306">
        <f t="shared" ca="1" si="380"/>
        <v>1.2258954975290453</v>
      </c>
      <c r="W860" s="304">
        <f t="shared" ca="1" si="381"/>
        <v>43.242620242260422</v>
      </c>
      <c r="Y860" s="314" t="str">
        <f t="shared" ca="1" si="399"/>
        <v/>
      </c>
      <c r="Z860" s="315" t="str">
        <f t="shared" ca="1" si="400"/>
        <v/>
      </c>
      <c r="AA860" s="316" t="str">
        <f t="shared" ca="1" si="401"/>
        <v/>
      </c>
      <c r="AC860" s="310" t="e">
        <f t="shared" ca="1" si="402"/>
        <v>#N/A</v>
      </c>
      <c r="AD860" s="323" t="e">
        <f t="shared" ca="1" si="403"/>
        <v>#N/A</v>
      </c>
      <c r="AE860" s="324" t="e">
        <f t="shared" ca="1" si="382"/>
        <v>#N/A</v>
      </c>
      <c r="AG860" s="306">
        <f t="shared" ca="1" si="404"/>
        <v>1.2664766741402627</v>
      </c>
      <c r="AH860" s="304">
        <f t="shared" ca="1" si="405"/>
        <v>-8.5072736325082978</v>
      </c>
    </row>
    <row r="861" spans="1:34" x14ac:dyDescent="0.2">
      <c r="A861" s="347">
        <f t="shared" ca="1" si="383"/>
        <v>1E-4</v>
      </c>
      <c r="B861" s="304">
        <f t="shared" ca="1" si="384"/>
        <v>29.247500000000038</v>
      </c>
      <c r="D861" s="306">
        <f t="shared" ca="1" si="385"/>
        <v>-0.73066621150730493</v>
      </c>
      <c r="E861" s="307">
        <f t="shared" ca="1" si="386"/>
        <v>-1.3341325997871358</v>
      </c>
      <c r="F861" s="304">
        <f t="shared" ca="1" si="387"/>
        <v>1.5211123911313127</v>
      </c>
      <c r="G861" s="306">
        <f t="shared" ca="1" si="388"/>
        <v>9.2055818138244785</v>
      </c>
      <c r="H861" s="307">
        <f t="shared" ca="1" si="389"/>
        <v>-106.78748565419436</v>
      </c>
      <c r="I861" s="304">
        <f t="shared" ca="1" si="390"/>
        <v>107.18353338491777</v>
      </c>
      <c r="J861" s="306">
        <f t="shared" ca="1" si="391"/>
        <v>746.86410190403069</v>
      </c>
      <c r="K861" s="307">
        <f t="shared" ca="1" si="392"/>
        <v>-7.3181916892896348</v>
      </c>
      <c r="L861" s="304">
        <f t="shared" ca="1" si="377"/>
        <v>746.89995490863134</v>
      </c>
      <c r="M861" s="306">
        <f t="shared" ca="1" si="393"/>
        <v>-1.4848042285048977</v>
      </c>
      <c r="N861" s="304">
        <f t="shared" ca="1" si="394"/>
        <v>-85.073015696508918</v>
      </c>
      <c r="P861" s="310">
        <f t="shared" ca="1" si="395"/>
        <v>23</v>
      </c>
      <c r="Q861" s="304">
        <f t="shared" ca="1" si="396"/>
        <v>0</v>
      </c>
      <c r="R861" s="306">
        <f t="shared" ca="1" si="397"/>
        <v>0</v>
      </c>
      <c r="S861" s="307">
        <f t="shared" ca="1" si="398"/>
        <v>5.083000000000002</v>
      </c>
      <c r="T861" s="304">
        <f t="shared" ca="1" si="378"/>
        <v>49.86423000000002</v>
      </c>
      <c r="U861" s="311">
        <f t="shared" ca="1" si="379"/>
        <v>0</v>
      </c>
      <c r="V861" s="306">
        <f t="shared" ca="1" si="380"/>
        <v>1.2258968066320801</v>
      </c>
      <c r="W861" s="304">
        <f t="shared" ca="1" si="381"/>
        <v>43.242768608625383</v>
      </c>
      <c r="Y861" s="314" t="str">
        <f t="shared" ca="1" si="399"/>
        <v/>
      </c>
      <c r="Z861" s="315" t="str">
        <f t="shared" ca="1" si="400"/>
        <v/>
      </c>
      <c r="AA861" s="316" t="str">
        <f t="shared" ca="1" si="401"/>
        <v/>
      </c>
      <c r="AC861" s="310" t="e">
        <f t="shared" ca="1" si="402"/>
        <v>#N/A</v>
      </c>
      <c r="AD861" s="323" t="e">
        <f t="shared" ca="1" si="403"/>
        <v>#N/A</v>
      </c>
      <c r="AE861" s="324" t="e">
        <f t="shared" ca="1" si="382"/>
        <v>#N/A</v>
      </c>
      <c r="AG861" s="306">
        <f t="shared" ca="1" si="404"/>
        <v>1.2664481473595188</v>
      </c>
      <c r="AH861" s="304">
        <f t="shared" ca="1" si="405"/>
        <v>-8.5073028216133011</v>
      </c>
    </row>
    <row r="862" spans="1:34" x14ac:dyDescent="0.2">
      <c r="A862" s="347">
        <f t="shared" ca="1" si="383"/>
        <v>1E-4</v>
      </c>
      <c r="B862" s="304">
        <f t="shared" ca="1" si="384"/>
        <v>29.247600000000038</v>
      </c>
      <c r="D862" s="306">
        <f t="shared" ca="1" si="385"/>
        <v>-0.7306620556856388</v>
      </c>
      <c r="E862" s="307">
        <f t="shared" ca="1" si="386"/>
        <v>-1.3341029445396391</v>
      </c>
      <c r="F862" s="304">
        <f t="shared" ca="1" si="387"/>
        <v>1.5210843849859543</v>
      </c>
      <c r="G862" s="306">
        <f t="shared" ca="1" si="388"/>
        <v>9.2055087476189108</v>
      </c>
      <c r="H862" s="307">
        <f t="shared" ca="1" si="389"/>
        <v>-106.78761906448881</v>
      </c>
      <c r="I862" s="304">
        <f t="shared" ca="1" si="390"/>
        <v>107.18366002691297</v>
      </c>
      <c r="J862" s="306">
        <f t="shared" ca="1" si="391"/>
        <v>746.86410190403069</v>
      </c>
      <c r="K862" s="307">
        <f t="shared" ca="1" si="392"/>
        <v>-7.3288704445255686</v>
      </c>
      <c r="L862" s="304">
        <f t="shared" ca="1" si="377"/>
        <v>746.90005961634984</v>
      </c>
      <c r="M862" s="306">
        <f t="shared" ca="1" si="393"/>
        <v>-1.484805014579196</v>
      </c>
      <c r="N862" s="304">
        <f t="shared" ca="1" si="394"/>
        <v>-85.073060735248603</v>
      </c>
      <c r="P862" s="310">
        <f t="shared" ca="1" si="395"/>
        <v>23</v>
      </c>
      <c r="Q862" s="304">
        <f t="shared" ca="1" si="396"/>
        <v>0</v>
      </c>
      <c r="R862" s="306">
        <f t="shared" ca="1" si="397"/>
        <v>0</v>
      </c>
      <c r="S862" s="307">
        <f t="shared" ca="1" si="398"/>
        <v>5.083000000000002</v>
      </c>
      <c r="T862" s="304">
        <f t="shared" ca="1" si="378"/>
        <v>49.86423000000002</v>
      </c>
      <c r="U862" s="311">
        <f t="shared" ca="1" si="379"/>
        <v>0</v>
      </c>
      <c r="V862" s="306">
        <f t="shared" ca="1" si="380"/>
        <v>1.225898115738149</v>
      </c>
      <c r="W862" s="304">
        <f t="shared" ca="1" si="381"/>
        <v>43.242916973134577</v>
      </c>
      <c r="Y862" s="314" t="str">
        <f t="shared" ca="1" si="399"/>
        <v/>
      </c>
      <c r="Z862" s="315" t="str">
        <f t="shared" ca="1" si="400"/>
        <v/>
      </c>
      <c r="AA862" s="316" t="str">
        <f t="shared" ca="1" si="401"/>
        <v/>
      </c>
      <c r="AC862" s="310" t="e">
        <f t="shared" ca="1" si="402"/>
        <v>#N/A</v>
      </c>
      <c r="AD862" s="323" t="e">
        <f t="shared" ca="1" si="403"/>
        <v>#N/A</v>
      </c>
      <c r="AE862" s="324" t="e">
        <f t="shared" ca="1" si="382"/>
        <v>#N/A</v>
      </c>
      <c r="AG862" s="306">
        <f t="shared" ca="1" si="404"/>
        <v>1.2664196209310106</v>
      </c>
      <c r="AH862" s="304">
        <f t="shared" ca="1" si="405"/>
        <v>-8.5073320103532097</v>
      </c>
    </row>
    <row r="863" spans="1:34" x14ac:dyDescent="0.2">
      <c r="A863" s="347">
        <f t="shared" ca="1" si="383"/>
        <v>1E-4</v>
      </c>
      <c r="B863" s="304">
        <f t="shared" ca="1" si="384"/>
        <v>29.247700000000037</v>
      </c>
      <c r="D863" s="306">
        <f t="shared" ca="1" si="385"/>
        <v>-0.73065789985507557</v>
      </c>
      <c r="E863" s="307">
        <f t="shared" ca="1" si="386"/>
        <v>-1.3340732896630971</v>
      </c>
      <c r="F863" s="304">
        <f t="shared" ca="1" si="387"/>
        <v>1.5210563792355456</v>
      </c>
      <c r="G863" s="306">
        <f t="shared" ca="1" si="388"/>
        <v>9.2054356818289254</v>
      </c>
      <c r="H863" s="307">
        <f t="shared" ca="1" si="389"/>
        <v>-106.78775247181777</v>
      </c>
      <c r="I863" s="304">
        <f t="shared" ca="1" si="390"/>
        <v>107.18378666605557</v>
      </c>
      <c r="J863" s="306">
        <f t="shared" ca="1" si="391"/>
        <v>746.86410190403069</v>
      </c>
      <c r="K863" s="307">
        <f t="shared" ca="1" si="392"/>
        <v>-7.3395492131023836</v>
      </c>
      <c r="L863" s="304">
        <f t="shared" ca="1" si="377"/>
        <v>746.90016447686355</v>
      </c>
      <c r="M863" s="306">
        <f t="shared" ca="1" si="393"/>
        <v>-1.4848058006453979</v>
      </c>
      <c r="N863" s="304">
        <f t="shared" ca="1" si="394"/>
        <v>-85.073105773524389</v>
      </c>
      <c r="P863" s="310">
        <f t="shared" ca="1" si="395"/>
        <v>23</v>
      </c>
      <c r="Q863" s="304">
        <f t="shared" ca="1" si="396"/>
        <v>0</v>
      </c>
      <c r="R863" s="306">
        <f t="shared" ca="1" si="397"/>
        <v>0</v>
      </c>
      <c r="S863" s="307">
        <f t="shared" ca="1" si="398"/>
        <v>5.083000000000002</v>
      </c>
      <c r="T863" s="304">
        <f t="shared" ca="1" si="378"/>
        <v>49.86423000000002</v>
      </c>
      <c r="U863" s="311">
        <f t="shared" ca="1" si="379"/>
        <v>0</v>
      </c>
      <c r="V863" s="306">
        <f t="shared" ca="1" si="380"/>
        <v>1.2258994248472517</v>
      </c>
      <c r="W863" s="304">
        <f t="shared" ca="1" si="381"/>
        <v>43.24306533578801</v>
      </c>
      <c r="Y863" s="314" t="str">
        <f t="shared" ca="1" si="399"/>
        <v/>
      </c>
      <c r="Z863" s="315" t="str">
        <f t="shared" ca="1" si="400"/>
        <v/>
      </c>
      <c r="AA863" s="316" t="str">
        <f t="shared" ca="1" si="401"/>
        <v/>
      </c>
      <c r="AC863" s="310" t="e">
        <f t="shared" ca="1" si="402"/>
        <v>#N/A</v>
      </c>
      <c r="AD863" s="323" t="e">
        <f t="shared" ca="1" si="403"/>
        <v>#N/A</v>
      </c>
      <c r="AE863" s="324" t="e">
        <f t="shared" ca="1" si="382"/>
        <v>#N/A</v>
      </c>
      <c r="AG863" s="306">
        <f t="shared" ca="1" si="404"/>
        <v>1.2663910948547308</v>
      </c>
      <c r="AH863" s="304">
        <f t="shared" ca="1" si="405"/>
        <v>-8.5073611987280273</v>
      </c>
    </row>
    <row r="864" spans="1:34" x14ac:dyDescent="0.2">
      <c r="A864" s="347">
        <f t="shared" ca="1" si="383"/>
        <v>1E-4</v>
      </c>
      <c r="B864" s="304">
        <f t="shared" ca="1" si="384"/>
        <v>29.247800000000037</v>
      </c>
      <c r="D864" s="306">
        <f t="shared" ca="1" si="385"/>
        <v>-0.73065374401561078</v>
      </c>
      <c r="E864" s="307">
        <f t="shared" ca="1" si="386"/>
        <v>-1.3340436351575118</v>
      </c>
      <c r="F864" s="304">
        <f t="shared" ca="1" si="387"/>
        <v>1.5210283738800858</v>
      </c>
      <c r="G864" s="306">
        <f t="shared" ca="1" si="388"/>
        <v>9.2053626164545239</v>
      </c>
      <c r="H864" s="307">
        <f t="shared" ca="1" si="389"/>
        <v>-106.78788587618128</v>
      </c>
      <c r="I864" s="304">
        <f t="shared" ca="1" si="390"/>
        <v>107.18391330234559</v>
      </c>
      <c r="J864" s="306">
        <f t="shared" ca="1" si="391"/>
        <v>746.86410190403069</v>
      </c>
      <c r="K864" s="307">
        <f t="shared" ca="1" si="392"/>
        <v>-7.3502279950197833</v>
      </c>
      <c r="L864" s="304">
        <f t="shared" ca="1" si="377"/>
        <v>746.90026949017306</v>
      </c>
      <c r="M864" s="306">
        <f t="shared" ca="1" si="393"/>
        <v>-1.484806586703503</v>
      </c>
      <c r="N864" s="304">
        <f t="shared" ca="1" si="394"/>
        <v>-85.073150811336262</v>
      </c>
      <c r="P864" s="310">
        <f t="shared" ca="1" si="395"/>
        <v>23</v>
      </c>
      <c r="Q864" s="304">
        <f t="shared" ca="1" si="396"/>
        <v>0</v>
      </c>
      <c r="R864" s="306">
        <f t="shared" ca="1" si="397"/>
        <v>0</v>
      </c>
      <c r="S864" s="307">
        <f t="shared" ca="1" si="398"/>
        <v>5.083000000000002</v>
      </c>
      <c r="T864" s="304">
        <f t="shared" ca="1" si="378"/>
        <v>49.86423000000002</v>
      </c>
      <c r="U864" s="311">
        <f t="shared" ca="1" si="379"/>
        <v>0</v>
      </c>
      <c r="V864" s="306">
        <f t="shared" ca="1" si="380"/>
        <v>1.2259007339593881</v>
      </c>
      <c r="W864" s="304">
        <f t="shared" ca="1" si="381"/>
        <v>43.243213696585698</v>
      </c>
      <c r="Y864" s="314" t="str">
        <f t="shared" ca="1" si="399"/>
        <v/>
      </c>
      <c r="Z864" s="315" t="str">
        <f t="shared" ca="1" si="400"/>
        <v/>
      </c>
      <c r="AA864" s="316" t="str">
        <f t="shared" ca="1" si="401"/>
        <v/>
      </c>
      <c r="AC864" s="310" t="e">
        <f t="shared" ca="1" si="402"/>
        <v>#N/A</v>
      </c>
      <c r="AD864" s="323" t="e">
        <f t="shared" ca="1" si="403"/>
        <v>#N/A</v>
      </c>
      <c r="AE864" s="324" t="e">
        <f t="shared" ca="1" si="382"/>
        <v>#N/A</v>
      </c>
      <c r="AG864" s="306">
        <f t="shared" ca="1" si="404"/>
        <v>1.266362569130683</v>
      </c>
      <c r="AH864" s="304">
        <f t="shared" ca="1" si="405"/>
        <v>-8.5073903867377521</v>
      </c>
    </row>
    <row r="865" spans="1:34" x14ac:dyDescent="0.2">
      <c r="A865" s="347">
        <f t="shared" ca="1" si="383"/>
        <v>1E-4</v>
      </c>
      <c r="B865" s="304">
        <f t="shared" ca="1" si="384"/>
        <v>29.247900000000037</v>
      </c>
      <c r="D865" s="306">
        <f t="shared" ca="1" si="385"/>
        <v>-0.73064958816725056</v>
      </c>
      <c r="E865" s="307">
        <f t="shared" ca="1" si="386"/>
        <v>-1.3340139810228777</v>
      </c>
      <c r="F865" s="304">
        <f t="shared" ca="1" si="387"/>
        <v>1.5210003689195737</v>
      </c>
      <c r="G865" s="306">
        <f t="shared" ca="1" si="388"/>
        <v>9.2052895514957065</v>
      </c>
      <c r="H865" s="307">
        <f t="shared" ca="1" si="389"/>
        <v>-106.78801927757938</v>
      </c>
      <c r="I865" s="304">
        <f t="shared" ca="1" si="390"/>
        <v>107.18403993578308</v>
      </c>
      <c r="J865" s="306">
        <f t="shared" ca="1" si="391"/>
        <v>746.86410190403069</v>
      </c>
      <c r="K865" s="307">
        <f t="shared" ca="1" si="392"/>
        <v>-7.360906790277471</v>
      </c>
      <c r="L865" s="304">
        <f t="shared" ca="1" si="377"/>
        <v>746.9003746562787</v>
      </c>
      <c r="M865" s="306">
        <f t="shared" ca="1" si="393"/>
        <v>-1.4848073727535116</v>
      </c>
      <c r="N865" s="304">
        <f t="shared" ca="1" si="394"/>
        <v>-85.073195848684236</v>
      </c>
      <c r="P865" s="310">
        <f t="shared" ca="1" si="395"/>
        <v>23</v>
      </c>
      <c r="Q865" s="304">
        <f t="shared" ca="1" si="396"/>
        <v>0</v>
      </c>
      <c r="R865" s="306">
        <f t="shared" ca="1" si="397"/>
        <v>0</v>
      </c>
      <c r="S865" s="307">
        <f t="shared" ca="1" si="398"/>
        <v>5.083000000000002</v>
      </c>
      <c r="T865" s="304">
        <f t="shared" ca="1" si="378"/>
        <v>49.86423000000002</v>
      </c>
      <c r="U865" s="311">
        <f t="shared" ca="1" si="379"/>
        <v>0</v>
      </c>
      <c r="V865" s="306">
        <f t="shared" ca="1" si="380"/>
        <v>1.2259020430745586</v>
      </c>
      <c r="W865" s="304">
        <f t="shared" ca="1" si="381"/>
        <v>43.243362055527669</v>
      </c>
      <c r="Y865" s="314" t="str">
        <f t="shared" ca="1" si="399"/>
        <v/>
      </c>
      <c r="Z865" s="315" t="str">
        <f t="shared" ca="1" si="400"/>
        <v/>
      </c>
      <c r="AA865" s="316" t="str">
        <f t="shared" ca="1" si="401"/>
        <v/>
      </c>
      <c r="AC865" s="310" t="e">
        <f t="shared" ca="1" si="402"/>
        <v>#N/A</v>
      </c>
      <c r="AD865" s="323" t="e">
        <f t="shared" ca="1" si="403"/>
        <v>#N/A</v>
      </c>
      <c r="AE865" s="324" t="e">
        <f t="shared" ca="1" si="382"/>
        <v>#N/A</v>
      </c>
      <c r="AG865" s="306">
        <f t="shared" ca="1" si="404"/>
        <v>1.2663340437588619</v>
      </c>
      <c r="AH865" s="304">
        <f t="shared" ca="1" si="405"/>
        <v>-8.5074195743823893</v>
      </c>
    </row>
    <row r="866" spans="1:34" x14ac:dyDescent="0.2">
      <c r="A866" s="347">
        <f t="shared" ca="1" si="383"/>
        <v>1E-4</v>
      </c>
      <c r="B866" s="304">
        <f t="shared" ca="1" si="384"/>
        <v>29.248000000000037</v>
      </c>
      <c r="D866" s="306">
        <f t="shared" ca="1" si="385"/>
        <v>-0.7306454323099929</v>
      </c>
      <c r="E866" s="307">
        <f t="shared" ca="1" si="386"/>
        <v>-1.3339843272591896</v>
      </c>
      <c r="F866" s="304">
        <f t="shared" ca="1" si="387"/>
        <v>1.5209723643540038</v>
      </c>
      <c r="G866" s="306">
        <f t="shared" ca="1" si="388"/>
        <v>9.2052164869524749</v>
      </c>
      <c r="H866" s="307">
        <f t="shared" ca="1" si="389"/>
        <v>-106.7881526760121</v>
      </c>
      <c r="I866" s="304">
        <f t="shared" ca="1" si="390"/>
        <v>107.18416656636806</v>
      </c>
      <c r="J866" s="306">
        <f t="shared" ca="1" si="391"/>
        <v>746.86410190403069</v>
      </c>
      <c r="K866" s="307">
        <f t="shared" ca="1" si="392"/>
        <v>-7.3715855988751509</v>
      </c>
      <c r="L866" s="304">
        <f t="shared" ca="1" si="377"/>
        <v>746.90047997518104</v>
      </c>
      <c r="M866" s="306">
        <f t="shared" ca="1" si="393"/>
        <v>-1.4848081587954238</v>
      </c>
      <c r="N866" s="304">
        <f t="shared" ca="1" si="394"/>
        <v>-85.073240885568325</v>
      </c>
      <c r="P866" s="310">
        <f t="shared" ca="1" si="395"/>
        <v>23</v>
      </c>
      <c r="Q866" s="304">
        <f t="shared" ca="1" si="396"/>
        <v>0</v>
      </c>
      <c r="R866" s="306">
        <f t="shared" ca="1" si="397"/>
        <v>0</v>
      </c>
      <c r="S866" s="307">
        <f t="shared" ca="1" si="398"/>
        <v>5.083000000000002</v>
      </c>
      <c r="T866" s="304">
        <f t="shared" ca="1" si="378"/>
        <v>49.86423000000002</v>
      </c>
      <c r="U866" s="311">
        <f t="shared" ca="1" si="379"/>
        <v>0</v>
      </c>
      <c r="V866" s="306">
        <f t="shared" ca="1" si="380"/>
        <v>1.2259033521927629</v>
      </c>
      <c r="W866" s="304">
        <f t="shared" ca="1" si="381"/>
        <v>43.243510412613929</v>
      </c>
      <c r="Y866" s="314" t="str">
        <f t="shared" ca="1" si="399"/>
        <v/>
      </c>
      <c r="Z866" s="315" t="str">
        <f t="shared" ca="1" si="400"/>
        <v/>
      </c>
      <c r="AA866" s="316" t="str">
        <f t="shared" ca="1" si="401"/>
        <v/>
      </c>
      <c r="AC866" s="310" t="e">
        <f t="shared" ca="1" si="402"/>
        <v>#N/A</v>
      </c>
      <c r="AD866" s="323" t="e">
        <f t="shared" ca="1" si="403"/>
        <v>#N/A</v>
      </c>
      <c r="AE866" s="324" t="e">
        <f t="shared" ca="1" si="382"/>
        <v>#N/A</v>
      </c>
      <c r="AG866" s="306">
        <f t="shared" ca="1" si="404"/>
        <v>1.266305518739264</v>
      </c>
      <c r="AH866" s="304">
        <f t="shared" ca="1" si="405"/>
        <v>-8.5074487616619425</v>
      </c>
    </row>
    <row r="867" spans="1:34" x14ac:dyDescent="0.2">
      <c r="A867" s="347">
        <f t="shared" ca="1" si="383"/>
        <v>1E-4</v>
      </c>
      <c r="B867" s="304">
        <f t="shared" ca="1" si="384"/>
        <v>29.248100000000036</v>
      </c>
      <c r="D867" s="306">
        <f t="shared" ca="1" si="385"/>
        <v>-0.73064127644383936</v>
      </c>
      <c r="E867" s="307">
        <f t="shared" ca="1" si="386"/>
        <v>-1.3339546738664474</v>
      </c>
      <c r="F867" s="304">
        <f t="shared" ca="1" si="387"/>
        <v>1.5209443601833772</v>
      </c>
      <c r="G867" s="306">
        <f t="shared" ca="1" si="388"/>
        <v>9.2051434228248308</v>
      </c>
      <c r="H867" s="307">
        <f t="shared" ca="1" si="389"/>
        <v>-106.78828607147949</v>
      </c>
      <c r="I867" s="304">
        <f t="shared" ca="1" si="390"/>
        <v>107.18429319410058</v>
      </c>
      <c r="J867" s="306">
        <f t="shared" ca="1" si="391"/>
        <v>746.86410190403069</v>
      </c>
      <c r="K867" s="307">
        <f t="shared" ca="1" si="392"/>
        <v>-7.3822644208125254</v>
      </c>
      <c r="L867" s="304">
        <f t="shared" ca="1" si="377"/>
        <v>746.90058544688065</v>
      </c>
      <c r="M867" s="306">
        <f t="shared" ca="1" si="393"/>
        <v>-1.4848089448292399</v>
      </c>
      <c r="N867" s="304">
        <f t="shared" ca="1" si="394"/>
        <v>-85.073285921988543</v>
      </c>
      <c r="P867" s="310">
        <f t="shared" ca="1" si="395"/>
        <v>23</v>
      </c>
      <c r="Q867" s="304">
        <f t="shared" ca="1" si="396"/>
        <v>0</v>
      </c>
      <c r="R867" s="306">
        <f t="shared" ca="1" si="397"/>
        <v>0</v>
      </c>
      <c r="S867" s="307">
        <f t="shared" ca="1" si="398"/>
        <v>5.083000000000002</v>
      </c>
      <c r="T867" s="304">
        <f t="shared" ca="1" si="378"/>
        <v>49.86423000000002</v>
      </c>
      <c r="U867" s="311">
        <f t="shared" ca="1" si="379"/>
        <v>0</v>
      </c>
      <c r="V867" s="306">
        <f t="shared" ca="1" si="380"/>
        <v>1.2259046613140012</v>
      </c>
      <c r="W867" s="304">
        <f t="shared" ca="1" si="381"/>
        <v>43.243658767844487</v>
      </c>
      <c r="Y867" s="314" t="str">
        <f t="shared" ca="1" si="399"/>
        <v/>
      </c>
      <c r="Z867" s="315" t="str">
        <f t="shared" ca="1" si="400"/>
        <v/>
      </c>
      <c r="AA867" s="316" t="str">
        <f t="shared" ca="1" si="401"/>
        <v/>
      </c>
      <c r="AC867" s="310" t="e">
        <f t="shared" ca="1" si="402"/>
        <v>#N/A</v>
      </c>
      <c r="AD867" s="323" t="e">
        <f t="shared" ca="1" si="403"/>
        <v>#N/A</v>
      </c>
      <c r="AE867" s="324" t="e">
        <f t="shared" ca="1" si="382"/>
        <v>#N/A</v>
      </c>
      <c r="AG867" s="306">
        <f t="shared" ca="1" si="404"/>
        <v>1.2662769940718892</v>
      </c>
      <c r="AH867" s="304">
        <f t="shared" ca="1" si="405"/>
        <v>-8.5074779485764136</v>
      </c>
    </row>
    <row r="868" spans="1:34" x14ac:dyDescent="0.2">
      <c r="A868" s="347">
        <f t="shared" ca="1" si="383"/>
        <v>1E-4</v>
      </c>
      <c r="B868" s="304">
        <f t="shared" ca="1" si="384"/>
        <v>29.248200000000036</v>
      </c>
      <c r="D868" s="306">
        <f t="shared" ca="1" si="385"/>
        <v>-0.73063712056879015</v>
      </c>
      <c r="E868" s="307">
        <f t="shared" ca="1" si="386"/>
        <v>-1.3339250208446458</v>
      </c>
      <c r="F868" s="304">
        <f t="shared" ca="1" si="387"/>
        <v>1.5209163564076893</v>
      </c>
      <c r="G868" s="306">
        <f t="shared" ca="1" si="388"/>
        <v>9.2050703591127743</v>
      </c>
      <c r="H868" s="307">
        <f t="shared" ca="1" si="389"/>
        <v>-106.78841946398157</v>
      </c>
      <c r="I868" s="304">
        <f t="shared" ca="1" si="390"/>
        <v>107.18441981898066</v>
      </c>
      <c r="J868" s="306">
        <f t="shared" ca="1" si="391"/>
        <v>746.86410190403069</v>
      </c>
      <c r="K868" s="307">
        <f t="shared" ca="1" si="392"/>
        <v>-7.3929432560892989</v>
      </c>
      <c r="L868" s="304">
        <f t="shared" ca="1" si="377"/>
        <v>746.90069107137799</v>
      </c>
      <c r="M868" s="306">
        <f t="shared" ca="1" si="393"/>
        <v>-1.4848097308549597</v>
      </c>
      <c r="N868" s="304">
        <f t="shared" ca="1" si="394"/>
        <v>-85.073330957944876</v>
      </c>
      <c r="P868" s="310">
        <f t="shared" ca="1" si="395"/>
        <v>23</v>
      </c>
      <c r="Q868" s="304">
        <f t="shared" ca="1" si="396"/>
        <v>0</v>
      </c>
      <c r="R868" s="306">
        <f t="shared" ca="1" si="397"/>
        <v>0</v>
      </c>
      <c r="S868" s="307">
        <f t="shared" ca="1" si="398"/>
        <v>5.083000000000002</v>
      </c>
      <c r="T868" s="304">
        <f t="shared" ca="1" si="378"/>
        <v>49.86423000000002</v>
      </c>
      <c r="U868" s="311">
        <f t="shared" ca="1" si="379"/>
        <v>0</v>
      </c>
      <c r="V868" s="306">
        <f t="shared" ca="1" si="380"/>
        <v>1.2259059704382733</v>
      </c>
      <c r="W868" s="304">
        <f t="shared" ca="1" si="381"/>
        <v>43.243807121219355</v>
      </c>
      <c r="Y868" s="314" t="str">
        <f t="shared" ca="1" si="399"/>
        <v/>
      </c>
      <c r="Z868" s="315" t="str">
        <f t="shared" ca="1" si="400"/>
        <v/>
      </c>
      <c r="AA868" s="316" t="str">
        <f t="shared" ca="1" si="401"/>
        <v/>
      </c>
      <c r="AC868" s="310" t="e">
        <f t="shared" ca="1" si="402"/>
        <v>#N/A</v>
      </c>
      <c r="AD868" s="323" t="e">
        <f t="shared" ca="1" si="403"/>
        <v>#N/A</v>
      </c>
      <c r="AE868" s="324" t="e">
        <f t="shared" ca="1" si="382"/>
        <v>#N/A</v>
      </c>
      <c r="AG868" s="306">
        <f t="shared" ca="1" si="404"/>
        <v>1.2662484697567322</v>
      </c>
      <c r="AH868" s="304">
        <f t="shared" ca="1" si="405"/>
        <v>-8.507507135125806</v>
      </c>
    </row>
    <row r="869" spans="1:34" x14ac:dyDescent="0.2">
      <c r="A869" s="347">
        <f t="shared" ca="1" si="383"/>
        <v>1E-4</v>
      </c>
      <c r="B869" s="304">
        <f t="shared" ca="1" si="384"/>
        <v>29.248300000000036</v>
      </c>
      <c r="D869" s="306">
        <f t="shared" ca="1" si="385"/>
        <v>-0.73063296468484662</v>
      </c>
      <c r="E869" s="307">
        <f t="shared" ca="1" si="386"/>
        <v>-1.3338953681937866</v>
      </c>
      <c r="F869" s="304">
        <f t="shared" ca="1" si="387"/>
        <v>1.5208883530269426</v>
      </c>
      <c r="G869" s="306">
        <f t="shared" ca="1" si="388"/>
        <v>9.2049972958163053</v>
      </c>
      <c r="H869" s="307">
        <f t="shared" ca="1" si="389"/>
        <v>-106.78855285351838</v>
      </c>
      <c r="I869" s="304">
        <f t="shared" ca="1" si="390"/>
        <v>107.18454644100834</v>
      </c>
      <c r="J869" s="306">
        <f t="shared" ca="1" si="391"/>
        <v>746.86410190403069</v>
      </c>
      <c r="K869" s="307">
        <f t="shared" ca="1" si="392"/>
        <v>-7.4036221047051738</v>
      </c>
      <c r="L869" s="304">
        <f t="shared" ca="1" si="377"/>
        <v>746.90079684867362</v>
      </c>
      <c r="M869" s="306">
        <f t="shared" ca="1" si="393"/>
        <v>-1.4848105168725834</v>
      </c>
      <c r="N869" s="304">
        <f t="shared" ca="1" si="394"/>
        <v>-85.073375993437338</v>
      </c>
      <c r="P869" s="310">
        <f t="shared" ca="1" si="395"/>
        <v>23</v>
      </c>
      <c r="Q869" s="304">
        <f t="shared" ca="1" si="396"/>
        <v>0</v>
      </c>
      <c r="R869" s="306">
        <f t="shared" ca="1" si="397"/>
        <v>0</v>
      </c>
      <c r="S869" s="307">
        <f t="shared" ca="1" si="398"/>
        <v>5.083000000000002</v>
      </c>
      <c r="T869" s="304">
        <f t="shared" ca="1" si="378"/>
        <v>49.86423000000002</v>
      </c>
      <c r="U869" s="311">
        <f t="shared" ca="1" si="379"/>
        <v>0</v>
      </c>
      <c r="V869" s="306">
        <f t="shared" ca="1" si="380"/>
        <v>1.225907279565579</v>
      </c>
      <c r="W869" s="304">
        <f t="shared" ca="1" si="381"/>
        <v>43.243955472738541</v>
      </c>
      <c r="Y869" s="314" t="str">
        <f t="shared" ca="1" si="399"/>
        <v/>
      </c>
      <c r="Z869" s="315" t="str">
        <f t="shared" ca="1" si="400"/>
        <v/>
      </c>
      <c r="AA869" s="316" t="str">
        <f t="shared" ca="1" si="401"/>
        <v/>
      </c>
      <c r="AC869" s="310" t="e">
        <f t="shared" ca="1" si="402"/>
        <v>#N/A</v>
      </c>
      <c r="AD869" s="323" t="e">
        <f t="shared" ca="1" si="403"/>
        <v>#N/A</v>
      </c>
      <c r="AE869" s="324" t="e">
        <f t="shared" ca="1" si="382"/>
        <v>#N/A</v>
      </c>
      <c r="AG869" s="306">
        <f t="shared" ca="1" si="404"/>
        <v>1.2662199457937948</v>
      </c>
      <c r="AH869" s="304">
        <f t="shared" ca="1" si="405"/>
        <v>-8.5075363213101198</v>
      </c>
    </row>
    <row r="870" spans="1:34" x14ac:dyDescent="0.2">
      <c r="A870" s="347">
        <f t="shared" ca="1" si="383"/>
        <v>1E-4</v>
      </c>
      <c r="B870" s="304">
        <f t="shared" ca="1" si="384"/>
        <v>29.248400000000036</v>
      </c>
      <c r="D870" s="306">
        <f t="shared" ca="1" si="385"/>
        <v>-0.73062880879201086</v>
      </c>
      <c r="E870" s="307">
        <f t="shared" ca="1" si="386"/>
        <v>-1.3338657159138663</v>
      </c>
      <c r="F870" s="304">
        <f t="shared" ca="1" si="387"/>
        <v>1.5208603500411351</v>
      </c>
      <c r="G870" s="306">
        <f t="shared" ca="1" si="388"/>
        <v>9.2049242329354257</v>
      </c>
      <c r="H870" s="307">
        <f t="shared" ca="1" si="389"/>
        <v>-106.78868624008997</v>
      </c>
      <c r="I870" s="304">
        <f t="shared" ca="1" si="390"/>
        <v>107.18467306018367</v>
      </c>
      <c r="J870" s="306">
        <f t="shared" ca="1" si="391"/>
        <v>746.86410190403069</v>
      </c>
      <c r="K870" s="307">
        <f t="shared" ca="1" si="392"/>
        <v>-7.4143009666598543</v>
      </c>
      <c r="L870" s="304">
        <f t="shared" ca="1" si="377"/>
        <v>746.900902778768</v>
      </c>
      <c r="M870" s="306">
        <f t="shared" ca="1" si="393"/>
        <v>-1.4848113028821113</v>
      </c>
      <c r="N870" s="304">
        <f t="shared" ca="1" si="394"/>
        <v>-85.073421028465944</v>
      </c>
      <c r="P870" s="310">
        <f t="shared" ca="1" si="395"/>
        <v>23</v>
      </c>
      <c r="Q870" s="304">
        <f t="shared" ca="1" si="396"/>
        <v>0</v>
      </c>
      <c r="R870" s="306">
        <f t="shared" ca="1" si="397"/>
        <v>0</v>
      </c>
      <c r="S870" s="307">
        <f t="shared" ca="1" si="398"/>
        <v>5.083000000000002</v>
      </c>
      <c r="T870" s="304">
        <f t="shared" ca="1" si="378"/>
        <v>49.86423000000002</v>
      </c>
      <c r="U870" s="311">
        <f t="shared" ca="1" si="379"/>
        <v>0</v>
      </c>
      <c r="V870" s="306">
        <f t="shared" ca="1" si="380"/>
        <v>1.225908588695918</v>
      </c>
      <c r="W870" s="304">
        <f t="shared" ca="1" si="381"/>
        <v>43.244103822402053</v>
      </c>
      <c r="Y870" s="314" t="str">
        <f t="shared" ca="1" si="399"/>
        <v/>
      </c>
      <c r="Z870" s="315" t="str">
        <f t="shared" ca="1" si="400"/>
        <v/>
      </c>
      <c r="AA870" s="316" t="str">
        <f t="shared" ca="1" si="401"/>
        <v/>
      </c>
      <c r="AC870" s="310" t="e">
        <f t="shared" ca="1" si="402"/>
        <v>#N/A</v>
      </c>
      <c r="AD870" s="323" t="e">
        <f t="shared" ca="1" si="403"/>
        <v>#N/A</v>
      </c>
      <c r="AE870" s="324" t="e">
        <f t="shared" ca="1" si="382"/>
        <v>#N/A</v>
      </c>
      <c r="AG870" s="306">
        <f t="shared" ca="1" si="404"/>
        <v>1.2661914221830752</v>
      </c>
      <c r="AH870" s="304">
        <f t="shared" ca="1" si="405"/>
        <v>-8.5075655071293568</v>
      </c>
    </row>
    <row r="871" spans="1:34" x14ac:dyDescent="0.2">
      <c r="A871" s="347">
        <f t="shared" ca="1" si="383"/>
        <v>1E-4</v>
      </c>
      <c r="B871" s="304">
        <f t="shared" ca="1" si="384"/>
        <v>29.248500000000035</v>
      </c>
      <c r="D871" s="306">
        <f t="shared" ca="1" si="385"/>
        <v>-0.73062465289028056</v>
      </c>
      <c r="E871" s="307">
        <f t="shared" ca="1" si="386"/>
        <v>-1.333836064004883</v>
      </c>
      <c r="F871" s="304">
        <f t="shared" ca="1" si="387"/>
        <v>1.5208323474502643</v>
      </c>
      <c r="G871" s="306">
        <f t="shared" ca="1" si="388"/>
        <v>9.2048511704701372</v>
      </c>
      <c r="H871" s="307">
        <f t="shared" ca="1" si="389"/>
        <v>-106.78881962369637</v>
      </c>
      <c r="I871" s="304">
        <f t="shared" ca="1" si="390"/>
        <v>107.18479967650667</v>
      </c>
      <c r="J871" s="306">
        <f t="shared" ca="1" si="391"/>
        <v>746.86410190403069</v>
      </c>
      <c r="K871" s="307">
        <f t="shared" ca="1" si="392"/>
        <v>-7.4249798419530437</v>
      </c>
      <c r="L871" s="304">
        <f t="shared" ca="1" si="377"/>
        <v>746.90100886166147</v>
      </c>
      <c r="M871" s="306">
        <f t="shared" ca="1" si="393"/>
        <v>-1.4848120888835434</v>
      </c>
      <c r="N871" s="304">
        <f t="shared" ca="1" si="394"/>
        <v>-85.073466063030693</v>
      </c>
      <c r="P871" s="310">
        <f t="shared" ca="1" si="395"/>
        <v>23</v>
      </c>
      <c r="Q871" s="304">
        <f t="shared" ca="1" si="396"/>
        <v>0</v>
      </c>
      <c r="R871" s="306">
        <f t="shared" ca="1" si="397"/>
        <v>0</v>
      </c>
      <c r="S871" s="307">
        <f t="shared" ca="1" si="398"/>
        <v>5.083000000000002</v>
      </c>
      <c r="T871" s="304">
        <f t="shared" ca="1" si="378"/>
        <v>49.86423000000002</v>
      </c>
      <c r="U871" s="311">
        <f t="shared" ca="1" si="379"/>
        <v>0</v>
      </c>
      <c r="V871" s="306">
        <f t="shared" ca="1" si="380"/>
        <v>1.2259098978292911</v>
      </c>
      <c r="W871" s="304">
        <f t="shared" ca="1" si="381"/>
        <v>43.244252170209933</v>
      </c>
      <c r="Y871" s="314" t="str">
        <f t="shared" ca="1" si="399"/>
        <v/>
      </c>
      <c r="Z871" s="315" t="str">
        <f t="shared" ca="1" si="400"/>
        <v/>
      </c>
      <c r="AA871" s="316" t="str">
        <f t="shared" ca="1" si="401"/>
        <v/>
      </c>
      <c r="AC871" s="310" t="e">
        <f t="shared" ca="1" si="402"/>
        <v>#N/A</v>
      </c>
      <c r="AD871" s="323" t="e">
        <f t="shared" ca="1" si="403"/>
        <v>#N/A</v>
      </c>
      <c r="AE871" s="324" t="e">
        <f t="shared" ca="1" si="382"/>
        <v>#N/A</v>
      </c>
      <c r="AG871" s="306">
        <f t="shared" ca="1" si="404"/>
        <v>1.2661628989245681</v>
      </c>
      <c r="AH871" s="304">
        <f t="shared" ca="1" si="405"/>
        <v>-8.5075946925835204</v>
      </c>
    </row>
    <row r="872" spans="1:34" x14ac:dyDescent="0.2">
      <c r="A872" s="347">
        <f t="shared" ca="1" si="383"/>
        <v>1E-4</v>
      </c>
      <c r="B872" s="304">
        <f t="shared" ca="1" si="384"/>
        <v>29.248600000000035</v>
      </c>
      <c r="D872" s="306">
        <f t="shared" ca="1" si="385"/>
        <v>-0.73062049697965825</v>
      </c>
      <c r="E872" s="307">
        <f t="shared" ca="1" si="386"/>
        <v>-1.3338064124668279</v>
      </c>
      <c r="F872" s="304">
        <f t="shared" ca="1" si="387"/>
        <v>1.5208043452543238</v>
      </c>
      <c r="G872" s="306">
        <f t="shared" ca="1" si="388"/>
        <v>9.2047781084204399</v>
      </c>
      <c r="H872" s="307">
        <f t="shared" ca="1" si="389"/>
        <v>-106.78895300433761</v>
      </c>
      <c r="I872" s="304">
        <f t="shared" ca="1" si="390"/>
        <v>107.18492628997737</v>
      </c>
      <c r="J872" s="306">
        <f t="shared" ca="1" si="391"/>
        <v>746.86410190403069</v>
      </c>
      <c r="K872" s="307">
        <f t="shared" ca="1" si="392"/>
        <v>-7.4356587305844455</v>
      </c>
      <c r="L872" s="304">
        <f t="shared" ca="1" si="377"/>
        <v>746.90111509735482</v>
      </c>
      <c r="M872" s="306">
        <f t="shared" ca="1" si="393"/>
        <v>-1.4848128748768796</v>
      </c>
      <c r="N872" s="304">
        <f t="shared" ca="1" si="394"/>
        <v>-85.073511097131586</v>
      </c>
      <c r="P872" s="310">
        <f t="shared" ca="1" si="395"/>
        <v>23</v>
      </c>
      <c r="Q872" s="304">
        <f t="shared" ca="1" si="396"/>
        <v>0</v>
      </c>
      <c r="R872" s="306">
        <f t="shared" ca="1" si="397"/>
        <v>0</v>
      </c>
      <c r="S872" s="307">
        <f t="shared" ca="1" si="398"/>
        <v>5.083000000000002</v>
      </c>
      <c r="T872" s="304">
        <f t="shared" ca="1" si="378"/>
        <v>49.86423000000002</v>
      </c>
      <c r="U872" s="311">
        <f t="shared" ca="1" si="379"/>
        <v>0</v>
      </c>
      <c r="V872" s="306">
        <f t="shared" ca="1" si="380"/>
        <v>1.2259112069656981</v>
      </c>
      <c r="W872" s="304">
        <f t="shared" ca="1" si="381"/>
        <v>43.24440051616218</v>
      </c>
      <c r="Y872" s="314" t="str">
        <f t="shared" ca="1" si="399"/>
        <v/>
      </c>
      <c r="Z872" s="315" t="str">
        <f t="shared" ca="1" si="400"/>
        <v/>
      </c>
      <c r="AA872" s="316" t="str">
        <f t="shared" ca="1" si="401"/>
        <v/>
      </c>
      <c r="AC872" s="310" t="e">
        <f t="shared" ca="1" si="402"/>
        <v>#N/A</v>
      </c>
      <c r="AD872" s="323" t="e">
        <f t="shared" ca="1" si="403"/>
        <v>#N/A</v>
      </c>
      <c r="AE872" s="324" t="e">
        <f t="shared" ca="1" si="382"/>
        <v>#N/A</v>
      </c>
      <c r="AG872" s="306">
        <f t="shared" ca="1" si="404"/>
        <v>1.2661343760182699</v>
      </c>
      <c r="AH872" s="304">
        <f t="shared" ca="1" si="405"/>
        <v>-8.5076238776726179</v>
      </c>
    </row>
    <row r="873" spans="1:34" x14ac:dyDescent="0.2">
      <c r="A873" s="347">
        <f t="shared" ca="1" si="383"/>
        <v>1E-4</v>
      </c>
      <c r="B873" s="304">
        <f t="shared" ca="1" si="384"/>
        <v>29.248700000000035</v>
      </c>
      <c r="D873" s="306">
        <f t="shared" ca="1" si="385"/>
        <v>-0.73061634106014717</v>
      </c>
      <c r="E873" s="307">
        <f t="shared" ca="1" si="386"/>
        <v>-1.3337767612997027</v>
      </c>
      <c r="F873" s="304">
        <f t="shared" ca="1" si="387"/>
        <v>1.520776343453317</v>
      </c>
      <c r="G873" s="306">
        <f t="shared" ca="1" si="388"/>
        <v>9.2047050467863336</v>
      </c>
      <c r="H873" s="307">
        <f t="shared" ca="1" si="389"/>
        <v>-106.78908638201375</v>
      </c>
      <c r="I873" s="304">
        <f t="shared" ca="1" si="390"/>
        <v>107.18505290059584</v>
      </c>
      <c r="J873" s="306">
        <f t="shared" ca="1" si="391"/>
        <v>746.86410190403069</v>
      </c>
      <c r="K873" s="307">
        <f t="shared" ca="1" si="392"/>
        <v>-7.4463376325537629</v>
      </c>
      <c r="L873" s="304">
        <f t="shared" ca="1" si="377"/>
        <v>746.90122148584828</v>
      </c>
      <c r="M873" s="306">
        <f t="shared" ca="1" si="393"/>
        <v>-1.4848136608621205</v>
      </c>
      <c r="N873" s="304">
        <f t="shared" ca="1" si="394"/>
        <v>-85.073556130768651</v>
      </c>
      <c r="P873" s="310">
        <f t="shared" ca="1" si="395"/>
        <v>23</v>
      </c>
      <c r="Q873" s="304">
        <f t="shared" ca="1" si="396"/>
        <v>0</v>
      </c>
      <c r="R873" s="306">
        <f t="shared" ca="1" si="397"/>
        <v>0</v>
      </c>
      <c r="S873" s="307">
        <f t="shared" ca="1" si="398"/>
        <v>5.083000000000002</v>
      </c>
      <c r="T873" s="304">
        <f t="shared" ca="1" si="378"/>
        <v>49.86423000000002</v>
      </c>
      <c r="U873" s="311">
        <f t="shared" ca="1" si="379"/>
        <v>0</v>
      </c>
      <c r="V873" s="306">
        <f t="shared" ca="1" si="380"/>
        <v>1.2259125161051387</v>
      </c>
      <c r="W873" s="304">
        <f t="shared" ca="1" si="381"/>
        <v>43.244548860258817</v>
      </c>
      <c r="Y873" s="314" t="str">
        <f t="shared" ca="1" si="399"/>
        <v/>
      </c>
      <c r="Z873" s="315" t="str">
        <f t="shared" ca="1" si="400"/>
        <v/>
      </c>
      <c r="AA873" s="316" t="str">
        <f t="shared" ca="1" si="401"/>
        <v/>
      </c>
      <c r="AC873" s="310" t="e">
        <f t="shared" ca="1" si="402"/>
        <v>#N/A</v>
      </c>
      <c r="AD873" s="323" t="e">
        <f t="shared" ca="1" si="403"/>
        <v>#N/A</v>
      </c>
      <c r="AE873" s="324" t="e">
        <f t="shared" ca="1" si="382"/>
        <v>#N/A</v>
      </c>
      <c r="AG873" s="306">
        <f t="shared" ca="1" si="404"/>
        <v>1.2661058534641789</v>
      </c>
      <c r="AH873" s="304">
        <f t="shared" ca="1" si="405"/>
        <v>-8.5076530623966491</v>
      </c>
    </row>
    <row r="874" spans="1:34" x14ac:dyDescent="0.2">
      <c r="A874" s="347">
        <f t="shared" ca="1" si="383"/>
        <v>1E-4</v>
      </c>
      <c r="B874" s="304">
        <f t="shared" ca="1" si="384"/>
        <v>29.248800000000035</v>
      </c>
      <c r="D874" s="306">
        <f t="shared" ca="1" si="385"/>
        <v>-0.73061218513174375</v>
      </c>
      <c r="E874" s="307">
        <f t="shared" ca="1" si="386"/>
        <v>-1.3337471105035021</v>
      </c>
      <c r="F874" s="304">
        <f t="shared" ca="1" si="387"/>
        <v>1.5207483420472379</v>
      </c>
      <c r="G874" s="306">
        <f t="shared" ca="1" si="388"/>
        <v>9.2046319855678203</v>
      </c>
      <c r="H874" s="307">
        <f t="shared" ca="1" si="389"/>
        <v>-106.7892197567248</v>
      </c>
      <c r="I874" s="304">
        <f t="shared" ca="1" si="390"/>
        <v>107.18517950836208</v>
      </c>
      <c r="J874" s="306">
        <f t="shared" ca="1" si="391"/>
        <v>746.86410190403069</v>
      </c>
      <c r="K874" s="307">
        <f t="shared" ca="1" si="392"/>
        <v>-7.4570165478607002</v>
      </c>
      <c r="L874" s="304">
        <f t="shared" ca="1" si="377"/>
        <v>746.90132802714265</v>
      </c>
      <c r="M874" s="306">
        <f t="shared" ca="1" si="393"/>
        <v>-1.4848144468392657</v>
      </c>
      <c r="N874" s="304">
        <f t="shared" ca="1" si="394"/>
        <v>-85.073601163941859</v>
      </c>
      <c r="P874" s="310">
        <f t="shared" ca="1" si="395"/>
        <v>23</v>
      </c>
      <c r="Q874" s="304">
        <f t="shared" ca="1" si="396"/>
        <v>0</v>
      </c>
      <c r="R874" s="306">
        <f t="shared" ca="1" si="397"/>
        <v>0</v>
      </c>
      <c r="S874" s="307">
        <f t="shared" ca="1" si="398"/>
        <v>5.083000000000002</v>
      </c>
      <c r="T874" s="304">
        <f t="shared" ca="1" si="378"/>
        <v>49.86423000000002</v>
      </c>
      <c r="U874" s="311">
        <f t="shared" ca="1" si="379"/>
        <v>0</v>
      </c>
      <c r="V874" s="306">
        <f t="shared" ca="1" si="380"/>
        <v>1.2259138252476127</v>
      </c>
      <c r="W874" s="304">
        <f t="shared" ca="1" si="381"/>
        <v>43.244697202499836</v>
      </c>
      <c r="Y874" s="314" t="str">
        <f t="shared" ca="1" si="399"/>
        <v/>
      </c>
      <c r="Z874" s="315" t="str">
        <f t="shared" ca="1" si="400"/>
        <v/>
      </c>
      <c r="AA874" s="316" t="str">
        <f t="shared" ca="1" si="401"/>
        <v/>
      </c>
      <c r="AC874" s="310" t="e">
        <f t="shared" ca="1" si="402"/>
        <v>#N/A</v>
      </c>
      <c r="AD874" s="323" t="e">
        <f t="shared" ca="1" si="403"/>
        <v>#N/A</v>
      </c>
      <c r="AE874" s="324" t="e">
        <f t="shared" ca="1" si="382"/>
        <v>#N/A</v>
      </c>
      <c r="AG874" s="306">
        <f t="shared" ca="1" si="404"/>
        <v>1.2660773312622915</v>
      </c>
      <c r="AH874" s="304">
        <f t="shared" ca="1" si="405"/>
        <v>-8.5076822467556177</v>
      </c>
    </row>
    <row r="875" spans="1:34" x14ac:dyDescent="0.2">
      <c r="A875" s="347">
        <f t="shared" ca="1" si="383"/>
        <v>1E-4</v>
      </c>
      <c r="B875" s="304">
        <f t="shared" ca="1" si="384"/>
        <v>29.248900000000035</v>
      </c>
      <c r="D875" s="306">
        <f t="shared" ca="1" si="385"/>
        <v>-0.730608029194453</v>
      </c>
      <c r="E875" s="307">
        <f t="shared" ca="1" si="386"/>
        <v>-1.3337174600782298</v>
      </c>
      <c r="F875" s="304">
        <f t="shared" ca="1" si="387"/>
        <v>1.5207203410360917</v>
      </c>
      <c r="G875" s="306">
        <f t="shared" ca="1" si="388"/>
        <v>9.2045589247649016</v>
      </c>
      <c r="H875" s="307">
        <f t="shared" ca="1" si="389"/>
        <v>-106.78935312847081</v>
      </c>
      <c r="I875" s="304">
        <f t="shared" ca="1" si="390"/>
        <v>107.18530611327613</v>
      </c>
      <c r="J875" s="306">
        <f t="shared" ca="1" si="391"/>
        <v>746.86410190403069</v>
      </c>
      <c r="K875" s="307">
        <f t="shared" ca="1" si="392"/>
        <v>-7.4676954765049599</v>
      </c>
      <c r="L875" s="304">
        <f t="shared" ca="1" si="377"/>
        <v>746.90143472123816</v>
      </c>
      <c r="M875" s="306">
        <f t="shared" ca="1" si="393"/>
        <v>-1.4848152328083157</v>
      </c>
      <c r="N875" s="304">
        <f t="shared" ca="1" si="394"/>
        <v>-85.073646196651254</v>
      </c>
      <c r="P875" s="310">
        <f t="shared" ca="1" si="395"/>
        <v>23</v>
      </c>
      <c r="Q875" s="304">
        <f t="shared" ca="1" si="396"/>
        <v>0</v>
      </c>
      <c r="R875" s="306">
        <f t="shared" ca="1" si="397"/>
        <v>0</v>
      </c>
      <c r="S875" s="307">
        <f t="shared" ca="1" si="398"/>
        <v>5.083000000000002</v>
      </c>
      <c r="T875" s="304">
        <f t="shared" ca="1" si="378"/>
        <v>49.86423000000002</v>
      </c>
      <c r="U875" s="311">
        <f t="shared" ca="1" si="379"/>
        <v>0</v>
      </c>
      <c r="V875" s="306">
        <f t="shared" ca="1" si="380"/>
        <v>1.2259151343931205</v>
      </c>
      <c r="W875" s="304">
        <f t="shared" ca="1" si="381"/>
        <v>43.244845542885244</v>
      </c>
      <c r="Y875" s="314" t="str">
        <f t="shared" ca="1" si="399"/>
        <v/>
      </c>
      <c r="Z875" s="315" t="str">
        <f t="shared" ca="1" si="400"/>
        <v/>
      </c>
      <c r="AA875" s="316" t="str">
        <f t="shared" ca="1" si="401"/>
        <v/>
      </c>
      <c r="AC875" s="310" t="e">
        <f t="shared" ca="1" si="402"/>
        <v>#N/A</v>
      </c>
      <c r="AD875" s="323" t="e">
        <f t="shared" ca="1" si="403"/>
        <v>#N/A</v>
      </c>
      <c r="AE875" s="324" t="e">
        <f t="shared" ca="1" si="382"/>
        <v>#N/A</v>
      </c>
      <c r="AG875" s="306">
        <f t="shared" ca="1" si="404"/>
        <v>1.266048809412613</v>
      </c>
      <c r="AH875" s="304">
        <f t="shared" ca="1" si="405"/>
        <v>-8.5077114307495219</v>
      </c>
    </row>
    <row r="876" spans="1:34" x14ac:dyDescent="0.2">
      <c r="A876" s="347">
        <f t="shared" ca="1" si="383"/>
        <v>1E-4</v>
      </c>
      <c r="B876" s="304">
        <f t="shared" ca="1" si="384"/>
        <v>29.249000000000034</v>
      </c>
      <c r="D876" s="306">
        <f t="shared" ca="1" si="385"/>
        <v>-0.73060387324827136</v>
      </c>
      <c r="E876" s="307">
        <f t="shared" ca="1" si="386"/>
        <v>-1.3336878100238803</v>
      </c>
      <c r="F876" s="304">
        <f t="shared" ca="1" si="387"/>
        <v>1.5206923404198727</v>
      </c>
      <c r="G876" s="306">
        <f t="shared" ca="1" si="388"/>
        <v>9.2044858643775775</v>
      </c>
      <c r="H876" s="307">
        <f t="shared" ca="1" si="389"/>
        <v>-106.78948649725181</v>
      </c>
      <c r="I876" s="304">
        <f t="shared" ca="1" si="390"/>
        <v>107.18543271533802</v>
      </c>
      <c r="J876" s="306">
        <f t="shared" ca="1" si="391"/>
        <v>746.86410190403069</v>
      </c>
      <c r="K876" s="307">
        <f t="shared" ca="1" si="392"/>
        <v>-7.4783744184862462</v>
      </c>
      <c r="L876" s="304">
        <f t="shared" ca="1" si="377"/>
        <v>746.9015415681356</v>
      </c>
      <c r="M876" s="306">
        <f t="shared" ca="1" si="393"/>
        <v>-1.4848160187692703</v>
      </c>
      <c r="N876" s="304">
        <f t="shared" ca="1" si="394"/>
        <v>-85.07369122889682</v>
      </c>
      <c r="P876" s="310">
        <f t="shared" ca="1" si="395"/>
        <v>23</v>
      </c>
      <c r="Q876" s="304">
        <f t="shared" ca="1" si="396"/>
        <v>0</v>
      </c>
      <c r="R876" s="306">
        <f t="shared" ca="1" si="397"/>
        <v>0</v>
      </c>
      <c r="S876" s="307">
        <f t="shared" ca="1" si="398"/>
        <v>5.083000000000002</v>
      </c>
      <c r="T876" s="304">
        <f t="shared" ca="1" si="378"/>
        <v>49.86423000000002</v>
      </c>
      <c r="U876" s="311">
        <f t="shared" ca="1" si="379"/>
        <v>0</v>
      </c>
      <c r="V876" s="306">
        <f t="shared" ca="1" si="380"/>
        <v>1.2259164435416614</v>
      </c>
      <c r="W876" s="304">
        <f t="shared" ca="1" si="381"/>
        <v>43.24499388141507</v>
      </c>
      <c r="Y876" s="314" t="str">
        <f t="shared" ca="1" si="399"/>
        <v/>
      </c>
      <c r="Z876" s="315" t="str">
        <f t="shared" ca="1" si="400"/>
        <v/>
      </c>
      <c r="AA876" s="316" t="str">
        <f t="shared" ca="1" si="401"/>
        <v/>
      </c>
      <c r="AC876" s="310" t="e">
        <f t="shared" ca="1" si="402"/>
        <v>#N/A</v>
      </c>
      <c r="AD876" s="323" t="e">
        <f t="shared" ca="1" si="403"/>
        <v>#N/A</v>
      </c>
      <c r="AE876" s="324" t="e">
        <f t="shared" ca="1" si="382"/>
        <v>#N/A</v>
      </c>
      <c r="AG876" s="306">
        <f t="shared" ca="1" si="404"/>
        <v>1.2660202879151345</v>
      </c>
      <c r="AH876" s="304">
        <f t="shared" ca="1" si="405"/>
        <v>-8.5077406143783652</v>
      </c>
    </row>
    <row r="877" spans="1:34" x14ac:dyDescent="0.2">
      <c r="A877" s="347">
        <f t="shared" ca="1" si="383"/>
        <v>1E-4</v>
      </c>
      <c r="B877" s="304">
        <f t="shared" ca="1" si="384"/>
        <v>29.249100000000034</v>
      </c>
      <c r="D877" s="306">
        <f t="shared" ca="1" si="385"/>
        <v>-0.73059971729320428</v>
      </c>
      <c r="E877" s="307">
        <f t="shared" ca="1" si="386"/>
        <v>-1.33365816034045</v>
      </c>
      <c r="F877" s="304">
        <f t="shared" ca="1" si="387"/>
        <v>1.5206643401985802</v>
      </c>
      <c r="G877" s="306">
        <f t="shared" ca="1" si="388"/>
        <v>9.2044128044058482</v>
      </c>
      <c r="H877" s="307">
        <f t="shared" ca="1" si="389"/>
        <v>-106.78961986306786</v>
      </c>
      <c r="I877" s="304">
        <f t="shared" ca="1" si="390"/>
        <v>107.18555931454782</v>
      </c>
      <c r="J877" s="306">
        <f t="shared" ca="1" si="391"/>
        <v>746.86410190403069</v>
      </c>
      <c r="K877" s="307">
        <f t="shared" ca="1" si="392"/>
        <v>-7.4890533738042624</v>
      </c>
      <c r="L877" s="304">
        <f t="shared" ca="1" si="377"/>
        <v>746.9016485678352</v>
      </c>
      <c r="M877" s="306">
        <f t="shared" ca="1" si="393"/>
        <v>-1.48481680472213</v>
      </c>
      <c r="N877" s="304">
        <f t="shared" ca="1" si="394"/>
        <v>-85.073736260678572</v>
      </c>
      <c r="P877" s="310">
        <f t="shared" ca="1" si="395"/>
        <v>23</v>
      </c>
      <c r="Q877" s="304">
        <f t="shared" ca="1" si="396"/>
        <v>0</v>
      </c>
      <c r="R877" s="306">
        <f t="shared" ca="1" si="397"/>
        <v>0</v>
      </c>
      <c r="S877" s="307">
        <f t="shared" ca="1" si="398"/>
        <v>5.083000000000002</v>
      </c>
      <c r="T877" s="304">
        <f t="shared" ca="1" si="378"/>
        <v>49.86423000000002</v>
      </c>
      <c r="U877" s="311">
        <f t="shared" ca="1" si="379"/>
        <v>0</v>
      </c>
      <c r="V877" s="306">
        <f t="shared" ca="1" si="380"/>
        <v>1.2259177526932363</v>
      </c>
      <c r="W877" s="304">
        <f t="shared" ca="1" si="381"/>
        <v>43.245142218089335</v>
      </c>
      <c r="Y877" s="314" t="str">
        <f t="shared" ca="1" si="399"/>
        <v/>
      </c>
      <c r="Z877" s="315" t="str">
        <f t="shared" ca="1" si="400"/>
        <v/>
      </c>
      <c r="AA877" s="316" t="str">
        <f t="shared" ca="1" si="401"/>
        <v/>
      </c>
      <c r="AC877" s="310" t="e">
        <f t="shared" ca="1" si="402"/>
        <v>#N/A</v>
      </c>
      <c r="AD877" s="323" t="e">
        <f t="shared" ca="1" si="403"/>
        <v>#N/A</v>
      </c>
      <c r="AE877" s="324" t="e">
        <f t="shared" ca="1" si="382"/>
        <v>#N/A</v>
      </c>
      <c r="AG877" s="306">
        <f t="shared" ca="1" si="404"/>
        <v>1.2659917667698579</v>
      </c>
      <c r="AH877" s="304">
        <f t="shared" ca="1" si="405"/>
        <v>-8.5077697976421511</v>
      </c>
    </row>
    <row r="878" spans="1:34" x14ac:dyDescent="0.2">
      <c r="A878" s="347">
        <f t="shared" ca="1" si="383"/>
        <v>1E-4</v>
      </c>
      <c r="B878" s="304">
        <f t="shared" ca="1" si="384"/>
        <v>29.249200000000034</v>
      </c>
      <c r="D878" s="306">
        <f t="shared" ca="1" si="385"/>
        <v>-0.73059556132924808</v>
      </c>
      <c r="E878" s="307">
        <f t="shared" ca="1" si="386"/>
        <v>-1.3336285110279338</v>
      </c>
      <c r="F878" s="304">
        <f t="shared" ca="1" si="387"/>
        <v>1.5206363403722085</v>
      </c>
      <c r="G878" s="306">
        <f t="shared" ca="1" si="388"/>
        <v>9.2043397448497153</v>
      </c>
      <c r="H878" s="307">
        <f t="shared" ca="1" si="389"/>
        <v>-106.78975322591896</v>
      </c>
      <c r="I878" s="304">
        <f t="shared" ca="1" si="390"/>
        <v>107.18568591090552</v>
      </c>
      <c r="J878" s="306">
        <f t="shared" ca="1" si="391"/>
        <v>746.86410190403069</v>
      </c>
      <c r="K878" s="307">
        <f t="shared" ca="1" si="392"/>
        <v>-7.4997323424587119</v>
      </c>
      <c r="L878" s="304">
        <f t="shared" ca="1" si="377"/>
        <v>746.90175572033763</v>
      </c>
      <c r="M878" s="306">
        <f t="shared" ca="1" si="393"/>
        <v>-1.4848175906668943</v>
      </c>
      <c r="N878" s="304">
        <f t="shared" ca="1" si="394"/>
        <v>-85.073781291996497</v>
      </c>
      <c r="P878" s="310">
        <f t="shared" ca="1" si="395"/>
        <v>23</v>
      </c>
      <c r="Q878" s="304">
        <f t="shared" ca="1" si="396"/>
        <v>0</v>
      </c>
      <c r="R878" s="306">
        <f t="shared" ca="1" si="397"/>
        <v>0</v>
      </c>
      <c r="S878" s="307">
        <f t="shared" ca="1" si="398"/>
        <v>5.083000000000002</v>
      </c>
      <c r="T878" s="304">
        <f t="shared" ca="1" si="378"/>
        <v>49.86423000000002</v>
      </c>
      <c r="U878" s="311">
        <f t="shared" ca="1" si="379"/>
        <v>0</v>
      </c>
      <c r="V878" s="306">
        <f t="shared" ca="1" si="380"/>
        <v>1.2259190618478444</v>
      </c>
      <c r="W878" s="304">
        <f t="shared" ca="1" si="381"/>
        <v>43.245290552908024</v>
      </c>
      <c r="Y878" s="314" t="str">
        <f t="shared" ca="1" si="399"/>
        <v/>
      </c>
      <c r="Z878" s="315" t="str">
        <f t="shared" ca="1" si="400"/>
        <v/>
      </c>
      <c r="AA878" s="316" t="str">
        <f t="shared" ca="1" si="401"/>
        <v/>
      </c>
      <c r="AC878" s="310" t="e">
        <f t="shared" ca="1" si="402"/>
        <v>#N/A</v>
      </c>
      <c r="AD878" s="323" t="e">
        <f t="shared" ca="1" si="403"/>
        <v>#N/A</v>
      </c>
      <c r="AE878" s="324" t="e">
        <f t="shared" ca="1" si="382"/>
        <v>#N/A</v>
      </c>
      <c r="AG878" s="306">
        <f t="shared" ca="1" si="404"/>
        <v>1.265963245976776</v>
      </c>
      <c r="AH878" s="304">
        <f t="shared" ca="1" si="405"/>
        <v>-8.5077989805408851</v>
      </c>
    </row>
    <row r="879" spans="1:34" x14ac:dyDescent="0.2">
      <c r="A879" s="347">
        <f t="shared" ca="1" si="383"/>
        <v>1E-4</v>
      </c>
      <c r="B879" s="304">
        <f t="shared" ca="1" si="384"/>
        <v>29.249300000000034</v>
      </c>
      <c r="D879" s="306">
        <f t="shared" ca="1" si="385"/>
        <v>-0.7305914053564081</v>
      </c>
      <c r="E879" s="307">
        <f t="shared" ca="1" si="386"/>
        <v>-1.3335988620863368</v>
      </c>
      <c r="F879" s="304">
        <f t="shared" ca="1" si="387"/>
        <v>1.5206083409407645</v>
      </c>
      <c r="G879" s="306">
        <f t="shared" ca="1" si="388"/>
        <v>9.2042666857091788</v>
      </c>
      <c r="H879" s="307">
        <f t="shared" ca="1" si="389"/>
        <v>-106.78988658580516</v>
      </c>
      <c r="I879" s="304">
        <f t="shared" ca="1" si="390"/>
        <v>107.18581250441116</v>
      </c>
      <c r="J879" s="306">
        <f t="shared" ca="1" si="391"/>
        <v>746.86410190403069</v>
      </c>
      <c r="K879" s="307">
        <f t="shared" ca="1" si="392"/>
        <v>-7.510411324449298</v>
      </c>
      <c r="L879" s="304">
        <f t="shared" ca="1" si="377"/>
        <v>746.90186302564325</v>
      </c>
      <c r="M879" s="306">
        <f t="shared" ca="1" si="393"/>
        <v>-1.4848183766035641</v>
      </c>
      <c r="N879" s="304">
        <f t="shared" ca="1" si="394"/>
        <v>-85.073826322850636</v>
      </c>
      <c r="P879" s="310">
        <f t="shared" ca="1" si="395"/>
        <v>23</v>
      </c>
      <c r="Q879" s="304">
        <f t="shared" ca="1" si="396"/>
        <v>0</v>
      </c>
      <c r="R879" s="306">
        <f t="shared" ca="1" si="397"/>
        <v>0</v>
      </c>
      <c r="S879" s="307">
        <f t="shared" ca="1" si="398"/>
        <v>5.083000000000002</v>
      </c>
      <c r="T879" s="304">
        <f t="shared" ca="1" si="378"/>
        <v>49.86423000000002</v>
      </c>
      <c r="U879" s="311">
        <f t="shared" ca="1" si="379"/>
        <v>0</v>
      </c>
      <c r="V879" s="306">
        <f t="shared" ca="1" si="380"/>
        <v>1.2259203710054862</v>
      </c>
      <c r="W879" s="304">
        <f t="shared" ca="1" si="381"/>
        <v>43.245438885871174</v>
      </c>
      <c r="Y879" s="314" t="str">
        <f t="shared" ca="1" si="399"/>
        <v/>
      </c>
      <c r="Z879" s="315" t="str">
        <f t="shared" ca="1" si="400"/>
        <v/>
      </c>
      <c r="AA879" s="316" t="str">
        <f t="shared" ca="1" si="401"/>
        <v/>
      </c>
      <c r="AC879" s="310" t="e">
        <f t="shared" ca="1" si="402"/>
        <v>#N/A</v>
      </c>
      <c r="AD879" s="323" t="e">
        <f t="shared" ca="1" si="403"/>
        <v>#N/A</v>
      </c>
      <c r="AE879" s="324" t="e">
        <f t="shared" ca="1" si="382"/>
        <v>#N/A</v>
      </c>
      <c r="AG879" s="306">
        <f t="shared" ca="1" si="404"/>
        <v>1.2659347255358924</v>
      </c>
      <c r="AH879" s="304">
        <f t="shared" ca="1" si="405"/>
        <v>-8.5078281630745636</v>
      </c>
    </row>
    <row r="880" spans="1:34" x14ac:dyDescent="0.2">
      <c r="A880" s="347">
        <f t="shared" ca="1" si="383"/>
        <v>1E-4</v>
      </c>
      <c r="B880" s="304">
        <f t="shared" ca="1" si="384"/>
        <v>29.249400000000033</v>
      </c>
      <c r="D880" s="306">
        <f t="shared" ca="1" si="385"/>
        <v>-0.73058724937468067</v>
      </c>
      <c r="E880" s="307">
        <f t="shared" ca="1" si="386"/>
        <v>-1.3335692135156503</v>
      </c>
      <c r="F880" s="304">
        <f t="shared" ca="1" si="387"/>
        <v>1.5205803419042387</v>
      </c>
      <c r="G880" s="306">
        <f t="shared" ca="1" si="388"/>
        <v>9.2041936269842406</v>
      </c>
      <c r="H880" s="307">
        <f t="shared" ca="1" si="389"/>
        <v>-106.79001994272652</v>
      </c>
      <c r="I880" s="304">
        <f t="shared" ca="1" si="390"/>
        <v>107.18593909506481</v>
      </c>
      <c r="J880" s="306">
        <f t="shared" ca="1" si="391"/>
        <v>746.86410190403069</v>
      </c>
      <c r="K880" s="307">
        <f t="shared" ca="1" si="392"/>
        <v>-7.5210903197757251</v>
      </c>
      <c r="L880" s="304">
        <f t="shared" ca="1" si="377"/>
        <v>746.90197048375273</v>
      </c>
      <c r="M880" s="306">
        <f t="shared" ca="1" si="393"/>
        <v>-1.4848191625321387</v>
      </c>
      <c r="N880" s="304">
        <f t="shared" ca="1" si="394"/>
        <v>-85.073871353240961</v>
      </c>
      <c r="P880" s="310">
        <f t="shared" ca="1" si="395"/>
        <v>23</v>
      </c>
      <c r="Q880" s="304">
        <f t="shared" ca="1" si="396"/>
        <v>0</v>
      </c>
      <c r="R880" s="306">
        <f t="shared" ca="1" si="397"/>
        <v>0</v>
      </c>
      <c r="S880" s="307">
        <f t="shared" ca="1" si="398"/>
        <v>5.083000000000002</v>
      </c>
      <c r="T880" s="304">
        <f t="shared" ca="1" si="378"/>
        <v>49.86423000000002</v>
      </c>
      <c r="U880" s="311">
        <f t="shared" ca="1" si="379"/>
        <v>0</v>
      </c>
      <c r="V880" s="306">
        <f t="shared" ca="1" si="380"/>
        <v>1.2259216801661617</v>
      </c>
      <c r="W880" s="304">
        <f t="shared" ca="1" si="381"/>
        <v>43.245587216978805</v>
      </c>
      <c r="Y880" s="314" t="str">
        <f t="shared" ca="1" si="399"/>
        <v/>
      </c>
      <c r="Z880" s="315" t="str">
        <f t="shared" ca="1" si="400"/>
        <v/>
      </c>
      <c r="AA880" s="316" t="str">
        <f t="shared" ca="1" si="401"/>
        <v/>
      </c>
      <c r="AC880" s="310" t="e">
        <f t="shared" ca="1" si="402"/>
        <v>#N/A</v>
      </c>
      <c r="AD880" s="323" t="e">
        <f t="shared" ca="1" si="403"/>
        <v>#N/A</v>
      </c>
      <c r="AE880" s="324" t="e">
        <f t="shared" ca="1" si="382"/>
        <v>#N/A</v>
      </c>
      <c r="AG880" s="306">
        <f t="shared" ca="1" si="404"/>
        <v>1.2659062054472017</v>
      </c>
      <c r="AH880" s="304">
        <f t="shared" ca="1" si="405"/>
        <v>-8.5078573452431936</v>
      </c>
    </row>
    <row r="881" spans="1:34" x14ac:dyDescent="0.2">
      <c r="A881" s="347">
        <f t="shared" ca="1" si="383"/>
        <v>1E-4</v>
      </c>
      <c r="B881" s="304">
        <f t="shared" ca="1" si="384"/>
        <v>29.249500000000033</v>
      </c>
      <c r="D881" s="306">
        <f t="shared" ca="1" si="385"/>
        <v>-0.73058309338407157</v>
      </c>
      <c r="E881" s="307">
        <f t="shared" ca="1" si="386"/>
        <v>-1.3335395653158688</v>
      </c>
      <c r="F881" s="304">
        <f t="shared" ca="1" si="387"/>
        <v>1.5205523432626302</v>
      </c>
      <c r="G881" s="306">
        <f t="shared" ca="1" si="388"/>
        <v>9.2041205686749024</v>
      </c>
      <c r="H881" s="307">
        <f t="shared" ca="1" si="389"/>
        <v>-106.79015329668304</v>
      </c>
      <c r="I881" s="304">
        <f t="shared" ca="1" si="390"/>
        <v>107.18606568286648</v>
      </c>
      <c r="J881" s="306">
        <f t="shared" ca="1" si="391"/>
        <v>746.86410190403069</v>
      </c>
      <c r="K881" s="307">
        <f t="shared" ca="1" si="392"/>
        <v>-7.5317693284376954</v>
      </c>
      <c r="L881" s="304">
        <f t="shared" ca="1" si="377"/>
        <v>746.90207809466642</v>
      </c>
      <c r="M881" s="306">
        <f t="shared" ca="1" si="393"/>
        <v>-1.484819948452619</v>
      </c>
      <c r="N881" s="304">
        <f t="shared" ca="1" si="394"/>
        <v>-85.073916383167514</v>
      </c>
      <c r="P881" s="310">
        <f t="shared" ca="1" si="395"/>
        <v>23</v>
      </c>
      <c r="Q881" s="304">
        <f t="shared" ca="1" si="396"/>
        <v>0</v>
      </c>
      <c r="R881" s="306">
        <f t="shared" ca="1" si="397"/>
        <v>0</v>
      </c>
      <c r="S881" s="307">
        <f t="shared" ca="1" si="398"/>
        <v>5.083000000000002</v>
      </c>
      <c r="T881" s="304">
        <f t="shared" ca="1" si="378"/>
        <v>49.86423000000002</v>
      </c>
      <c r="U881" s="311">
        <f t="shared" ca="1" si="379"/>
        <v>0</v>
      </c>
      <c r="V881" s="306">
        <f t="shared" ca="1" si="380"/>
        <v>1.22592298932987</v>
      </c>
      <c r="W881" s="304">
        <f t="shared" ca="1" si="381"/>
        <v>43.245735546230897</v>
      </c>
      <c r="Y881" s="314" t="str">
        <f t="shared" ca="1" si="399"/>
        <v/>
      </c>
      <c r="Z881" s="315" t="str">
        <f t="shared" ca="1" si="400"/>
        <v/>
      </c>
      <c r="AA881" s="316" t="str">
        <f t="shared" ca="1" si="401"/>
        <v/>
      </c>
      <c r="AC881" s="310" t="e">
        <f t="shared" ca="1" si="402"/>
        <v>#N/A</v>
      </c>
      <c r="AD881" s="323" t="e">
        <f t="shared" ca="1" si="403"/>
        <v>#N/A</v>
      </c>
      <c r="AE881" s="324" t="e">
        <f t="shared" ca="1" si="382"/>
        <v>#N/A</v>
      </c>
      <c r="AG881" s="306">
        <f t="shared" ca="1" si="404"/>
        <v>1.2658776857106968</v>
      </c>
      <c r="AH881" s="304">
        <f t="shared" ca="1" si="405"/>
        <v>-8.5078865270467805</v>
      </c>
    </row>
    <row r="882" spans="1:34" x14ac:dyDescent="0.2">
      <c r="A882" s="347">
        <f t="shared" ca="1" si="383"/>
        <v>1E-4</v>
      </c>
      <c r="B882" s="304">
        <f t="shared" ca="1" si="384"/>
        <v>29.249600000000033</v>
      </c>
      <c r="D882" s="306">
        <f t="shared" ca="1" si="385"/>
        <v>-0.73057893738457647</v>
      </c>
      <c r="E882" s="307">
        <f t="shared" ca="1" si="386"/>
        <v>-1.3335099174869995</v>
      </c>
      <c r="F882" s="304">
        <f t="shared" ca="1" si="387"/>
        <v>1.5205243450159425</v>
      </c>
      <c r="G882" s="306">
        <f t="shared" ca="1" si="388"/>
        <v>9.2040475107811641</v>
      </c>
      <c r="H882" s="307">
        <f t="shared" ca="1" si="389"/>
        <v>-106.79028664767479</v>
      </c>
      <c r="I882" s="304">
        <f t="shared" ca="1" si="390"/>
        <v>107.18619226781622</v>
      </c>
      <c r="J882" s="306">
        <f t="shared" ca="1" si="391"/>
        <v>746.86410190403069</v>
      </c>
      <c r="K882" s="307">
        <f t="shared" ca="1" si="392"/>
        <v>-7.5424483504349134</v>
      </c>
      <c r="L882" s="304">
        <f t="shared" ca="1" si="377"/>
        <v>746.90218585838488</v>
      </c>
      <c r="M882" s="306">
        <f t="shared" ca="1" si="393"/>
        <v>-1.4848207343650046</v>
      </c>
      <c r="N882" s="304">
        <f t="shared" ca="1" si="394"/>
        <v>-85.073961412630283</v>
      </c>
      <c r="P882" s="310">
        <f t="shared" ca="1" si="395"/>
        <v>23</v>
      </c>
      <c r="Q882" s="304">
        <f t="shared" ca="1" si="396"/>
        <v>0</v>
      </c>
      <c r="R882" s="306">
        <f t="shared" ca="1" si="397"/>
        <v>0</v>
      </c>
      <c r="S882" s="307">
        <f t="shared" ca="1" si="398"/>
        <v>5.083000000000002</v>
      </c>
      <c r="T882" s="304">
        <f t="shared" ca="1" si="378"/>
        <v>49.86423000000002</v>
      </c>
      <c r="U882" s="311">
        <f t="shared" ca="1" si="379"/>
        <v>0</v>
      </c>
      <c r="V882" s="306">
        <f t="shared" ca="1" si="380"/>
        <v>1.2259242984966121</v>
      </c>
      <c r="W882" s="304">
        <f t="shared" ca="1" si="381"/>
        <v>43.245883873627506</v>
      </c>
      <c r="Y882" s="314" t="str">
        <f t="shared" ca="1" si="399"/>
        <v/>
      </c>
      <c r="Z882" s="315" t="str">
        <f t="shared" ca="1" si="400"/>
        <v/>
      </c>
      <c r="AA882" s="316" t="str">
        <f t="shared" ca="1" si="401"/>
        <v/>
      </c>
      <c r="AC882" s="310" t="e">
        <f t="shared" ca="1" si="402"/>
        <v>#N/A</v>
      </c>
      <c r="AD882" s="323" t="e">
        <f t="shared" ca="1" si="403"/>
        <v>#N/A</v>
      </c>
      <c r="AE882" s="324" t="e">
        <f t="shared" ca="1" si="382"/>
        <v>#N/A</v>
      </c>
      <c r="AG882" s="306">
        <f t="shared" ca="1" si="404"/>
        <v>1.2658491663263867</v>
      </c>
      <c r="AH882" s="304">
        <f t="shared" ca="1" si="405"/>
        <v>-8.507915708485319</v>
      </c>
    </row>
    <row r="883" spans="1:34" x14ac:dyDescent="0.2">
      <c r="A883" s="347">
        <f t="shared" ca="1" si="383"/>
        <v>1E-4</v>
      </c>
      <c r="B883" s="304">
        <f t="shared" ca="1" si="384"/>
        <v>29.249700000000033</v>
      </c>
      <c r="D883" s="306">
        <f t="shared" ca="1" si="385"/>
        <v>-0.73057478137619969</v>
      </c>
      <c r="E883" s="307">
        <f t="shared" ca="1" si="386"/>
        <v>-1.3334802700290265</v>
      </c>
      <c r="F883" s="304">
        <f t="shared" ca="1" si="387"/>
        <v>1.5204963471641646</v>
      </c>
      <c r="G883" s="306">
        <f t="shared" ca="1" si="388"/>
        <v>9.2039744533030259</v>
      </c>
      <c r="H883" s="307">
        <f t="shared" ca="1" si="389"/>
        <v>-106.7904199957018</v>
      </c>
      <c r="I883" s="304">
        <f t="shared" ca="1" si="390"/>
        <v>107.18631884991406</v>
      </c>
      <c r="J883" s="306">
        <f t="shared" ca="1" si="391"/>
        <v>746.86410190403069</v>
      </c>
      <c r="K883" s="307">
        <f t="shared" ca="1" si="392"/>
        <v>-7.5531273857670822</v>
      </c>
      <c r="L883" s="304">
        <f t="shared" ca="1" si="377"/>
        <v>746.90229377490857</v>
      </c>
      <c r="M883" s="306">
        <f t="shared" ca="1" si="393"/>
        <v>-1.4848215202692956</v>
      </c>
      <c r="N883" s="304">
        <f t="shared" ca="1" si="394"/>
        <v>-85.074006441629251</v>
      </c>
      <c r="P883" s="310">
        <f t="shared" ca="1" si="395"/>
        <v>23</v>
      </c>
      <c r="Q883" s="304">
        <f t="shared" ca="1" si="396"/>
        <v>0</v>
      </c>
      <c r="R883" s="306">
        <f t="shared" ca="1" si="397"/>
        <v>0</v>
      </c>
      <c r="S883" s="307">
        <f t="shared" ca="1" si="398"/>
        <v>5.083000000000002</v>
      </c>
      <c r="T883" s="304">
        <f t="shared" ca="1" si="378"/>
        <v>49.86423000000002</v>
      </c>
      <c r="U883" s="311">
        <f t="shared" ca="1" si="379"/>
        <v>0</v>
      </c>
      <c r="V883" s="306">
        <f t="shared" ca="1" si="380"/>
        <v>1.2259256076663874</v>
      </c>
      <c r="W883" s="304">
        <f t="shared" ca="1" si="381"/>
        <v>43.24603219916861</v>
      </c>
      <c r="Y883" s="314" t="str">
        <f t="shared" ca="1" si="399"/>
        <v/>
      </c>
      <c r="Z883" s="315" t="str">
        <f t="shared" ca="1" si="400"/>
        <v/>
      </c>
      <c r="AA883" s="316" t="str">
        <f t="shared" ca="1" si="401"/>
        <v/>
      </c>
      <c r="AC883" s="310" t="e">
        <f t="shared" ca="1" si="402"/>
        <v>#N/A</v>
      </c>
      <c r="AD883" s="323" t="e">
        <f t="shared" ca="1" si="403"/>
        <v>#N/A</v>
      </c>
      <c r="AE883" s="324" t="e">
        <f t="shared" ca="1" si="382"/>
        <v>#N/A</v>
      </c>
      <c r="AG883" s="306">
        <f t="shared" ca="1" si="404"/>
        <v>1.2658206472942535</v>
      </c>
      <c r="AH883" s="304">
        <f t="shared" ca="1" si="405"/>
        <v>-8.5079448895588214</v>
      </c>
    </row>
    <row r="884" spans="1:34" x14ac:dyDescent="0.2">
      <c r="A884" s="347">
        <f t="shared" ca="1" si="383"/>
        <v>1E-4</v>
      </c>
      <c r="B884" s="304">
        <f t="shared" ca="1" si="384"/>
        <v>29.249800000000032</v>
      </c>
      <c r="D884" s="306">
        <f t="shared" ca="1" si="385"/>
        <v>-0.73057062535894235</v>
      </c>
      <c r="E884" s="307">
        <f t="shared" ca="1" si="386"/>
        <v>-1.3334506229419585</v>
      </c>
      <c r="F884" s="304">
        <f t="shared" ca="1" si="387"/>
        <v>1.5204683497073042</v>
      </c>
      <c r="G884" s="306">
        <f t="shared" ca="1" si="388"/>
        <v>9.2039013962404894</v>
      </c>
      <c r="H884" s="307">
        <f t="shared" ca="1" si="389"/>
        <v>-106.79055334076409</v>
      </c>
      <c r="I884" s="304">
        <f t="shared" ca="1" si="390"/>
        <v>107.18644542916002</v>
      </c>
      <c r="J884" s="306">
        <f t="shared" ca="1" si="391"/>
        <v>746.86410190403069</v>
      </c>
      <c r="K884" s="307">
        <f t="shared" ca="1" si="392"/>
        <v>-7.5638064344339053</v>
      </c>
      <c r="L884" s="304">
        <f t="shared" ca="1" si="377"/>
        <v>746.90240184423817</v>
      </c>
      <c r="M884" s="306">
        <f t="shared" ca="1" si="393"/>
        <v>-1.4848223061654924</v>
      </c>
      <c r="N884" s="304">
        <f t="shared" ca="1" si="394"/>
        <v>-85.074051470164463</v>
      </c>
      <c r="P884" s="310">
        <f t="shared" ca="1" si="395"/>
        <v>23</v>
      </c>
      <c r="Q884" s="304">
        <f t="shared" ca="1" si="396"/>
        <v>0</v>
      </c>
      <c r="R884" s="306">
        <f t="shared" ca="1" si="397"/>
        <v>0</v>
      </c>
      <c r="S884" s="307">
        <f t="shared" ca="1" si="398"/>
        <v>5.083000000000002</v>
      </c>
      <c r="T884" s="304">
        <f t="shared" ca="1" si="378"/>
        <v>49.86423000000002</v>
      </c>
      <c r="U884" s="311">
        <f t="shared" ca="1" si="379"/>
        <v>0</v>
      </c>
      <c r="V884" s="306">
        <f t="shared" ca="1" si="380"/>
        <v>1.225926916839196</v>
      </c>
      <c r="W884" s="304">
        <f t="shared" ca="1" si="381"/>
        <v>43.246180522854225</v>
      </c>
      <c r="Y884" s="314" t="str">
        <f t="shared" ca="1" si="399"/>
        <v/>
      </c>
      <c r="Z884" s="315" t="str">
        <f t="shared" ca="1" si="400"/>
        <v/>
      </c>
      <c r="AA884" s="316" t="str">
        <f t="shared" ca="1" si="401"/>
        <v/>
      </c>
      <c r="AC884" s="310" t="e">
        <f t="shared" ca="1" si="402"/>
        <v>#N/A</v>
      </c>
      <c r="AD884" s="323" t="e">
        <f t="shared" ca="1" si="403"/>
        <v>#N/A</v>
      </c>
      <c r="AE884" s="324" t="e">
        <f t="shared" ca="1" si="382"/>
        <v>#N/A</v>
      </c>
      <c r="AG884" s="306">
        <f t="shared" ca="1" si="404"/>
        <v>1.2657921286143079</v>
      </c>
      <c r="AH884" s="304">
        <f t="shared" ca="1" si="405"/>
        <v>-8.5079740702672826</v>
      </c>
    </row>
    <row r="885" spans="1:34" x14ac:dyDescent="0.2">
      <c r="A885" s="347">
        <f t="shared" ca="1" si="383"/>
        <v>1E-4</v>
      </c>
      <c r="B885" s="304">
        <f t="shared" ca="1" si="384"/>
        <v>29.249900000000032</v>
      </c>
      <c r="D885" s="306">
        <f t="shared" ca="1" si="385"/>
        <v>-0.73056646933280256</v>
      </c>
      <c r="E885" s="307">
        <f t="shared" ca="1" si="386"/>
        <v>-1.333420976225792</v>
      </c>
      <c r="F885" s="304">
        <f t="shared" ca="1" si="387"/>
        <v>1.520440352645358</v>
      </c>
      <c r="G885" s="306">
        <f t="shared" ca="1" si="388"/>
        <v>9.2038283395935565</v>
      </c>
      <c r="H885" s="307">
        <f t="shared" ca="1" si="389"/>
        <v>-106.79068668286172</v>
      </c>
      <c r="I885" s="304">
        <f t="shared" ca="1" si="390"/>
        <v>107.18657200555415</v>
      </c>
      <c r="J885" s="306">
        <f t="shared" ca="1" si="391"/>
        <v>746.86410190403069</v>
      </c>
      <c r="K885" s="307">
        <f t="shared" ca="1" si="392"/>
        <v>-7.574485496435087</v>
      </c>
      <c r="L885" s="304">
        <f t="shared" ca="1" si="377"/>
        <v>746.90251006637413</v>
      </c>
      <c r="M885" s="306">
        <f t="shared" ca="1" si="393"/>
        <v>-1.484823092053595</v>
      </c>
      <c r="N885" s="304">
        <f t="shared" ca="1" si="394"/>
        <v>-85.074096498235917</v>
      </c>
      <c r="P885" s="310">
        <f t="shared" ca="1" si="395"/>
        <v>23</v>
      </c>
      <c r="Q885" s="304">
        <f t="shared" ca="1" si="396"/>
        <v>0</v>
      </c>
      <c r="R885" s="306">
        <f t="shared" ca="1" si="397"/>
        <v>0</v>
      </c>
      <c r="S885" s="307">
        <f t="shared" ca="1" si="398"/>
        <v>5.083000000000002</v>
      </c>
      <c r="T885" s="304">
        <f t="shared" ca="1" si="378"/>
        <v>49.86423000000002</v>
      </c>
      <c r="U885" s="311">
        <f t="shared" ca="1" si="379"/>
        <v>0</v>
      </c>
      <c r="V885" s="306">
        <f t="shared" ca="1" si="380"/>
        <v>1.2259282260150379</v>
      </c>
      <c r="W885" s="304">
        <f t="shared" ca="1" si="381"/>
        <v>43.246328844684385</v>
      </c>
      <c r="Y885" s="314" t="str">
        <f t="shared" ca="1" si="399"/>
        <v/>
      </c>
      <c r="Z885" s="315" t="str">
        <f t="shared" ca="1" si="400"/>
        <v/>
      </c>
      <c r="AA885" s="316" t="str">
        <f t="shared" ca="1" si="401"/>
        <v/>
      </c>
      <c r="AC885" s="310" t="e">
        <f t="shared" ca="1" si="402"/>
        <v>#N/A</v>
      </c>
      <c r="AD885" s="323" t="e">
        <f t="shared" ca="1" si="403"/>
        <v>#N/A</v>
      </c>
      <c r="AE885" s="324" t="e">
        <f t="shared" ca="1" si="382"/>
        <v>#N/A</v>
      </c>
      <c r="AG885" s="306">
        <f t="shared" ca="1" si="404"/>
        <v>1.2657636102865464</v>
      </c>
      <c r="AH885" s="304">
        <f t="shared" ca="1" si="405"/>
        <v>-8.5080032506107042</v>
      </c>
    </row>
    <row r="886" spans="1:34" x14ac:dyDescent="0.2">
      <c r="A886" s="347">
        <f t="shared" ca="1" si="383"/>
        <v>1E-4</v>
      </c>
      <c r="B886" s="304">
        <f t="shared" ca="1" si="384"/>
        <v>29.250000000000032</v>
      </c>
      <c r="D886" s="306">
        <f t="shared" ca="1" si="385"/>
        <v>-0.73056231329778254</v>
      </c>
      <c r="E886" s="307">
        <f t="shared" ca="1" si="386"/>
        <v>-1.3333913298805182</v>
      </c>
      <c r="F886" s="304">
        <f t="shared" ca="1" si="387"/>
        <v>1.5204123559783196</v>
      </c>
      <c r="G886" s="306">
        <f t="shared" ca="1" si="388"/>
        <v>9.2037552833622271</v>
      </c>
      <c r="H886" s="307">
        <f t="shared" ca="1" si="389"/>
        <v>-106.7908200219947</v>
      </c>
      <c r="I886" s="304">
        <f t="shared" ca="1" si="390"/>
        <v>107.18669857909649</v>
      </c>
      <c r="J886" s="306">
        <f t="shared" ca="1" si="391"/>
        <v>746.86410190403069</v>
      </c>
      <c r="K886" s="307">
        <f t="shared" ca="1" si="392"/>
        <v>-7.5851645717703295</v>
      </c>
      <c r="L886" s="304">
        <f t="shared" ca="1" si="377"/>
        <v>746.90261844131669</v>
      </c>
      <c r="M886" s="306">
        <f t="shared" ca="1" si="393"/>
        <v>-1.4848238779336034</v>
      </c>
      <c r="N886" s="304">
        <f t="shared" ca="1" si="394"/>
        <v>-85.074141525843601</v>
      </c>
      <c r="P886" s="310">
        <f t="shared" ca="1" si="395"/>
        <v>23</v>
      </c>
      <c r="Q886" s="304">
        <f t="shared" ca="1" si="396"/>
        <v>0</v>
      </c>
      <c r="R886" s="306">
        <f t="shared" ca="1" si="397"/>
        <v>0</v>
      </c>
      <c r="S886" s="307">
        <f t="shared" ca="1" si="398"/>
        <v>5.083000000000002</v>
      </c>
      <c r="T886" s="304">
        <f t="shared" ca="1" si="378"/>
        <v>49.86423000000002</v>
      </c>
      <c r="U886" s="311">
        <f t="shared" ca="1" si="379"/>
        <v>0</v>
      </c>
      <c r="V886" s="306">
        <f t="shared" ca="1" si="380"/>
        <v>1.225929535193913</v>
      </c>
      <c r="W886" s="304">
        <f t="shared" ca="1" si="381"/>
        <v>43.246477164659083</v>
      </c>
      <c r="Y886" s="314" t="str">
        <f t="shared" ca="1" si="399"/>
        <v/>
      </c>
      <c r="Z886" s="315" t="str">
        <f t="shared" ca="1" si="400"/>
        <v/>
      </c>
      <c r="AA886" s="316" t="str">
        <f t="shared" ca="1" si="401"/>
        <v/>
      </c>
      <c r="AC886" s="310" t="e">
        <f t="shared" ca="1" si="402"/>
        <v>#N/A</v>
      </c>
      <c r="AD886" s="323" t="e">
        <f t="shared" ca="1" si="403"/>
        <v>#N/A</v>
      </c>
      <c r="AE886" s="324" t="e">
        <f t="shared" ca="1" si="382"/>
        <v>#N/A</v>
      </c>
      <c r="AG886" s="306">
        <f t="shared" ca="1" si="404"/>
        <v>1.2657350923109618</v>
      </c>
      <c r="AH886" s="304">
        <f t="shared" ca="1" si="405"/>
        <v>-8.5080324305890951</v>
      </c>
    </row>
    <row r="887" spans="1:34" x14ac:dyDescent="0.2">
      <c r="A887" s="347">
        <f t="shared" ca="1" si="383"/>
        <v>1E-4</v>
      </c>
      <c r="B887" s="304">
        <f t="shared" ca="1" si="384"/>
        <v>29.250100000000032</v>
      </c>
      <c r="D887" s="306">
        <f t="shared" ca="1" si="385"/>
        <v>-0.73055815725388373</v>
      </c>
      <c r="E887" s="307">
        <f t="shared" ca="1" si="386"/>
        <v>-1.3333616839061406</v>
      </c>
      <c r="F887" s="304">
        <f t="shared" ca="1" si="387"/>
        <v>1.5203843597061926</v>
      </c>
      <c r="G887" s="306">
        <f t="shared" ca="1" si="388"/>
        <v>9.2036822275465013</v>
      </c>
      <c r="H887" s="307">
        <f t="shared" ca="1" si="389"/>
        <v>-106.79095335816309</v>
      </c>
      <c r="I887" s="304">
        <f t="shared" ca="1" si="390"/>
        <v>107.18682514978704</v>
      </c>
      <c r="J887" s="306">
        <f t="shared" ca="1" si="391"/>
        <v>746.86410190403069</v>
      </c>
      <c r="K887" s="307">
        <f t="shared" ca="1" si="392"/>
        <v>-7.5958436604393373</v>
      </c>
      <c r="L887" s="304">
        <f t="shared" ca="1" si="377"/>
        <v>746.90272696906663</v>
      </c>
      <c r="M887" s="306">
        <f t="shared" ca="1" si="393"/>
        <v>-1.4848246638055178</v>
      </c>
      <c r="N887" s="304">
        <f t="shared" ca="1" si="394"/>
        <v>-85.074186552987541</v>
      </c>
      <c r="P887" s="310">
        <f t="shared" ca="1" si="395"/>
        <v>23</v>
      </c>
      <c r="Q887" s="304">
        <f t="shared" ca="1" si="396"/>
        <v>0</v>
      </c>
      <c r="R887" s="306">
        <f t="shared" ca="1" si="397"/>
        <v>0</v>
      </c>
      <c r="S887" s="307">
        <f t="shared" ca="1" si="398"/>
        <v>5.083000000000002</v>
      </c>
      <c r="T887" s="304">
        <f t="shared" ca="1" si="378"/>
        <v>49.86423000000002</v>
      </c>
      <c r="U887" s="311">
        <f t="shared" ca="1" si="379"/>
        <v>0</v>
      </c>
      <c r="V887" s="306">
        <f t="shared" ca="1" si="380"/>
        <v>1.2259308443758212</v>
      </c>
      <c r="W887" s="304">
        <f t="shared" ca="1" si="381"/>
        <v>43.24662548277832</v>
      </c>
      <c r="Y887" s="314" t="str">
        <f t="shared" ca="1" si="399"/>
        <v/>
      </c>
      <c r="Z887" s="315" t="str">
        <f t="shared" ca="1" si="400"/>
        <v/>
      </c>
      <c r="AA887" s="316" t="str">
        <f t="shared" ca="1" si="401"/>
        <v/>
      </c>
      <c r="AC887" s="310" t="e">
        <f t="shared" ca="1" si="402"/>
        <v>#N/A</v>
      </c>
      <c r="AD887" s="323" t="e">
        <f t="shared" ca="1" si="403"/>
        <v>#N/A</v>
      </c>
      <c r="AE887" s="324" t="e">
        <f t="shared" ca="1" si="382"/>
        <v>#N/A</v>
      </c>
      <c r="AG887" s="306">
        <f t="shared" ca="1" si="404"/>
        <v>1.265706574687556</v>
      </c>
      <c r="AH887" s="304">
        <f t="shared" ca="1" si="405"/>
        <v>-8.5080616102024518</v>
      </c>
    </row>
    <row r="888" spans="1:34" x14ac:dyDescent="0.2">
      <c r="A888" s="347">
        <f t="shared" ca="1" si="383"/>
        <v>1E-4</v>
      </c>
      <c r="B888" s="304">
        <f t="shared" ca="1" si="384"/>
        <v>29.250200000000032</v>
      </c>
      <c r="D888" s="306">
        <f t="shared" ca="1" si="385"/>
        <v>-0.73055400120110581</v>
      </c>
      <c r="E888" s="307">
        <f t="shared" ca="1" si="386"/>
        <v>-1.3333320383026557</v>
      </c>
      <c r="F888" s="304">
        <f t="shared" ca="1" si="387"/>
        <v>1.5203563638289741</v>
      </c>
      <c r="G888" s="306">
        <f t="shared" ca="1" si="388"/>
        <v>9.2036091721463809</v>
      </c>
      <c r="H888" s="307">
        <f t="shared" ca="1" si="389"/>
        <v>-106.79108669136693</v>
      </c>
      <c r="I888" s="304">
        <f t="shared" ca="1" si="390"/>
        <v>107.18695171762589</v>
      </c>
      <c r="J888" s="306">
        <f t="shared" ca="1" si="391"/>
        <v>746.86410190403069</v>
      </c>
      <c r="K888" s="307">
        <f t="shared" ca="1" si="392"/>
        <v>-7.6065227624418137</v>
      </c>
      <c r="L888" s="304">
        <f t="shared" ca="1" si="377"/>
        <v>746.90283564962442</v>
      </c>
      <c r="M888" s="306">
        <f t="shared" ca="1" si="393"/>
        <v>-1.4848254496693385</v>
      </c>
      <c r="N888" s="304">
        <f t="shared" ca="1" si="394"/>
        <v>-85.074231579667739</v>
      </c>
      <c r="P888" s="310">
        <f t="shared" ca="1" si="395"/>
        <v>23</v>
      </c>
      <c r="Q888" s="304">
        <f t="shared" ca="1" si="396"/>
        <v>0</v>
      </c>
      <c r="R888" s="306">
        <f t="shared" ca="1" si="397"/>
        <v>0</v>
      </c>
      <c r="S888" s="307">
        <f t="shared" ca="1" si="398"/>
        <v>5.083000000000002</v>
      </c>
      <c r="T888" s="304">
        <f t="shared" ca="1" si="378"/>
        <v>49.86423000000002</v>
      </c>
      <c r="U888" s="311">
        <f t="shared" ca="1" si="379"/>
        <v>0</v>
      </c>
      <c r="V888" s="306">
        <f t="shared" ca="1" si="380"/>
        <v>1.225932153560763</v>
      </c>
      <c r="W888" s="304">
        <f t="shared" ca="1" si="381"/>
        <v>43.246773799042167</v>
      </c>
      <c r="Y888" s="314" t="str">
        <f t="shared" ca="1" si="399"/>
        <v/>
      </c>
      <c r="Z888" s="315" t="str">
        <f t="shared" ca="1" si="400"/>
        <v/>
      </c>
      <c r="AA888" s="316" t="str">
        <f t="shared" ca="1" si="401"/>
        <v/>
      </c>
      <c r="AC888" s="310" t="e">
        <f t="shared" ca="1" si="402"/>
        <v>#N/A</v>
      </c>
      <c r="AD888" s="323" t="e">
        <f t="shared" ca="1" si="403"/>
        <v>#N/A</v>
      </c>
      <c r="AE888" s="324" t="e">
        <f t="shared" ca="1" si="382"/>
        <v>#N/A</v>
      </c>
      <c r="AG888" s="306">
        <f t="shared" ca="1" si="404"/>
        <v>1.2656780574163253</v>
      </c>
      <c r="AH888" s="304">
        <f t="shared" ca="1" si="405"/>
        <v>-8.5080907894507778</v>
      </c>
    </row>
    <row r="889" spans="1:34" x14ac:dyDescent="0.2">
      <c r="A889" s="347">
        <f t="shared" ca="1" si="383"/>
        <v>1E-4</v>
      </c>
      <c r="B889" s="304">
        <f t="shared" ca="1" si="384"/>
        <v>29.250300000000031</v>
      </c>
      <c r="D889" s="306">
        <f t="shared" ca="1" si="385"/>
        <v>-0.73054984513944976</v>
      </c>
      <c r="E889" s="307">
        <f t="shared" ca="1" si="386"/>
        <v>-1.3333023930700527</v>
      </c>
      <c r="F889" s="304">
        <f t="shared" ca="1" si="387"/>
        <v>1.5203283683466553</v>
      </c>
      <c r="G889" s="306">
        <f t="shared" ca="1" si="388"/>
        <v>9.2035361171618675</v>
      </c>
      <c r="H889" s="307">
        <f t="shared" ca="1" si="389"/>
        <v>-106.79122002160624</v>
      </c>
      <c r="I889" s="304">
        <f t="shared" ca="1" si="390"/>
        <v>107.18707828261304</v>
      </c>
      <c r="J889" s="306">
        <f t="shared" ca="1" si="391"/>
        <v>746.86410190403069</v>
      </c>
      <c r="K889" s="307">
        <f t="shared" ca="1" si="392"/>
        <v>-7.6172018777774619</v>
      </c>
      <c r="L889" s="304">
        <f t="shared" ca="1" si="377"/>
        <v>746.90294448299051</v>
      </c>
      <c r="M889" s="306">
        <f t="shared" ca="1" si="393"/>
        <v>-1.4848262355250652</v>
      </c>
      <c r="N889" s="304">
        <f t="shared" ca="1" si="394"/>
        <v>-85.07427660588418</v>
      </c>
      <c r="P889" s="310">
        <f t="shared" ca="1" si="395"/>
        <v>23</v>
      </c>
      <c r="Q889" s="304">
        <f t="shared" ca="1" si="396"/>
        <v>0</v>
      </c>
      <c r="R889" s="306">
        <f t="shared" ca="1" si="397"/>
        <v>0</v>
      </c>
      <c r="S889" s="307">
        <f t="shared" ca="1" si="398"/>
        <v>5.083000000000002</v>
      </c>
      <c r="T889" s="304">
        <f t="shared" ca="1" si="378"/>
        <v>49.86423000000002</v>
      </c>
      <c r="U889" s="311">
        <f t="shared" ca="1" si="379"/>
        <v>0</v>
      </c>
      <c r="V889" s="306">
        <f t="shared" ca="1" si="380"/>
        <v>1.2259334627487377</v>
      </c>
      <c r="W889" s="304">
        <f t="shared" ca="1" si="381"/>
        <v>43.246922113450587</v>
      </c>
      <c r="Y889" s="314" t="str">
        <f t="shared" ca="1" si="399"/>
        <v/>
      </c>
      <c r="Z889" s="315" t="str">
        <f t="shared" ca="1" si="400"/>
        <v/>
      </c>
      <c r="AA889" s="316" t="str">
        <f t="shared" ca="1" si="401"/>
        <v/>
      </c>
      <c r="AC889" s="310" t="e">
        <f t="shared" ca="1" si="402"/>
        <v>#N/A</v>
      </c>
      <c r="AD889" s="323" t="e">
        <f t="shared" ca="1" si="403"/>
        <v>#N/A</v>
      </c>
      <c r="AE889" s="324" t="e">
        <f t="shared" ca="1" si="382"/>
        <v>#N/A</v>
      </c>
      <c r="AG889" s="306">
        <f t="shared" ca="1" si="404"/>
        <v>1.2656495404972627</v>
      </c>
      <c r="AH889" s="304">
        <f t="shared" ca="1" si="405"/>
        <v>-8.5081199683340838</v>
      </c>
    </row>
    <row r="890" spans="1:34" x14ac:dyDescent="0.2">
      <c r="A890" s="347">
        <f t="shared" ca="1" si="383"/>
        <v>1E-4</v>
      </c>
      <c r="B890" s="304">
        <f t="shared" ca="1" si="384"/>
        <v>29.250400000000031</v>
      </c>
      <c r="D890" s="306">
        <f t="shared" ca="1" si="385"/>
        <v>-0.73054568906891837</v>
      </c>
      <c r="E890" s="307">
        <f t="shared" ca="1" si="386"/>
        <v>-1.3332727482083371</v>
      </c>
      <c r="F890" s="304">
        <f t="shared" ca="1" si="387"/>
        <v>1.5203003732592426</v>
      </c>
      <c r="G890" s="306">
        <f t="shared" ca="1" si="388"/>
        <v>9.2034630625929612</v>
      </c>
      <c r="H890" s="307">
        <f t="shared" ca="1" si="389"/>
        <v>-106.79135334888106</v>
      </c>
      <c r="I890" s="304">
        <f t="shared" ca="1" si="390"/>
        <v>107.18720484474854</v>
      </c>
      <c r="J890" s="306">
        <f t="shared" ca="1" si="391"/>
        <v>746.86410190403069</v>
      </c>
      <c r="K890" s="307">
        <f t="shared" ca="1" si="392"/>
        <v>-7.6278810064459863</v>
      </c>
      <c r="L890" s="304">
        <f t="shared" ca="1" si="377"/>
        <v>746.90305346916523</v>
      </c>
      <c r="M890" s="306">
        <f t="shared" ca="1" si="393"/>
        <v>-1.4848270213726982</v>
      </c>
      <c r="N890" s="304">
        <f t="shared" ca="1" si="394"/>
        <v>-85.074321631636892</v>
      </c>
      <c r="P890" s="310">
        <f t="shared" ca="1" si="395"/>
        <v>23</v>
      </c>
      <c r="Q890" s="304">
        <f t="shared" ca="1" si="396"/>
        <v>0</v>
      </c>
      <c r="R890" s="306">
        <f t="shared" ca="1" si="397"/>
        <v>0</v>
      </c>
      <c r="S890" s="307">
        <f t="shared" ca="1" si="398"/>
        <v>5.083000000000002</v>
      </c>
      <c r="T890" s="304">
        <f t="shared" ca="1" si="378"/>
        <v>49.86423000000002</v>
      </c>
      <c r="U890" s="311">
        <f t="shared" ca="1" si="379"/>
        <v>0</v>
      </c>
      <c r="V890" s="306">
        <f t="shared" ca="1" si="380"/>
        <v>1.225934771939746</v>
      </c>
      <c r="W890" s="304">
        <f t="shared" ca="1" si="381"/>
        <v>43.24707042600361</v>
      </c>
      <c r="Y890" s="314" t="str">
        <f t="shared" ca="1" si="399"/>
        <v/>
      </c>
      <c r="Z890" s="315" t="str">
        <f t="shared" ca="1" si="400"/>
        <v/>
      </c>
      <c r="AA890" s="316" t="str">
        <f t="shared" ca="1" si="401"/>
        <v/>
      </c>
      <c r="AC890" s="310" t="e">
        <f t="shared" ca="1" si="402"/>
        <v>#N/A</v>
      </c>
      <c r="AD890" s="323" t="e">
        <f t="shared" ca="1" si="403"/>
        <v>#N/A</v>
      </c>
      <c r="AE890" s="324" t="e">
        <f t="shared" ca="1" si="382"/>
        <v>#N/A</v>
      </c>
      <c r="AG890" s="306">
        <f t="shared" ca="1" si="404"/>
        <v>1.26562102393037</v>
      </c>
      <c r="AH890" s="304">
        <f t="shared" ca="1" si="405"/>
        <v>-8.5081491468523645</v>
      </c>
    </row>
    <row r="891" spans="1:34" x14ac:dyDescent="0.2">
      <c r="A891" s="347">
        <f t="shared" ca="1" si="383"/>
        <v>1E-4</v>
      </c>
      <c r="B891" s="304">
        <f t="shared" ca="1" si="384"/>
        <v>29.250500000000031</v>
      </c>
      <c r="D891" s="306">
        <f t="shared" ca="1" si="385"/>
        <v>-0.73054153298951174</v>
      </c>
      <c r="E891" s="307">
        <f t="shared" ca="1" si="386"/>
        <v>-1.3332431037175034</v>
      </c>
      <c r="F891" s="304">
        <f t="shared" ca="1" si="387"/>
        <v>1.5202723785667316</v>
      </c>
      <c r="G891" s="306">
        <f t="shared" ca="1" si="388"/>
        <v>9.203390008439662</v>
      </c>
      <c r="H891" s="307">
        <f t="shared" ca="1" si="389"/>
        <v>-106.79148667319143</v>
      </c>
      <c r="I891" s="304">
        <f t="shared" ca="1" si="390"/>
        <v>107.18733140403239</v>
      </c>
      <c r="J891" s="306">
        <f t="shared" ca="1" si="391"/>
        <v>746.86410190403069</v>
      </c>
      <c r="K891" s="307">
        <f t="shared" ca="1" si="392"/>
        <v>-7.6385601484470902</v>
      </c>
      <c r="L891" s="304">
        <f t="shared" ca="1" si="377"/>
        <v>746.9031626081495</v>
      </c>
      <c r="M891" s="306">
        <f t="shared" ca="1" si="393"/>
        <v>-1.4848278072122378</v>
      </c>
      <c r="N891" s="304">
        <f t="shared" ca="1" si="394"/>
        <v>-85.074366656925889</v>
      </c>
      <c r="P891" s="310">
        <f t="shared" ca="1" si="395"/>
        <v>23</v>
      </c>
      <c r="Q891" s="304">
        <f t="shared" ca="1" si="396"/>
        <v>0</v>
      </c>
      <c r="R891" s="306">
        <f t="shared" ca="1" si="397"/>
        <v>0</v>
      </c>
      <c r="S891" s="307">
        <f t="shared" ca="1" si="398"/>
        <v>5.083000000000002</v>
      </c>
      <c r="T891" s="304">
        <f t="shared" ca="1" si="378"/>
        <v>49.86423000000002</v>
      </c>
      <c r="U891" s="311">
        <f t="shared" ca="1" si="379"/>
        <v>0</v>
      </c>
      <c r="V891" s="306">
        <f t="shared" ca="1" si="380"/>
        <v>1.2259360811337869</v>
      </c>
      <c r="W891" s="304">
        <f t="shared" ca="1" si="381"/>
        <v>43.247218736701221</v>
      </c>
      <c r="Y891" s="314" t="str">
        <f t="shared" ca="1" si="399"/>
        <v/>
      </c>
      <c r="Z891" s="315" t="str">
        <f t="shared" ca="1" si="400"/>
        <v/>
      </c>
      <c r="AA891" s="316" t="str">
        <f t="shared" ca="1" si="401"/>
        <v/>
      </c>
      <c r="AC891" s="310" t="e">
        <f t="shared" ca="1" si="402"/>
        <v>#N/A</v>
      </c>
      <c r="AD891" s="323" t="e">
        <f t="shared" ca="1" si="403"/>
        <v>#N/A</v>
      </c>
      <c r="AE891" s="324" t="e">
        <f t="shared" ca="1" si="382"/>
        <v>#N/A</v>
      </c>
      <c r="AG891" s="306">
        <f t="shared" ca="1" si="404"/>
        <v>1.2655925077156454</v>
      </c>
      <c r="AH891" s="304">
        <f t="shared" ca="1" si="405"/>
        <v>-8.5081783250056251</v>
      </c>
    </row>
    <row r="892" spans="1:34" x14ac:dyDescent="0.2">
      <c r="A892" s="347">
        <f t="shared" ca="1" si="383"/>
        <v>1E-4</v>
      </c>
      <c r="B892" s="304">
        <f t="shared" ca="1" si="384"/>
        <v>29.250600000000031</v>
      </c>
      <c r="D892" s="306">
        <f t="shared" ca="1" si="385"/>
        <v>-0.73053737690122755</v>
      </c>
      <c r="E892" s="307">
        <f t="shared" ca="1" si="386"/>
        <v>-1.3332134595975553</v>
      </c>
      <c r="F892" s="304">
        <f t="shared" ca="1" si="387"/>
        <v>1.5202443842691242</v>
      </c>
      <c r="G892" s="306">
        <f t="shared" ca="1" si="388"/>
        <v>9.2033169547019718</v>
      </c>
      <c r="H892" s="307">
        <f t="shared" ca="1" si="389"/>
        <v>-106.79161999453738</v>
      </c>
      <c r="I892" s="304">
        <f t="shared" ca="1" si="390"/>
        <v>107.18745796046467</v>
      </c>
      <c r="J892" s="306">
        <f t="shared" ca="1" si="391"/>
        <v>746.86410190403069</v>
      </c>
      <c r="K892" s="307">
        <f t="shared" ca="1" si="392"/>
        <v>-7.6492393037804769</v>
      </c>
      <c r="L892" s="304">
        <f t="shared" ca="1" si="377"/>
        <v>746.90327189994343</v>
      </c>
      <c r="M892" s="306">
        <f t="shared" ca="1" si="393"/>
        <v>-1.484828593043684</v>
      </c>
      <c r="N892" s="304">
        <f t="shared" ca="1" si="394"/>
        <v>-85.074411681751158</v>
      </c>
      <c r="P892" s="310">
        <f t="shared" ca="1" si="395"/>
        <v>23</v>
      </c>
      <c r="Q892" s="304">
        <f t="shared" ca="1" si="396"/>
        <v>0</v>
      </c>
      <c r="R892" s="306">
        <f t="shared" ca="1" si="397"/>
        <v>0</v>
      </c>
      <c r="S892" s="307">
        <f t="shared" ca="1" si="398"/>
        <v>5.083000000000002</v>
      </c>
      <c r="T892" s="304">
        <f t="shared" ca="1" si="378"/>
        <v>49.86423000000002</v>
      </c>
      <c r="U892" s="311">
        <f t="shared" ca="1" si="379"/>
        <v>0</v>
      </c>
      <c r="V892" s="306">
        <f t="shared" ca="1" si="380"/>
        <v>1.2259373903308612</v>
      </c>
      <c r="W892" s="304">
        <f t="shared" ca="1" si="381"/>
        <v>43.24736704554347</v>
      </c>
      <c r="Y892" s="314" t="str">
        <f t="shared" ca="1" si="399"/>
        <v/>
      </c>
      <c r="Z892" s="315" t="str">
        <f t="shared" ca="1" si="400"/>
        <v/>
      </c>
      <c r="AA892" s="316" t="str">
        <f t="shared" ca="1" si="401"/>
        <v/>
      </c>
      <c r="AC892" s="310" t="e">
        <f t="shared" ca="1" si="402"/>
        <v>#N/A</v>
      </c>
      <c r="AD892" s="323" t="e">
        <f t="shared" ca="1" si="403"/>
        <v>#N/A</v>
      </c>
      <c r="AE892" s="324" t="e">
        <f t="shared" ca="1" si="382"/>
        <v>#N/A</v>
      </c>
      <c r="AG892" s="306">
        <f t="shared" ca="1" si="404"/>
        <v>1.2655639918530905</v>
      </c>
      <c r="AH892" s="304">
        <f t="shared" ca="1" si="405"/>
        <v>-8.5082075027938622</v>
      </c>
    </row>
    <row r="893" spans="1:34" x14ac:dyDescent="0.2">
      <c r="A893" s="347">
        <f t="shared" ca="1" si="383"/>
        <v>1E-4</v>
      </c>
      <c r="B893" s="304">
        <f t="shared" ca="1" si="384"/>
        <v>29.25070000000003</v>
      </c>
      <c r="D893" s="306">
        <f t="shared" ca="1" si="385"/>
        <v>-0.73053322080407002</v>
      </c>
      <c r="E893" s="307">
        <f t="shared" ca="1" si="386"/>
        <v>-1.3331838158484839</v>
      </c>
      <c r="F893" s="304">
        <f t="shared" ca="1" si="387"/>
        <v>1.520216390366415</v>
      </c>
      <c r="G893" s="306">
        <f t="shared" ca="1" si="388"/>
        <v>9.2032439013798921</v>
      </c>
      <c r="H893" s="307">
        <f t="shared" ca="1" si="389"/>
        <v>-106.79175331291897</v>
      </c>
      <c r="I893" s="304">
        <f t="shared" ca="1" si="390"/>
        <v>107.1875845140454</v>
      </c>
      <c r="J893" s="306">
        <f t="shared" ca="1" si="391"/>
        <v>746.86410190403069</v>
      </c>
      <c r="K893" s="307">
        <f t="shared" ca="1" si="392"/>
        <v>-7.6599184724458498</v>
      </c>
      <c r="L893" s="304">
        <f t="shared" ca="1" si="377"/>
        <v>746.90338134454771</v>
      </c>
      <c r="M893" s="306">
        <f t="shared" ca="1" si="393"/>
        <v>-1.4848293788670368</v>
      </c>
      <c r="N893" s="304">
        <f t="shared" ca="1" si="394"/>
        <v>-85.074456706112713</v>
      </c>
      <c r="P893" s="310">
        <f t="shared" ca="1" si="395"/>
        <v>23</v>
      </c>
      <c r="Q893" s="304">
        <f t="shared" ca="1" si="396"/>
        <v>0</v>
      </c>
      <c r="R893" s="306">
        <f t="shared" ca="1" si="397"/>
        <v>0</v>
      </c>
      <c r="S893" s="307">
        <f t="shared" ca="1" si="398"/>
        <v>5.083000000000002</v>
      </c>
      <c r="T893" s="304">
        <f t="shared" ca="1" si="378"/>
        <v>49.86423000000002</v>
      </c>
      <c r="U893" s="311">
        <f t="shared" ca="1" si="379"/>
        <v>0</v>
      </c>
      <c r="V893" s="306">
        <f t="shared" ca="1" si="380"/>
        <v>1.2259386995309689</v>
      </c>
      <c r="W893" s="304">
        <f t="shared" ca="1" si="381"/>
        <v>43.247515352530371</v>
      </c>
      <c r="Y893" s="314" t="str">
        <f t="shared" ca="1" si="399"/>
        <v/>
      </c>
      <c r="Z893" s="315" t="str">
        <f t="shared" ca="1" si="400"/>
        <v/>
      </c>
      <c r="AA893" s="316" t="str">
        <f t="shared" ca="1" si="401"/>
        <v/>
      </c>
      <c r="AC893" s="310" t="e">
        <f t="shared" ca="1" si="402"/>
        <v>#N/A</v>
      </c>
      <c r="AD893" s="323" t="e">
        <f t="shared" ca="1" si="403"/>
        <v>#N/A</v>
      </c>
      <c r="AE893" s="324" t="e">
        <f t="shared" ca="1" si="382"/>
        <v>#N/A</v>
      </c>
      <c r="AG893" s="306">
        <f t="shared" ca="1" si="404"/>
        <v>1.2655354763426949</v>
      </c>
      <c r="AH893" s="304">
        <f t="shared" ca="1" si="405"/>
        <v>-8.5082366802170863</v>
      </c>
    </row>
    <row r="894" spans="1:34" x14ac:dyDescent="0.2">
      <c r="A894" s="347">
        <f t="shared" ca="1" si="383"/>
        <v>1E-4</v>
      </c>
      <c r="B894" s="304">
        <f t="shared" ca="1" si="384"/>
        <v>29.25080000000003</v>
      </c>
      <c r="D894" s="306">
        <f t="shared" ca="1" si="385"/>
        <v>-0.73052906469803935</v>
      </c>
      <c r="E894" s="307">
        <f t="shared" ca="1" si="386"/>
        <v>-1.3331541724702802</v>
      </c>
      <c r="F894" s="304">
        <f t="shared" ca="1" si="387"/>
        <v>1.5201883968585965</v>
      </c>
      <c r="G894" s="306">
        <f t="shared" ca="1" si="388"/>
        <v>9.2031708484734231</v>
      </c>
      <c r="H894" s="307">
        <f t="shared" ca="1" si="389"/>
        <v>-106.79188662833621</v>
      </c>
      <c r="I894" s="304">
        <f t="shared" ca="1" si="390"/>
        <v>107.18771106477462</v>
      </c>
      <c r="J894" s="306">
        <f t="shared" ca="1" si="391"/>
        <v>746.86410190403069</v>
      </c>
      <c r="K894" s="307">
        <f t="shared" ca="1" si="392"/>
        <v>-7.6705976544429122</v>
      </c>
      <c r="L894" s="304">
        <f t="shared" ca="1" si="377"/>
        <v>746.90349094196279</v>
      </c>
      <c r="M894" s="306">
        <f t="shared" ca="1" si="393"/>
        <v>-1.4848301646822963</v>
      </c>
      <c r="N894" s="304">
        <f t="shared" ca="1" si="394"/>
        <v>-85.074501730010567</v>
      </c>
      <c r="P894" s="310">
        <f t="shared" ca="1" si="395"/>
        <v>23</v>
      </c>
      <c r="Q894" s="304">
        <f t="shared" ca="1" si="396"/>
        <v>0</v>
      </c>
      <c r="R894" s="306">
        <f t="shared" ca="1" si="397"/>
        <v>0</v>
      </c>
      <c r="S894" s="307">
        <f t="shared" ca="1" si="398"/>
        <v>5.083000000000002</v>
      </c>
      <c r="T894" s="304">
        <f t="shared" ca="1" si="378"/>
        <v>49.86423000000002</v>
      </c>
      <c r="U894" s="311">
        <f t="shared" ca="1" si="379"/>
        <v>0</v>
      </c>
      <c r="V894" s="306">
        <f t="shared" ca="1" si="380"/>
        <v>1.225940008734109</v>
      </c>
      <c r="W894" s="304">
        <f t="shared" ca="1" si="381"/>
        <v>43.247663657661903</v>
      </c>
      <c r="Y894" s="314" t="str">
        <f t="shared" ca="1" si="399"/>
        <v/>
      </c>
      <c r="Z894" s="315" t="str">
        <f t="shared" ca="1" si="400"/>
        <v/>
      </c>
      <c r="AA894" s="316" t="str">
        <f t="shared" ca="1" si="401"/>
        <v/>
      </c>
      <c r="AC894" s="310" t="e">
        <f t="shared" ca="1" si="402"/>
        <v>#N/A</v>
      </c>
      <c r="AD894" s="323" t="e">
        <f t="shared" ca="1" si="403"/>
        <v>#N/A</v>
      </c>
      <c r="AE894" s="324" t="e">
        <f t="shared" ca="1" si="382"/>
        <v>#N/A</v>
      </c>
      <c r="AG894" s="306">
        <f t="shared" ca="1" si="404"/>
        <v>1.2655069611844567</v>
      </c>
      <c r="AH894" s="304">
        <f t="shared" ca="1" si="405"/>
        <v>-8.5082658572753012</v>
      </c>
    </row>
    <row r="895" spans="1:34" x14ac:dyDescent="0.2">
      <c r="A895" s="347">
        <f t="shared" ca="1" si="383"/>
        <v>1E-4</v>
      </c>
      <c r="B895" s="304">
        <f t="shared" ca="1" si="384"/>
        <v>29.25090000000003</v>
      </c>
      <c r="D895" s="306">
        <f t="shared" ca="1" si="385"/>
        <v>-0.73052490858313635</v>
      </c>
      <c r="E895" s="307">
        <f t="shared" ca="1" si="386"/>
        <v>-1.3331245294629568</v>
      </c>
      <c r="F895" s="304">
        <f t="shared" ca="1" si="387"/>
        <v>1.5201604037456802</v>
      </c>
      <c r="G895" s="306">
        <f t="shared" ca="1" si="388"/>
        <v>9.2030977959825648</v>
      </c>
      <c r="H895" s="307">
        <f t="shared" ca="1" si="389"/>
        <v>-106.79201994078916</v>
      </c>
      <c r="I895" s="304">
        <f t="shared" ca="1" si="390"/>
        <v>107.18783761265234</v>
      </c>
      <c r="J895" s="306">
        <f t="shared" ca="1" si="391"/>
        <v>746.86410190403069</v>
      </c>
      <c r="K895" s="307">
        <f t="shared" ca="1" si="392"/>
        <v>-7.6812768497713684</v>
      </c>
      <c r="L895" s="304">
        <f t="shared" ca="1" si="377"/>
        <v>746.90360069218912</v>
      </c>
      <c r="M895" s="306">
        <f t="shared" ca="1" si="393"/>
        <v>-1.4848309504894628</v>
      </c>
      <c r="N895" s="304">
        <f t="shared" ca="1" si="394"/>
        <v>-85.074546753444722</v>
      </c>
      <c r="P895" s="310">
        <f t="shared" ca="1" si="395"/>
        <v>23</v>
      </c>
      <c r="Q895" s="304">
        <f t="shared" ca="1" si="396"/>
        <v>0</v>
      </c>
      <c r="R895" s="306">
        <f t="shared" ca="1" si="397"/>
        <v>0</v>
      </c>
      <c r="S895" s="307">
        <f t="shared" ca="1" si="398"/>
        <v>5.083000000000002</v>
      </c>
      <c r="T895" s="304">
        <f t="shared" ca="1" si="378"/>
        <v>49.86423000000002</v>
      </c>
      <c r="U895" s="311">
        <f t="shared" ca="1" si="379"/>
        <v>0</v>
      </c>
      <c r="V895" s="306">
        <f t="shared" ca="1" si="380"/>
        <v>1.2259413179402825</v>
      </c>
      <c r="W895" s="304">
        <f t="shared" ca="1" si="381"/>
        <v>43.247811960938101</v>
      </c>
      <c r="Y895" s="314" t="str">
        <f t="shared" ca="1" si="399"/>
        <v/>
      </c>
      <c r="Z895" s="315" t="str">
        <f t="shared" ca="1" si="400"/>
        <v/>
      </c>
      <c r="AA895" s="316" t="str">
        <f t="shared" ca="1" si="401"/>
        <v/>
      </c>
      <c r="AC895" s="310" t="e">
        <f t="shared" ca="1" si="402"/>
        <v>#N/A</v>
      </c>
      <c r="AD895" s="323" t="e">
        <f t="shared" ca="1" si="403"/>
        <v>#N/A</v>
      </c>
      <c r="AE895" s="324" t="e">
        <f t="shared" ca="1" si="382"/>
        <v>#N/A</v>
      </c>
      <c r="AG895" s="306">
        <f t="shared" ca="1" si="404"/>
        <v>1.2654784463783848</v>
      </c>
      <c r="AH895" s="304">
        <f t="shared" ca="1" si="405"/>
        <v>-8.5082950339684995</v>
      </c>
    </row>
    <row r="896" spans="1:34" x14ac:dyDescent="0.2">
      <c r="A896" s="347">
        <f t="shared" ca="1" si="383"/>
        <v>1E-4</v>
      </c>
      <c r="B896" s="304">
        <f t="shared" ca="1" si="384"/>
        <v>29.25100000000003</v>
      </c>
      <c r="D896" s="306">
        <f t="shared" ca="1" si="385"/>
        <v>-0.73052075245936154</v>
      </c>
      <c r="E896" s="307">
        <f t="shared" ca="1" si="386"/>
        <v>-1.3330948868264993</v>
      </c>
      <c r="F896" s="304">
        <f t="shared" ca="1" si="387"/>
        <v>1.5201324110276542</v>
      </c>
      <c r="G896" s="306">
        <f t="shared" ca="1" si="388"/>
        <v>9.2030247439073189</v>
      </c>
      <c r="H896" s="307">
        <f t="shared" ca="1" si="389"/>
        <v>-106.79215325027785</v>
      </c>
      <c r="I896" s="304">
        <f t="shared" ca="1" si="390"/>
        <v>107.18796415767864</v>
      </c>
      <c r="J896" s="306">
        <f t="shared" ca="1" si="391"/>
        <v>746.86410190403069</v>
      </c>
      <c r="K896" s="307">
        <f t="shared" ca="1" si="392"/>
        <v>-7.6919560584309217</v>
      </c>
      <c r="L896" s="304">
        <f t="shared" ca="1" si="377"/>
        <v>746.90371059522727</v>
      </c>
      <c r="M896" s="306">
        <f t="shared" ca="1" si="393"/>
        <v>-1.4848317362885364</v>
      </c>
      <c r="N896" s="304">
        <f t="shared" ca="1" si="394"/>
        <v>-85.074591776415176</v>
      </c>
      <c r="P896" s="310">
        <f t="shared" ca="1" si="395"/>
        <v>23</v>
      </c>
      <c r="Q896" s="304">
        <f t="shared" ca="1" si="396"/>
        <v>0</v>
      </c>
      <c r="R896" s="306">
        <f t="shared" ca="1" si="397"/>
        <v>0</v>
      </c>
      <c r="S896" s="307">
        <f t="shared" ca="1" si="398"/>
        <v>5.083000000000002</v>
      </c>
      <c r="T896" s="304">
        <f t="shared" ca="1" si="378"/>
        <v>49.86423000000002</v>
      </c>
      <c r="U896" s="311">
        <f t="shared" ca="1" si="379"/>
        <v>0</v>
      </c>
      <c r="V896" s="306">
        <f t="shared" ca="1" si="380"/>
        <v>1.2259426271494887</v>
      </c>
      <c r="W896" s="304">
        <f t="shared" ca="1" si="381"/>
        <v>43.247960262358987</v>
      </c>
      <c r="Y896" s="314" t="str">
        <f t="shared" ca="1" si="399"/>
        <v/>
      </c>
      <c r="Z896" s="315" t="str">
        <f t="shared" ca="1" si="400"/>
        <v/>
      </c>
      <c r="AA896" s="316" t="str">
        <f t="shared" ca="1" si="401"/>
        <v/>
      </c>
      <c r="AC896" s="310" t="e">
        <f t="shared" ca="1" si="402"/>
        <v>#N/A</v>
      </c>
      <c r="AD896" s="323" t="e">
        <f t="shared" ca="1" si="403"/>
        <v>#N/A</v>
      </c>
      <c r="AE896" s="324" t="e">
        <f t="shared" ca="1" si="382"/>
        <v>#N/A</v>
      </c>
      <c r="AG896" s="306">
        <f t="shared" ca="1" si="404"/>
        <v>1.2654499319244632</v>
      </c>
      <c r="AH896" s="304">
        <f t="shared" ca="1" si="405"/>
        <v>-8.5083242102966921</v>
      </c>
    </row>
    <row r="897" spans="1:34" x14ac:dyDescent="0.2">
      <c r="A897" s="347">
        <f t="shared" ca="1" si="383"/>
        <v>1E-4</v>
      </c>
      <c r="B897" s="304">
        <f t="shared" ca="1" si="384"/>
        <v>29.251100000000029</v>
      </c>
      <c r="D897" s="306">
        <f t="shared" ca="1" si="385"/>
        <v>-0.73051659632671495</v>
      </c>
      <c r="E897" s="307">
        <f t="shared" ca="1" si="386"/>
        <v>-1.3330652445609097</v>
      </c>
      <c r="F897" s="304">
        <f t="shared" ca="1" si="387"/>
        <v>1.5201044187045198</v>
      </c>
      <c r="G897" s="306">
        <f t="shared" ca="1" si="388"/>
        <v>9.2029516922476855</v>
      </c>
      <c r="H897" s="307">
        <f t="shared" ca="1" si="389"/>
        <v>-106.79228655680231</v>
      </c>
      <c r="I897" s="304">
        <f t="shared" ca="1" si="390"/>
        <v>107.18809069985352</v>
      </c>
      <c r="J897" s="306">
        <f t="shared" ca="1" si="391"/>
        <v>746.86410190403069</v>
      </c>
      <c r="K897" s="307">
        <f t="shared" ca="1" si="392"/>
        <v>-7.7026352804212754</v>
      </c>
      <c r="L897" s="304">
        <f t="shared" ca="1" si="377"/>
        <v>746.90382065107792</v>
      </c>
      <c r="M897" s="306">
        <f t="shared" ca="1" si="393"/>
        <v>-1.4848325220795171</v>
      </c>
      <c r="N897" s="304">
        <f t="shared" ca="1" si="394"/>
        <v>-85.074636798921958</v>
      </c>
      <c r="P897" s="310">
        <f t="shared" ca="1" si="395"/>
        <v>23</v>
      </c>
      <c r="Q897" s="304">
        <f t="shared" ca="1" si="396"/>
        <v>0</v>
      </c>
      <c r="R897" s="306">
        <f t="shared" ca="1" si="397"/>
        <v>0</v>
      </c>
      <c r="S897" s="307">
        <f t="shared" ca="1" si="398"/>
        <v>5.083000000000002</v>
      </c>
      <c r="T897" s="304">
        <f t="shared" ca="1" si="378"/>
        <v>49.86423000000002</v>
      </c>
      <c r="U897" s="311">
        <f t="shared" ca="1" si="379"/>
        <v>0</v>
      </c>
      <c r="V897" s="306">
        <f t="shared" ca="1" si="380"/>
        <v>1.2259439363617277</v>
      </c>
      <c r="W897" s="304">
        <f t="shared" ca="1" si="381"/>
        <v>43.248108561924539</v>
      </c>
      <c r="Y897" s="314" t="str">
        <f t="shared" ca="1" si="399"/>
        <v/>
      </c>
      <c r="Z897" s="315" t="str">
        <f t="shared" ca="1" si="400"/>
        <v/>
      </c>
      <c r="AA897" s="316" t="str">
        <f t="shared" ca="1" si="401"/>
        <v/>
      </c>
      <c r="AC897" s="310" t="e">
        <f t="shared" ca="1" si="402"/>
        <v>#N/A</v>
      </c>
      <c r="AD897" s="323" t="e">
        <f t="shared" ca="1" si="403"/>
        <v>#N/A</v>
      </c>
      <c r="AE897" s="324" t="e">
        <f t="shared" ca="1" si="382"/>
        <v>#N/A</v>
      </c>
      <c r="AG897" s="306">
        <f t="shared" ca="1" si="404"/>
        <v>1.2654214178226955</v>
      </c>
      <c r="AH897" s="304">
        <f t="shared" ca="1" si="405"/>
        <v>-8.5083533862598806</v>
      </c>
    </row>
    <row r="898" spans="1:34" x14ac:dyDescent="0.2">
      <c r="A898" s="347">
        <f t="shared" ca="1" si="383"/>
        <v>1E-4</v>
      </c>
      <c r="B898" s="304">
        <f t="shared" ca="1" si="384"/>
        <v>29.251200000000029</v>
      </c>
      <c r="D898" s="306">
        <f t="shared" ca="1" si="385"/>
        <v>-0.7305124401851979</v>
      </c>
      <c r="E898" s="307">
        <f t="shared" ca="1" si="386"/>
        <v>-1.333035602666186</v>
      </c>
      <c r="F898" s="304">
        <f t="shared" ca="1" si="387"/>
        <v>1.520076426776277</v>
      </c>
      <c r="G898" s="306">
        <f t="shared" ca="1" si="388"/>
        <v>9.2028786410036663</v>
      </c>
      <c r="H898" s="307">
        <f t="shared" ca="1" si="389"/>
        <v>-106.79241986036257</v>
      </c>
      <c r="I898" s="304">
        <f t="shared" ca="1" si="390"/>
        <v>107.18821723917701</v>
      </c>
      <c r="J898" s="306">
        <f t="shared" ca="1" si="391"/>
        <v>746.86410190403069</v>
      </c>
      <c r="K898" s="307">
        <f t="shared" ca="1" si="392"/>
        <v>-7.7133145157421339</v>
      </c>
      <c r="L898" s="304">
        <f t="shared" ca="1" si="377"/>
        <v>746.90393085974119</v>
      </c>
      <c r="M898" s="306">
        <f t="shared" ca="1" si="393"/>
        <v>-1.484833307862405</v>
      </c>
      <c r="N898" s="304">
        <f t="shared" ca="1" si="394"/>
        <v>-85.07468182096504</v>
      </c>
      <c r="P898" s="310">
        <f t="shared" ca="1" si="395"/>
        <v>23</v>
      </c>
      <c r="Q898" s="304">
        <f t="shared" ca="1" si="396"/>
        <v>0</v>
      </c>
      <c r="R898" s="306">
        <f t="shared" ca="1" si="397"/>
        <v>0</v>
      </c>
      <c r="S898" s="307">
        <f t="shared" ca="1" si="398"/>
        <v>5.083000000000002</v>
      </c>
      <c r="T898" s="304">
        <f t="shared" ca="1" si="378"/>
        <v>49.86423000000002</v>
      </c>
      <c r="U898" s="311">
        <f t="shared" ca="1" si="379"/>
        <v>0</v>
      </c>
      <c r="V898" s="306">
        <f t="shared" ca="1" si="380"/>
        <v>1.2259452455769999</v>
      </c>
      <c r="W898" s="304">
        <f t="shared" ca="1" si="381"/>
        <v>43.248256859634793</v>
      </c>
      <c r="Y898" s="314" t="str">
        <f t="shared" ca="1" si="399"/>
        <v/>
      </c>
      <c r="Z898" s="315" t="str">
        <f t="shared" ca="1" si="400"/>
        <v/>
      </c>
      <c r="AA898" s="316" t="str">
        <f t="shared" ca="1" si="401"/>
        <v/>
      </c>
      <c r="AC898" s="310" t="e">
        <f t="shared" ca="1" si="402"/>
        <v>#N/A</v>
      </c>
      <c r="AD898" s="323" t="e">
        <f t="shared" ca="1" si="403"/>
        <v>#N/A</v>
      </c>
      <c r="AE898" s="324" t="e">
        <f t="shared" ca="1" si="382"/>
        <v>#N/A</v>
      </c>
      <c r="AG898" s="306">
        <f t="shared" ca="1" si="404"/>
        <v>1.2653929040730851</v>
      </c>
      <c r="AH898" s="304">
        <f t="shared" ca="1" si="405"/>
        <v>-8.5083825618580615</v>
      </c>
    </row>
    <row r="899" spans="1:34" x14ac:dyDescent="0.2">
      <c r="A899" s="347">
        <f t="shared" ca="1" si="383"/>
        <v>1E-4</v>
      </c>
      <c r="B899" s="304">
        <f t="shared" ca="1" si="384"/>
        <v>29.251300000000029</v>
      </c>
      <c r="D899" s="306">
        <f t="shared" ca="1" si="385"/>
        <v>-0.73050828403481216</v>
      </c>
      <c r="E899" s="307">
        <f t="shared" ca="1" si="386"/>
        <v>-1.3330059611423302</v>
      </c>
      <c r="F899" s="304">
        <f t="shared" ca="1" si="387"/>
        <v>1.5200484352429278</v>
      </c>
      <c r="G899" s="306">
        <f t="shared" ca="1" si="388"/>
        <v>9.202805590175263</v>
      </c>
      <c r="H899" s="307">
        <f t="shared" ca="1" si="389"/>
        <v>-106.79255316095869</v>
      </c>
      <c r="I899" s="304">
        <f t="shared" ca="1" si="390"/>
        <v>107.18834377564917</v>
      </c>
      <c r="J899" s="306">
        <f t="shared" ca="1" si="391"/>
        <v>746.86410190403069</v>
      </c>
      <c r="K899" s="307">
        <f t="shared" ca="1" si="392"/>
        <v>-7.7239937643931995</v>
      </c>
      <c r="L899" s="304">
        <f t="shared" ca="1" si="377"/>
        <v>746.90404122121788</v>
      </c>
      <c r="M899" s="306">
        <f t="shared" ca="1" si="393"/>
        <v>-1.4848340936372002</v>
      </c>
      <c r="N899" s="304">
        <f t="shared" ca="1" si="394"/>
        <v>-85.07472684254445</v>
      </c>
      <c r="P899" s="310">
        <f t="shared" ca="1" si="395"/>
        <v>23</v>
      </c>
      <c r="Q899" s="304">
        <f t="shared" ca="1" si="396"/>
        <v>0</v>
      </c>
      <c r="R899" s="306">
        <f t="shared" ca="1" si="397"/>
        <v>0</v>
      </c>
      <c r="S899" s="307">
        <f t="shared" ca="1" si="398"/>
        <v>5.083000000000002</v>
      </c>
      <c r="T899" s="304">
        <f t="shared" ca="1" si="378"/>
        <v>49.86423000000002</v>
      </c>
      <c r="U899" s="311">
        <f t="shared" ca="1" si="379"/>
        <v>0</v>
      </c>
      <c r="V899" s="306">
        <f t="shared" ca="1" si="380"/>
        <v>1.2259465547953052</v>
      </c>
      <c r="W899" s="304">
        <f t="shared" ca="1" si="381"/>
        <v>43.248405155489799</v>
      </c>
      <c r="Y899" s="314" t="str">
        <f t="shared" ca="1" si="399"/>
        <v/>
      </c>
      <c r="Z899" s="315" t="str">
        <f t="shared" ca="1" si="400"/>
        <v/>
      </c>
      <c r="AA899" s="316" t="str">
        <f t="shared" ca="1" si="401"/>
        <v/>
      </c>
      <c r="AC899" s="310" t="e">
        <f t="shared" ca="1" si="402"/>
        <v>#N/A</v>
      </c>
      <c r="AD899" s="323" t="e">
        <f t="shared" ca="1" si="403"/>
        <v>#N/A</v>
      </c>
      <c r="AE899" s="324" t="e">
        <f t="shared" ca="1" si="382"/>
        <v>#N/A</v>
      </c>
      <c r="AG899" s="306">
        <f t="shared" ca="1" si="404"/>
        <v>1.2653643906756216</v>
      </c>
      <c r="AH899" s="304">
        <f t="shared" ca="1" si="405"/>
        <v>-8.5084117370912402</v>
      </c>
    </row>
    <row r="900" spans="1:34" x14ac:dyDescent="0.2">
      <c r="A900" s="347">
        <f t="shared" ca="1" si="383"/>
        <v>1E-4</v>
      </c>
      <c r="B900" s="304">
        <f t="shared" ca="1" si="384"/>
        <v>29.251400000000029</v>
      </c>
      <c r="D900" s="306">
        <f t="shared" ca="1" si="385"/>
        <v>-0.73050412787555863</v>
      </c>
      <c r="E900" s="307">
        <f t="shared" ca="1" si="386"/>
        <v>-1.3329763199893225</v>
      </c>
      <c r="F900" s="304">
        <f t="shared" ca="1" si="387"/>
        <v>1.520020444104456</v>
      </c>
      <c r="G900" s="306">
        <f t="shared" ca="1" si="388"/>
        <v>9.2027325397624757</v>
      </c>
      <c r="H900" s="307">
        <f t="shared" ca="1" si="389"/>
        <v>-106.79268645859069</v>
      </c>
      <c r="I900" s="304">
        <f t="shared" ca="1" si="390"/>
        <v>107.18847030927003</v>
      </c>
      <c r="J900" s="306">
        <f t="shared" ca="1" si="391"/>
        <v>746.86410190403069</v>
      </c>
      <c r="K900" s="307">
        <f t="shared" ca="1" si="392"/>
        <v>-7.7346730263741774</v>
      </c>
      <c r="L900" s="304">
        <f t="shared" ref="L900:L963" ca="1" si="406">SQRT(pos_x^2+pos_z^2)</f>
        <v>746.90415173550832</v>
      </c>
      <c r="M900" s="306">
        <f t="shared" ca="1" si="393"/>
        <v>-1.484834879403903</v>
      </c>
      <c r="N900" s="304">
        <f t="shared" ca="1" si="394"/>
        <v>-85.074771863660203</v>
      </c>
      <c r="P900" s="310">
        <f t="shared" ca="1" si="395"/>
        <v>23</v>
      </c>
      <c r="Q900" s="304">
        <f t="shared" ca="1" si="396"/>
        <v>0</v>
      </c>
      <c r="R900" s="306">
        <f t="shared" ca="1" si="397"/>
        <v>0</v>
      </c>
      <c r="S900" s="307">
        <f t="shared" ca="1" si="398"/>
        <v>5.083000000000002</v>
      </c>
      <c r="T900" s="304">
        <f t="shared" ref="T900:T963" ca="1" si="407">m*g</f>
        <v>49.86423000000002</v>
      </c>
      <c r="U900" s="311">
        <f t="shared" ref="U900:U963" ca="1" si="408">IF(pos_xz&lt;L_rampe,Poids*COS(Beta),0)</f>
        <v>0</v>
      </c>
      <c r="V900" s="306">
        <f t="shared" ref="V900:V963" ca="1" si="409">Rho_moyen*(20000-Alt_rampe-pos_z)/(20000+Alt_rampe+pos_z)</f>
        <v>1.225947864016643</v>
      </c>
      <c r="W900" s="304">
        <f t="shared" ref="W900:W963" ca="1" si="410">1/2*Rho*Sref*Cx*vit_xz^2</f>
        <v>43.248553449489506</v>
      </c>
      <c r="Y900" s="314" t="str">
        <f t="shared" ca="1" si="399"/>
        <v/>
      </c>
      <c r="Z900" s="315" t="str">
        <f t="shared" ca="1" si="400"/>
        <v/>
      </c>
      <c r="AA900" s="316" t="str">
        <f t="shared" ca="1" si="401"/>
        <v/>
      </c>
      <c r="AC900" s="310" t="e">
        <f t="shared" ca="1" si="402"/>
        <v>#N/A</v>
      </c>
      <c r="AD900" s="323" t="e">
        <f t="shared" ca="1" si="403"/>
        <v>#N/A</v>
      </c>
      <c r="AE900" s="324" t="e">
        <f t="shared" ref="AE900:AE963" ca="1" si="411">IF(t&lt;T_para, pos_z, NA())</f>
        <v>#N/A</v>
      </c>
      <c r="AG900" s="306">
        <f t="shared" ca="1" si="404"/>
        <v>1.2653358776303012</v>
      </c>
      <c r="AH900" s="304">
        <f t="shared" ca="1" si="405"/>
        <v>-8.5084409119594291</v>
      </c>
    </row>
    <row r="901" spans="1:34" x14ac:dyDescent="0.2">
      <c r="A901" s="347">
        <f t="shared" ref="A901:A964" ca="1" si="412">IF(B900+0.01&lt;=T_ini+ROUNDUP(Temps_fin_propu,0), 0.01, IF(K900&gt;0, 0.1, 0.0001))</f>
        <v>1E-4</v>
      </c>
      <c r="B901" s="304">
        <f t="shared" ref="B901:B964" ca="1" si="413">B900+pas</f>
        <v>29.251500000000028</v>
      </c>
      <c r="D901" s="306">
        <f t="shared" ref="D901:D964" ca="1" si="414">IF(AND(L900&lt;L_rampe,Poussee&lt;Poids*SIN(M900)),0,(-W900+Poussee)/m*COS(M900)-U900/m*SIN(M900))</f>
        <v>-0.7304999717074363</v>
      </c>
      <c r="E901" s="307">
        <f t="shared" ref="E901:E964" ca="1" si="415">IF(AND(L900&lt;L_rampe,Poussee&lt;Poids*SIN(M900)),0,(-W900+Poussee)/m*SIN(M900)+U900/m*COS(M900)-Poids/m)</f>
        <v>-1.3329466792071756</v>
      </c>
      <c r="F901" s="304">
        <f t="shared" ref="F901:F964" ca="1" si="416">SQRT(acc_x^2+acc_z^2)</f>
        <v>1.519992453360872</v>
      </c>
      <c r="G901" s="306">
        <f t="shared" ref="G901:G964" ca="1" si="417">G900+acc_x*pas</f>
        <v>9.2026594897653045</v>
      </c>
      <c r="H901" s="307">
        <f t="shared" ref="H901:H964" ca="1" si="418">H900+acc_z*pas</f>
        <v>-106.79281975325861</v>
      </c>
      <c r="I901" s="304">
        <f t="shared" ref="I901:I964" ca="1" si="419">SQRT(vit_x^2+vit_z^2)</f>
        <v>107.18859684003961</v>
      </c>
      <c r="J901" s="306">
        <f t="shared" ref="J901:J964" ca="1" si="420">J900+0.5*(vit_x+G900)*pas*(K900&gt;=0)</f>
        <v>746.86410190403069</v>
      </c>
      <c r="K901" s="307">
        <f t="shared" ref="K901:K964" ca="1" si="421">K900+0.5*(vit_z+H900)*pas</f>
        <v>-7.7453523016847701</v>
      </c>
      <c r="L901" s="304">
        <f t="shared" ca="1" si="406"/>
        <v>746.90426240261309</v>
      </c>
      <c r="M901" s="306">
        <f t="shared" ref="M901:M964" ca="1" si="422">IF(AND(L900&gt;L_rampe,G901&gt;0),ATAN2(G901,H901),$M$4)</f>
        <v>-1.4848356651625132</v>
      </c>
      <c r="N901" s="304">
        <f t="shared" ref="N901:N964" ca="1" si="423">DEGREES(Beta)</f>
        <v>-85.074816884312284</v>
      </c>
      <c r="P901" s="310">
        <f t="shared" ref="P901:P964" ca="1" si="424">MATCH(t-pas/2-T_ini,CdP_t)</f>
        <v>23</v>
      </c>
      <c r="Q901" s="304">
        <f t="shared" ref="Q901:Q964" ca="1" si="425">(INDEX(CdP,2,i_P+1)-INDEX(CdP,2,i_P+0))/(INDEX(CdP,1,i_P+1)-INDEX(CdP,1,i_P+0))*(t-pas/2-T_ini-INDEX(CdP,1,i_P+0))+INDEX(CdP,2,i_P+0)</f>
        <v>0</v>
      </c>
      <c r="R901" s="306">
        <f t="shared" ref="R901:R964" ca="1" si="426">Poussee/(g*ISP)</f>
        <v>0</v>
      </c>
      <c r="S901" s="307">
        <f t="shared" ref="S901:S964" ca="1" si="427">S900-Débit*pas</f>
        <v>5.083000000000002</v>
      </c>
      <c r="T901" s="304">
        <f t="shared" ca="1" si="407"/>
        <v>49.86423000000002</v>
      </c>
      <c r="U901" s="311">
        <f t="shared" ca="1" si="408"/>
        <v>0</v>
      </c>
      <c r="V901" s="306">
        <f t="shared" ca="1" si="409"/>
        <v>1.2259491732410137</v>
      </c>
      <c r="W901" s="304">
        <f t="shared" ca="1" si="410"/>
        <v>43.248701741633944</v>
      </c>
      <c r="Y901" s="314" t="str">
        <f t="shared" ref="Y901:Y964" ca="1" si="428">IF(AND(pos_z&lt;=0,K900&gt;0),"Impact balistique","") &amp; IF(AND(H902&lt;0,vit_z&gt;=0),"Apogée","") &amp; IF(AND(Poussee=0,Q900&gt;0),"Fin de propulsion","") &amp; IF(AND(L902&gt;L_rampe,pos_xz&lt;=L_rampe),"Sortie de rampe","")</f>
        <v/>
      </c>
      <c r="Z901" s="315" t="str">
        <f t="shared" ref="Z901:Z964" ca="1" si="429">IF(ABS(t-T_para)&lt;pas/2,"Para","")</f>
        <v/>
      </c>
      <c r="AA901" s="316" t="str">
        <f t="shared" ref="AA901:AA964" ca="1" si="430">IF(ABS(t-T_satellite)&lt;pas/2,"Satellite","")</f>
        <v/>
      </c>
      <c r="AC901" s="310" t="e">
        <f t="shared" ref="AC901:AC964" ca="1" si="431">IF(ABS(t-ROUND(t,0))&lt;0.001,t,NA())</f>
        <v>#N/A</v>
      </c>
      <c r="AD901" s="323" t="e">
        <f t="shared" ref="AD901:AD964" ca="1" si="432">IF(ABS(t-ROUND(t,0))&lt;0.001,pos_x,NA())</f>
        <v>#N/A</v>
      </c>
      <c r="AE901" s="324" t="e">
        <f t="shared" ca="1" si="411"/>
        <v>#N/A</v>
      </c>
      <c r="AG901" s="306">
        <f t="shared" ref="AG901:AG964" ca="1" si="433">IF(AND(L900&lt;L_rampe,Poussee&lt;Poids*SIN(M900)),0,(-W900+Poussee)/m-Poids*SIN(M900)/m)</f>
        <v>1.2653073649371276</v>
      </c>
      <c r="AH901" s="304">
        <f t="shared" ref="AH901:AH964" ca="1" si="434">IF(AND(L900&lt;L_rampe,Poussee&lt;Poids*SIN(M900)), g*SIN(M900), (-W900+Poussee)/m)</f>
        <v>-8.5084700864626193</v>
      </c>
    </row>
    <row r="902" spans="1:34" x14ac:dyDescent="0.2">
      <c r="A902" s="347">
        <f t="shared" ca="1" si="412"/>
        <v>1E-4</v>
      </c>
      <c r="B902" s="304">
        <f t="shared" ca="1" si="413"/>
        <v>29.251600000000028</v>
      </c>
      <c r="D902" s="306">
        <f t="shared" ca="1" si="414"/>
        <v>-0.73049581553044873</v>
      </c>
      <c r="E902" s="307">
        <f t="shared" ca="1" si="415"/>
        <v>-1.3329170387958893</v>
      </c>
      <c r="F902" s="304">
        <f t="shared" ca="1" si="416"/>
        <v>1.5199644630121776</v>
      </c>
      <c r="G902" s="306">
        <f t="shared" ca="1" si="417"/>
        <v>9.2025864401837509</v>
      </c>
      <c r="H902" s="307">
        <f t="shared" ca="1" si="418"/>
        <v>-106.79295304496249</v>
      </c>
      <c r="I902" s="304">
        <f t="shared" ca="1" si="419"/>
        <v>107.18872336795795</v>
      </c>
      <c r="J902" s="306">
        <f t="shared" ca="1" si="420"/>
        <v>746.86410190403069</v>
      </c>
      <c r="K902" s="307">
        <f t="shared" ca="1" si="421"/>
        <v>-7.7560315903246808</v>
      </c>
      <c r="L902" s="304">
        <f t="shared" ca="1" si="406"/>
        <v>746.90437322253263</v>
      </c>
      <c r="M902" s="306">
        <f t="shared" ca="1" si="422"/>
        <v>-1.4848364509130314</v>
      </c>
      <c r="N902" s="304">
        <f t="shared" ca="1" si="423"/>
        <v>-85.074861904500736</v>
      </c>
      <c r="P902" s="310">
        <f t="shared" ca="1" si="424"/>
        <v>23</v>
      </c>
      <c r="Q902" s="304">
        <f t="shared" ca="1" si="425"/>
        <v>0</v>
      </c>
      <c r="R902" s="306">
        <f t="shared" ca="1" si="426"/>
        <v>0</v>
      </c>
      <c r="S902" s="307">
        <f t="shared" ca="1" si="427"/>
        <v>5.083000000000002</v>
      </c>
      <c r="T902" s="304">
        <f t="shared" ca="1" si="407"/>
        <v>49.86423000000002</v>
      </c>
      <c r="U902" s="311">
        <f t="shared" ca="1" si="408"/>
        <v>0</v>
      </c>
      <c r="V902" s="306">
        <f t="shared" ca="1" si="409"/>
        <v>1.2259504824684173</v>
      </c>
      <c r="W902" s="304">
        <f t="shared" ca="1" si="410"/>
        <v>43.248850031923148</v>
      </c>
      <c r="Y902" s="314" t="str">
        <f t="shared" ca="1" si="428"/>
        <v/>
      </c>
      <c r="Z902" s="315" t="str">
        <f t="shared" ca="1" si="429"/>
        <v/>
      </c>
      <c r="AA902" s="316" t="str">
        <f t="shared" ca="1" si="430"/>
        <v/>
      </c>
      <c r="AC902" s="310" t="e">
        <f t="shared" ca="1" si="431"/>
        <v>#N/A</v>
      </c>
      <c r="AD902" s="323" t="e">
        <f t="shared" ca="1" si="432"/>
        <v>#N/A</v>
      </c>
      <c r="AE902" s="324" t="e">
        <f t="shared" ca="1" si="411"/>
        <v>#N/A</v>
      </c>
      <c r="AG902" s="306">
        <f t="shared" ca="1" si="433"/>
        <v>1.2652788525961007</v>
      </c>
      <c r="AH902" s="304">
        <f t="shared" ca="1" si="434"/>
        <v>-8.5084992606008125</v>
      </c>
    </row>
    <row r="903" spans="1:34" x14ac:dyDescent="0.2">
      <c r="A903" s="347">
        <f t="shared" ca="1" si="412"/>
        <v>1E-4</v>
      </c>
      <c r="B903" s="304">
        <f t="shared" ca="1" si="413"/>
        <v>29.251700000000028</v>
      </c>
      <c r="D903" s="306">
        <f t="shared" ca="1" si="414"/>
        <v>-0.7304916593445927</v>
      </c>
      <c r="E903" s="307">
        <f t="shared" ca="1" si="415"/>
        <v>-1.3328873987554495</v>
      </c>
      <c r="F903" s="304">
        <f t="shared" ca="1" si="416"/>
        <v>1.5199364730583595</v>
      </c>
      <c r="G903" s="306">
        <f t="shared" ca="1" si="417"/>
        <v>9.202513391017817</v>
      </c>
      <c r="H903" s="307">
        <f t="shared" ca="1" si="418"/>
        <v>-106.79308633370236</v>
      </c>
      <c r="I903" s="304">
        <f t="shared" ca="1" si="419"/>
        <v>107.18884989302511</v>
      </c>
      <c r="J903" s="306">
        <f t="shared" ca="1" si="420"/>
        <v>746.86410190403069</v>
      </c>
      <c r="K903" s="307">
        <f t="shared" ca="1" si="421"/>
        <v>-7.7667108922936139</v>
      </c>
      <c r="L903" s="304">
        <f t="shared" ca="1" si="406"/>
        <v>746.90448419526763</v>
      </c>
      <c r="M903" s="306">
        <f t="shared" ca="1" si="422"/>
        <v>-1.4848372366554572</v>
      </c>
      <c r="N903" s="304">
        <f t="shared" ca="1" si="423"/>
        <v>-85.074906924225516</v>
      </c>
      <c r="P903" s="310">
        <f t="shared" ca="1" si="424"/>
        <v>23</v>
      </c>
      <c r="Q903" s="304">
        <f t="shared" ca="1" si="425"/>
        <v>0</v>
      </c>
      <c r="R903" s="306">
        <f t="shared" ca="1" si="426"/>
        <v>0</v>
      </c>
      <c r="S903" s="307">
        <f t="shared" ca="1" si="427"/>
        <v>5.083000000000002</v>
      </c>
      <c r="T903" s="304">
        <f t="shared" ca="1" si="407"/>
        <v>49.86423000000002</v>
      </c>
      <c r="U903" s="311">
        <f t="shared" ca="1" si="408"/>
        <v>0</v>
      </c>
      <c r="V903" s="306">
        <f t="shared" ca="1" si="409"/>
        <v>1.2259517916988538</v>
      </c>
      <c r="W903" s="304">
        <f t="shared" ca="1" si="410"/>
        <v>43.248998320357131</v>
      </c>
      <c r="Y903" s="314" t="str">
        <f t="shared" ca="1" si="428"/>
        <v/>
      </c>
      <c r="Z903" s="315" t="str">
        <f t="shared" ca="1" si="429"/>
        <v/>
      </c>
      <c r="AA903" s="316" t="str">
        <f t="shared" ca="1" si="430"/>
        <v/>
      </c>
      <c r="AC903" s="310" t="e">
        <f t="shared" ca="1" si="431"/>
        <v>#N/A</v>
      </c>
      <c r="AD903" s="323" t="e">
        <f t="shared" ca="1" si="432"/>
        <v>#N/A</v>
      </c>
      <c r="AE903" s="324" t="e">
        <f t="shared" ca="1" si="411"/>
        <v>#N/A</v>
      </c>
      <c r="AG903" s="306">
        <f t="shared" ca="1" si="433"/>
        <v>1.2652503406072118</v>
      </c>
      <c r="AH903" s="304">
        <f t="shared" ca="1" si="434"/>
        <v>-8.5085284343740177</v>
      </c>
    </row>
    <row r="904" spans="1:34" x14ac:dyDescent="0.2">
      <c r="A904" s="347">
        <f t="shared" ca="1" si="412"/>
        <v>1E-4</v>
      </c>
      <c r="B904" s="304">
        <f t="shared" ca="1" si="413"/>
        <v>29.251800000000028</v>
      </c>
      <c r="D904" s="306">
        <f t="shared" ca="1" si="414"/>
        <v>-0.73048750314987365</v>
      </c>
      <c r="E904" s="307">
        <f t="shared" ca="1" si="415"/>
        <v>-1.3328577590858561</v>
      </c>
      <c r="F904" s="304">
        <f t="shared" ca="1" si="416"/>
        <v>1.5199084834994201</v>
      </c>
      <c r="G904" s="306">
        <f t="shared" ca="1" si="417"/>
        <v>9.2024403422675025</v>
      </c>
      <c r="H904" s="307">
        <f t="shared" ca="1" si="418"/>
        <v>-106.79321961947826</v>
      </c>
      <c r="I904" s="304">
        <f t="shared" ca="1" si="419"/>
        <v>107.18897641524109</v>
      </c>
      <c r="J904" s="306">
        <f t="shared" ca="1" si="420"/>
        <v>746.86410190403069</v>
      </c>
      <c r="K904" s="307">
        <f t="shared" ca="1" si="421"/>
        <v>-7.7773902075912726</v>
      </c>
      <c r="L904" s="304">
        <f t="shared" ca="1" si="406"/>
        <v>746.90459532081832</v>
      </c>
      <c r="M904" s="306">
        <f t="shared" ca="1" si="422"/>
        <v>-1.4848380223897908</v>
      </c>
      <c r="N904" s="304">
        <f t="shared" ca="1" si="423"/>
        <v>-85.074951943486653</v>
      </c>
      <c r="P904" s="310">
        <f t="shared" ca="1" si="424"/>
        <v>23</v>
      </c>
      <c r="Q904" s="304">
        <f t="shared" ca="1" si="425"/>
        <v>0</v>
      </c>
      <c r="R904" s="306">
        <f t="shared" ca="1" si="426"/>
        <v>0</v>
      </c>
      <c r="S904" s="307">
        <f t="shared" ca="1" si="427"/>
        <v>5.083000000000002</v>
      </c>
      <c r="T904" s="304">
        <f t="shared" ca="1" si="407"/>
        <v>49.86423000000002</v>
      </c>
      <c r="U904" s="311">
        <f t="shared" ca="1" si="408"/>
        <v>0</v>
      </c>
      <c r="V904" s="306">
        <f t="shared" ca="1" si="409"/>
        <v>1.2259531009323228</v>
      </c>
      <c r="W904" s="304">
        <f t="shared" ca="1" si="410"/>
        <v>43.249146606935874</v>
      </c>
      <c r="Y904" s="314" t="str">
        <f t="shared" ca="1" si="428"/>
        <v/>
      </c>
      <c r="Z904" s="315" t="str">
        <f t="shared" ca="1" si="429"/>
        <v/>
      </c>
      <c r="AA904" s="316" t="str">
        <f t="shared" ca="1" si="430"/>
        <v/>
      </c>
      <c r="AC904" s="310" t="e">
        <f t="shared" ca="1" si="431"/>
        <v>#N/A</v>
      </c>
      <c r="AD904" s="323" t="e">
        <f t="shared" ca="1" si="432"/>
        <v>#N/A</v>
      </c>
      <c r="AE904" s="324" t="e">
        <f t="shared" ca="1" si="411"/>
        <v>#N/A</v>
      </c>
      <c r="AG904" s="306">
        <f t="shared" ca="1" si="433"/>
        <v>1.2652218289704571</v>
      </c>
      <c r="AH904" s="304">
        <f t="shared" ca="1" si="434"/>
        <v>-8.5085576077822385</v>
      </c>
    </row>
    <row r="905" spans="1:34" x14ac:dyDescent="0.2">
      <c r="A905" s="347">
        <f t="shared" ca="1" si="412"/>
        <v>1E-4</v>
      </c>
      <c r="B905" s="304">
        <f t="shared" ca="1" si="413"/>
        <v>29.251900000000028</v>
      </c>
      <c r="D905" s="306">
        <f t="shared" ca="1" si="414"/>
        <v>-0.73048334694629102</v>
      </c>
      <c r="E905" s="307">
        <f t="shared" ca="1" si="415"/>
        <v>-1.3328281197871146</v>
      </c>
      <c r="F905" s="304">
        <f t="shared" ca="1" si="416"/>
        <v>1.5198804943353639</v>
      </c>
      <c r="G905" s="306">
        <f t="shared" ca="1" si="417"/>
        <v>9.2023672939328076</v>
      </c>
      <c r="H905" s="307">
        <f t="shared" ca="1" si="418"/>
        <v>-106.79335290229024</v>
      </c>
      <c r="I905" s="304">
        <f t="shared" ca="1" si="419"/>
        <v>107.18910293460594</v>
      </c>
      <c r="J905" s="306">
        <f t="shared" ca="1" si="420"/>
        <v>746.86410190403069</v>
      </c>
      <c r="K905" s="307">
        <f t="shared" ca="1" si="421"/>
        <v>-7.7880695362173613</v>
      </c>
      <c r="L905" s="304">
        <f t="shared" ca="1" si="406"/>
        <v>746.90470659918549</v>
      </c>
      <c r="M905" s="306">
        <f t="shared" ca="1" si="422"/>
        <v>-1.4848388081160326</v>
      </c>
      <c r="N905" s="304">
        <f t="shared" ca="1" si="423"/>
        <v>-85.07499696228416</v>
      </c>
      <c r="P905" s="310">
        <f t="shared" ca="1" si="424"/>
        <v>23</v>
      </c>
      <c r="Q905" s="304">
        <f t="shared" ca="1" si="425"/>
        <v>0</v>
      </c>
      <c r="R905" s="306">
        <f t="shared" ca="1" si="426"/>
        <v>0</v>
      </c>
      <c r="S905" s="307">
        <f t="shared" ca="1" si="427"/>
        <v>5.083000000000002</v>
      </c>
      <c r="T905" s="304">
        <f t="shared" ca="1" si="407"/>
        <v>49.86423000000002</v>
      </c>
      <c r="U905" s="311">
        <f t="shared" ca="1" si="408"/>
        <v>0</v>
      </c>
      <c r="V905" s="306">
        <f t="shared" ca="1" si="409"/>
        <v>1.2259544101688249</v>
      </c>
      <c r="W905" s="304">
        <f t="shared" ca="1" si="410"/>
        <v>43.249294891659432</v>
      </c>
      <c r="Y905" s="314" t="str">
        <f t="shared" ca="1" si="428"/>
        <v/>
      </c>
      <c r="Z905" s="315" t="str">
        <f t="shared" ca="1" si="429"/>
        <v/>
      </c>
      <c r="AA905" s="316" t="str">
        <f t="shared" ca="1" si="430"/>
        <v/>
      </c>
      <c r="AC905" s="310" t="e">
        <f t="shared" ca="1" si="431"/>
        <v>#N/A</v>
      </c>
      <c r="AD905" s="323" t="e">
        <f t="shared" ca="1" si="432"/>
        <v>#N/A</v>
      </c>
      <c r="AE905" s="324" t="e">
        <f t="shared" ca="1" si="411"/>
        <v>#N/A</v>
      </c>
      <c r="AG905" s="306">
        <f t="shared" ca="1" si="433"/>
        <v>1.2651933176858439</v>
      </c>
      <c r="AH905" s="304">
        <f t="shared" ca="1" si="434"/>
        <v>-8.5085867808254694</v>
      </c>
    </row>
    <row r="906" spans="1:34" x14ac:dyDescent="0.2">
      <c r="A906" s="347">
        <f t="shared" ca="1" si="412"/>
        <v>1E-4</v>
      </c>
      <c r="B906" s="304">
        <f t="shared" ca="1" si="413"/>
        <v>29.252000000000027</v>
      </c>
      <c r="D906" s="306">
        <f t="shared" ca="1" si="414"/>
        <v>-0.73047919073384338</v>
      </c>
      <c r="E906" s="307">
        <f t="shared" ca="1" si="415"/>
        <v>-1.3327984808592142</v>
      </c>
      <c r="F906" s="304">
        <f t="shared" ca="1" si="416"/>
        <v>1.5198525055661816</v>
      </c>
      <c r="G906" s="306">
        <f t="shared" ca="1" si="417"/>
        <v>9.202294246013734</v>
      </c>
      <c r="H906" s="307">
        <f t="shared" ca="1" si="418"/>
        <v>-106.79348618213832</v>
      </c>
      <c r="I906" s="304">
        <f t="shared" ca="1" si="419"/>
        <v>107.18922945111969</v>
      </c>
      <c r="J906" s="306">
        <f t="shared" ca="1" si="420"/>
        <v>746.86410190403069</v>
      </c>
      <c r="K906" s="307">
        <f t="shared" ca="1" si="421"/>
        <v>-7.7987488781715824</v>
      </c>
      <c r="L906" s="304">
        <f t="shared" ca="1" si="406"/>
        <v>746.90481803036926</v>
      </c>
      <c r="M906" s="306">
        <f t="shared" ca="1" si="422"/>
        <v>-1.4848395938341825</v>
      </c>
      <c r="N906" s="304">
        <f t="shared" ca="1" si="423"/>
        <v>-85.075041980618039</v>
      </c>
      <c r="P906" s="310">
        <f t="shared" ca="1" si="424"/>
        <v>23</v>
      </c>
      <c r="Q906" s="304">
        <f t="shared" ca="1" si="425"/>
        <v>0</v>
      </c>
      <c r="R906" s="306">
        <f t="shared" ca="1" si="426"/>
        <v>0</v>
      </c>
      <c r="S906" s="307">
        <f t="shared" ca="1" si="427"/>
        <v>5.083000000000002</v>
      </c>
      <c r="T906" s="304">
        <f t="shared" ca="1" si="407"/>
        <v>49.86423000000002</v>
      </c>
      <c r="U906" s="311">
        <f t="shared" ca="1" si="408"/>
        <v>0</v>
      </c>
      <c r="V906" s="306">
        <f t="shared" ca="1" si="409"/>
        <v>1.2259557194083595</v>
      </c>
      <c r="W906" s="304">
        <f t="shared" ca="1" si="410"/>
        <v>43.249443174527762</v>
      </c>
      <c r="Y906" s="314" t="str">
        <f t="shared" ca="1" si="428"/>
        <v/>
      </c>
      <c r="Z906" s="315" t="str">
        <f t="shared" ca="1" si="429"/>
        <v/>
      </c>
      <c r="AA906" s="316" t="str">
        <f t="shared" ca="1" si="430"/>
        <v/>
      </c>
      <c r="AC906" s="310" t="e">
        <f t="shared" ca="1" si="431"/>
        <v>#N/A</v>
      </c>
      <c r="AD906" s="323" t="e">
        <f t="shared" ca="1" si="432"/>
        <v>#N/A</v>
      </c>
      <c r="AE906" s="324" t="e">
        <f t="shared" ca="1" si="411"/>
        <v>#N/A</v>
      </c>
      <c r="AG906" s="306">
        <f t="shared" ca="1" si="433"/>
        <v>1.2651648067533596</v>
      </c>
      <c r="AH906" s="304">
        <f t="shared" ca="1" si="434"/>
        <v>-8.5086159535037211</v>
      </c>
    </row>
    <row r="907" spans="1:34" x14ac:dyDescent="0.2">
      <c r="A907" s="347">
        <f t="shared" ca="1" si="412"/>
        <v>1E-4</v>
      </c>
      <c r="B907" s="304">
        <f t="shared" ca="1" si="413"/>
        <v>29.252100000000027</v>
      </c>
      <c r="D907" s="306">
        <f t="shared" ca="1" si="414"/>
        <v>-0.73047503451253371</v>
      </c>
      <c r="E907" s="307">
        <f t="shared" ca="1" si="415"/>
        <v>-1.3327688423021602</v>
      </c>
      <c r="F907" s="304">
        <f t="shared" ca="1" si="416"/>
        <v>1.5198245171918789</v>
      </c>
      <c r="G907" s="306">
        <f t="shared" ca="1" si="417"/>
        <v>9.2022211985102835</v>
      </c>
      <c r="H907" s="307">
        <f t="shared" ca="1" si="418"/>
        <v>-106.79361945902255</v>
      </c>
      <c r="I907" s="304">
        <f t="shared" ca="1" si="419"/>
        <v>107.18935596478239</v>
      </c>
      <c r="J907" s="306">
        <f t="shared" ca="1" si="420"/>
        <v>746.86410190403069</v>
      </c>
      <c r="K907" s="307">
        <f t="shared" ca="1" si="421"/>
        <v>-7.80942823345364</v>
      </c>
      <c r="L907" s="304">
        <f t="shared" ca="1" si="406"/>
        <v>746.90492961437053</v>
      </c>
      <c r="M907" s="306">
        <f t="shared" ca="1" si="422"/>
        <v>-1.4848403795442409</v>
      </c>
      <c r="N907" s="304">
        <f t="shared" ca="1" si="423"/>
        <v>-85.075086998488302</v>
      </c>
      <c r="P907" s="310">
        <f t="shared" ca="1" si="424"/>
        <v>23</v>
      </c>
      <c r="Q907" s="304">
        <f t="shared" ca="1" si="425"/>
        <v>0</v>
      </c>
      <c r="R907" s="306">
        <f t="shared" ca="1" si="426"/>
        <v>0</v>
      </c>
      <c r="S907" s="307">
        <f t="shared" ca="1" si="427"/>
        <v>5.083000000000002</v>
      </c>
      <c r="T907" s="304">
        <f t="shared" ca="1" si="407"/>
        <v>49.86423000000002</v>
      </c>
      <c r="U907" s="311">
        <f t="shared" ca="1" si="408"/>
        <v>0</v>
      </c>
      <c r="V907" s="306">
        <f t="shared" ca="1" si="409"/>
        <v>1.2259570286509265</v>
      </c>
      <c r="W907" s="304">
        <f t="shared" ca="1" si="410"/>
        <v>43.249591455540937</v>
      </c>
      <c r="Y907" s="314" t="str">
        <f t="shared" ca="1" si="428"/>
        <v/>
      </c>
      <c r="Z907" s="315" t="str">
        <f t="shared" ca="1" si="429"/>
        <v/>
      </c>
      <c r="AA907" s="316" t="str">
        <f t="shared" ca="1" si="430"/>
        <v/>
      </c>
      <c r="AC907" s="310" t="e">
        <f t="shared" ca="1" si="431"/>
        <v>#N/A</v>
      </c>
      <c r="AD907" s="323" t="e">
        <f t="shared" ca="1" si="432"/>
        <v>#N/A</v>
      </c>
      <c r="AE907" s="324" t="e">
        <f t="shared" ca="1" si="411"/>
        <v>#N/A</v>
      </c>
      <c r="AG907" s="306">
        <f t="shared" ca="1" si="433"/>
        <v>1.2651362961730133</v>
      </c>
      <c r="AH907" s="304">
        <f t="shared" ca="1" si="434"/>
        <v>-8.5086451258169866</v>
      </c>
    </row>
    <row r="908" spans="1:34" x14ac:dyDescent="0.2">
      <c r="A908" s="347">
        <f t="shared" ca="1" si="412"/>
        <v>1E-4</v>
      </c>
      <c r="B908" s="304">
        <f t="shared" ca="1" si="413"/>
        <v>29.252200000000027</v>
      </c>
      <c r="D908" s="306">
        <f t="shared" ca="1" si="414"/>
        <v>-0.73047087828236101</v>
      </c>
      <c r="E908" s="307">
        <f t="shared" ca="1" si="415"/>
        <v>-1.3327392041159385</v>
      </c>
      <c r="F908" s="304">
        <f t="shared" ca="1" si="416"/>
        <v>1.5197965292124433</v>
      </c>
      <c r="G908" s="306">
        <f t="shared" ca="1" si="417"/>
        <v>9.2021481514224561</v>
      </c>
      <c r="H908" s="307">
        <f t="shared" ca="1" si="418"/>
        <v>-106.79375273294296</v>
      </c>
      <c r="I908" s="304">
        <f t="shared" ca="1" si="419"/>
        <v>107.18948247559409</v>
      </c>
      <c r="J908" s="306">
        <f t="shared" ca="1" si="420"/>
        <v>746.86410190403069</v>
      </c>
      <c r="K908" s="307">
        <f t="shared" ca="1" si="421"/>
        <v>-7.8201076020632385</v>
      </c>
      <c r="L908" s="304">
        <f t="shared" ca="1" si="406"/>
        <v>746.90504135118954</v>
      </c>
      <c r="M908" s="306">
        <f t="shared" ca="1" si="422"/>
        <v>-1.4848411652462075</v>
      </c>
      <c r="N908" s="304">
        <f t="shared" ca="1" si="423"/>
        <v>-85.075132015894937</v>
      </c>
      <c r="P908" s="310">
        <f t="shared" ca="1" si="424"/>
        <v>23</v>
      </c>
      <c r="Q908" s="304">
        <f t="shared" ca="1" si="425"/>
        <v>0</v>
      </c>
      <c r="R908" s="306">
        <f t="shared" ca="1" si="426"/>
        <v>0</v>
      </c>
      <c r="S908" s="307">
        <f t="shared" ca="1" si="427"/>
        <v>5.083000000000002</v>
      </c>
      <c r="T908" s="304">
        <f t="shared" ca="1" si="407"/>
        <v>49.86423000000002</v>
      </c>
      <c r="U908" s="311">
        <f t="shared" ca="1" si="408"/>
        <v>0</v>
      </c>
      <c r="V908" s="306">
        <f t="shared" ca="1" si="409"/>
        <v>1.2259583378965262</v>
      </c>
      <c r="W908" s="304">
        <f t="shared" ca="1" si="410"/>
        <v>43.249739734698949</v>
      </c>
      <c r="Y908" s="314" t="str">
        <f t="shared" ca="1" si="428"/>
        <v/>
      </c>
      <c r="Z908" s="315" t="str">
        <f t="shared" ca="1" si="429"/>
        <v/>
      </c>
      <c r="AA908" s="316" t="str">
        <f t="shared" ca="1" si="430"/>
        <v/>
      </c>
      <c r="AC908" s="310" t="e">
        <f t="shared" ca="1" si="431"/>
        <v>#N/A</v>
      </c>
      <c r="AD908" s="323" t="e">
        <f t="shared" ca="1" si="432"/>
        <v>#N/A</v>
      </c>
      <c r="AE908" s="324" t="e">
        <f t="shared" ca="1" si="411"/>
        <v>#N/A</v>
      </c>
      <c r="AG908" s="306">
        <f t="shared" ca="1" si="433"/>
        <v>1.2651077859447888</v>
      </c>
      <c r="AH908" s="304">
        <f t="shared" ca="1" si="434"/>
        <v>-8.5086742977652801</v>
      </c>
    </row>
    <row r="909" spans="1:34" x14ac:dyDescent="0.2">
      <c r="A909" s="347">
        <f t="shared" ca="1" si="412"/>
        <v>1E-4</v>
      </c>
      <c r="B909" s="304">
        <f t="shared" ca="1" si="413"/>
        <v>29.252300000000027</v>
      </c>
      <c r="D909" s="306">
        <f t="shared" ca="1" si="414"/>
        <v>-0.73046672204332841</v>
      </c>
      <c r="E909" s="307">
        <f t="shared" ca="1" si="415"/>
        <v>-1.3327095663005526</v>
      </c>
      <c r="F909" s="304">
        <f t="shared" ca="1" si="416"/>
        <v>1.5197685416278797</v>
      </c>
      <c r="G909" s="306">
        <f t="shared" ca="1" si="417"/>
        <v>9.2020751047502518</v>
      </c>
      <c r="H909" s="307">
        <f t="shared" ca="1" si="418"/>
        <v>-106.79388600389959</v>
      </c>
      <c r="I909" s="304">
        <f t="shared" ca="1" si="419"/>
        <v>107.18960898355478</v>
      </c>
      <c r="J909" s="306">
        <f t="shared" ca="1" si="420"/>
        <v>746.86410190403069</v>
      </c>
      <c r="K909" s="307">
        <f t="shared" ca="1" si="421"/>
        <v>-7.8307869840000803</v>
      </c>
      <c r="L909" s="304">
        <f t="shared" ca="1" si="406"/>
        <v>746.90515324082685</v>
      </c>
      <c r="M909" s="306">
        <f t="shared" ca="1" si="422"/>
        <v>-1.4848419509400825</v>
      </c>
      <c r="N909" s="304">
        <f t="shared" ca="1" si="423"/>
        <v>-85.075177032837971</v>
      </c>
      <c r="P909" s="310">
        <f t="shared" ca="1" si="424"/>
        <v>23</v>
      </c>
      <c r="Q909" s="304">
        <f t="shared" ca="1" si="425"/>
        <v>0</v>
      </c>
      <c r="R909" s="306">
        <f t="shared" ca="1" si="426"/>
        <v>0</v>
      </c>
      <c r="S909" s="307">
        <f t="shared" ca="1" si="427"/>
        <v>5.083000000000002</v>
      </c>
      <c r="T909" s="304">
        <f t="shared" ca="1" si="407"/>
        <v>49.86423000000002</v>
      </c>
      <c r="U909" s="311">
        <f t="shared" ca="1" si="408"/>
        <v>0</v>
      </c>
      <c r="V909" s="306">
        <f t="shared" ca="1" si="409"/>
        <v>1.2259596471451586</v>
      </c>
      <c r="W909" s="304">
        <f t="shared" ca="1" si="410"/>
        <v>43.249888012001797</v>
      </c>
      <c r="Y909" s="314" t="str">
        <f t="shared" ca="1" si="428"/>
        <v/>
      </c>
      <c r="Z909" s="315" t="str">
        <f t="shared" ca="1" si="429"/>
        <v/>
      </c>
      <c r="AA909" s="316" t="str">
        <f t="shared" ca="1" si="430"/>
        <v/>
      </c>
      <c r="AC909" s="310" t="e">
        <f t="shared" ca="1" si="431"/>
        <v>#N/A</v>
      </c>
      <c r="AD909" s="323" t="e">
        <f t="shared" ca="1" si="432"/>
        <v>#N/A</v>
      </c>
      <c r="AE909" s="324" t="e">
        <f t="shared" ca="1" si="411"/>
        <v>#N/A</v>
      </c>
      <c r="AG909" s="306">
        <f t="shared" ca="1" si="433"/>
        <v>1.2650792760686915</v>
      </c>
      <c r="AH909" s="304">
        <f t="shared" ca="1" si="434"/>
        <v>-8.5087034693485997</v>
      </c>
    </row>
    <row r="910" spans="1:34" x14ac:dyDescent="0.2">
      <c r="A910" s="347">
        <f t="shared" ca="1" si="412"/>
        <v>1E-4</v>
      </c>
      <c r="B910" s="304">
        <f t="shared" ca="1" si="413"/>
        <v>29.252400000000026</v>
      </c>
      <c r="D910" s="306">
        <f t="shared" ca="1" si="414"/>
        <v>-0.73046256579543589</v>
      </c>
      <c r="E910" s="307">
        <f t="shared" ca="1" si="415"/>
        <v>-1.3326799288560025</v>
      </c>
      <c r="F910" s="304">
        <f t="shared" ca="1" si="416"/>
        <v>1.5197405544381881</v>
      </c>
      <c r="G910" s="306">
        <f t="shared" ca="1" si="417"/>
        <v>9.2020020584936724</v>
      </c>
      <c r="H910" s="307">
        <f t="shared" ca="1" si="418"/>
        <v>-106.79401927189247</v>
      </c>
      <c r="I910" s="304">
        <f t="shared" ca="1" si="419"/>
        <v>107.1897354886645</v>
      </c>
      <c r="J910" s="306">
        <f t="shared" ca="1" si="420"/>
        <v>746.86410190403069</v>
      </c>
      <c r="K910" s="307">
        <f t="shared" ca="1" si="421"/>
        <v>-7.8414663792638697</v>
      </c>
      <c r="L910" s="304">
        <f t="shared" ca="1" si="406"/>
        <v>746.90526528328303</v>
      </c>
      <c r="M910" s="306">
        <f t="shared" ca="1" si="422"/>
        <v>-1.4848427366258661</v>
      </c>
      <c r="N910" s="304">
        <f t="shared" ca="1" si="423"/>
        <v>-85.075222049317389</v>
      </c>
      <c r="P910" s="310">
        <f t="shared" ca="1" si="424"/>
        <v>23</v>
      </c>
      <c r="Q910" s="304">
        <f t="shared" ca="1" si="425"/>
        <v>0</v>
      </c>
      <c r="R910" s="306">
        <f t="shared" ca="1" si="426"/>
        <v>0</v>
      </c>
      <c r="S910" s="307">
        <f t="shared" ca="1" si="427"/>
        <v>5.083000000000002</v>
      </c>
      <c r="T910" s="304">
        <f t="shared" ca="1" si="407"/>
        <v>49.86423000000002</v>
      </c>
      <c r="U910" s="311">
        <f t="shared" ca="1" si="408"/>
        <v>0</v>
      </c>
      <c r="V910" s="306">
        <f t="shared" ca="1" si="409"/>
        <v>1.2259609563968239</v>
      </c>
      <c r="W910" s="304">
        <f t="shared" ca="1" si="410"/>
        <v>43.250036287449497</v>
      </c>
      <c r="Y910" s="314" t="str">
        <f t="shared" ca="1" si="428"/>
        <v/>
      </c>
      <c r="Z910" s="315" t="str">
        <f t="shared" ca="1" si="429"/>
        <v/>
      </c>
      <c r="AA910" s="316" t="str">
        <f t="shared" ca="1" si="430"/>
        <v/>
      </c>
      <c r="AC910" s="310" t="e">
        <f t="shared" ca="1" si="431"/>
        <v>#N/A</v>
      </c>
      <c r="AD910" s="323" t="e">
        <f t="shared" ca="1" si="432"/>
        <v>#N/A</v>
      </c>
      <c r="AE910" s="324" t="e">
        <f t="shared" ca="1" si="411"/>
        <v>#N/A</v>
      </c>
      <c r="AG910" s="306">
        <f t="shared" ca="1" si="433"/>
        <v>1.2650507665447197</v>
      </c>
      <c r="AH910" s="304">
        <f t="shared" ca="1" si="434"/>
        <v>-8.5087326405669454</v>
      </c>
    </row>
    <row r="911" spans="1:34" x14ac:dyDescent="0.2">
      <c r="A911" s="347">
        <f t="shared" ca="1" si="412"/>
        <v>1E-4</v>
      </c>
      <c r="B911" s="304">
        <f t="shared" ca="1" si="413"/>
        <v>29.252500000000026</v>
      </c>
      <c r="D911" s="306">
        <f t="shared" ca="1" si="414"/>
        <v>-0.73045840953868502</v>
      </c>
      <c r="E911" s="307">
        <f t="shared" ca="1" si="415"/>
        <v>-1.3326502917822847</v>
      </c>
      <c r="F911" s="304">
        <f t="shared" ca="1" si="416"/>
        <v>1.5197125676433665</v>
      </c>
      <c r="G911" s="306">
        <f t="shared" ca="1" si="417"/>
        <v>9.2019290126527178</v>
      </c>
      <c r="H911" s="307">
        <f t="shared" ca="1" si="418"/>
        <v>-106.79415253692164</v>
      </c>
      <c r="I911" s="304">
        <f t="shared" ca="1" si="419"/>
        <v>107.18986199092332</v>
      </c>
      <c r="J911" s="306">
        <f t="shared" ca="1" si="420"/>
        <v>746.86410190403069</v>
      </c>
      <c r="K911" s="307">
        <f t="shared" ca="1" si="421"/>
        <v>-7.8521457878543108</v>
      </c>
      <c r="L911" s="304">
        <f t="shared" ca="1" si="406"/>
        <v>746.90537747855853</v>
      </c>
      <c r="M911" s="306">
        <f t="shared" ca="1" si="422"/>
        <v>-1.4848435223035585</v>
      </c>
      <c r="N911" s="304">
        <f t="shared" ca="1" si="423"/>
        <v>-85.075267065333222</v>
      </c>
      <c r="P911" s="310">
        <f t="shared" ca="1" si="424"/>
        <v>23</v>
      </c>
      <c r="Q911" s="304">
        <f t="shared" ca="1" si="425"/>
        <v>0</v>
      </c>
      <c r="R911" s="306">
        <f t="shared" ca="1" si="426"/>
        <v>0</v>
      </c>
      <c r="S911" s="307">
        <f t="shared" ca="1" si="427"/>
        <v>5.083000000000002</v>
      </c>
      <c r="T911" s="304">
        <f t="shared" ca="1" si="407"/>
        <v>49.86423000000002</v>
      </c>
      <c r="U911" s="311">
        <f t="shared" ca="1" si="408"/>
        <v>0</v>
      </c>
      <c r="V911" s="306">
        <f t="shared" ca="1" si="409"/>
        <v>1.2259622656515214</v>
      </c>
      <c r="W911" s="304">
        <f t="shared" ca="1" si="410"/>
        <v>43.250184561042083</v>
      </c>
      <c r="Y911" s="314" t="str">
        <f t="shared" ca="1" si="428"/>
        <v/>
      </c>
      <c r="Z911" s="315" t="str">
        <f t="shared" ca="1" si="429"/>
        <v/>
      </c>
      <c r="AA911" s="316" t="str">
        <f t="shared" ca="1" si="430"/>
        <v/>
      </c>
      <c r="AC911" s="310" t="e">
        <f t="shared" ca="1" si="431"/>
        <v>#N/A</v>
      </c>
      <c r="AD911" s="323" t="e">
        <f t="shared" ca="1" si="432"/>
        <v>#N/A</v>
      </c>
      <c r="AE911" s="324" t="e">
        <f t="shared" ca="1" si="411"/>
        <v>#N/A</v>
      </c>
      <c r="AG911" s="306">
        <f t="shared" ca="1" si="433"/>
        <v>1.2650222573728716</v>
      </c>
      <c r="AH911" s="304">
        <f t="shared" ca="1" si="434"/>
        <v>-8.5087618114203192</v>
      </c>
    </row>
    <row r="912" spans="1:34" x14ac:dyDescent="0.2">
      <c r="A912" s="347">
        <f t="shared" ca="1" si="412"/>
        <v>1E-4</v>
      </c>
      <c r="B912" s="304">
        <f t="shared" ca="1" si="413"/>
        <v>29.252600000000026</v>
      </c>
      <c r="D912" s="306">
        <f t="shared" ca="1" si="414"/>
        <v>-0.73045425327307423</v>
      </c>
      <c r="E912" s="307">
        <f t="shared" ca="1" si="415"/>
        <v>-1.332620655079392</v>
      </c>
      <c r="F912" s="304">
        <f t="shared" ca="1" si="416"/>
        <v>1.5196845812434081</v>
      </c>
      <c r="G912" s="306">
        <f t="shared" ca="1" si="417"/>
        <v>9.2018559672273899</v>
      </c>
      <c r="H912" s="307">
        <f t="shared" ca="1" si="418"/>
        <v>-106.79428579898715</v>
      </c>
      <c r="I912" s="304">
        <f t="shared" ca="1" si="419"/>
        <v>107.18998849033125</v>
      </c>
      <c r="J912" s="306">
        <f t="shared" ca="1" si="420"/>
        <v>746.86410190403069</v>
      </c>
      <c r="K912" s="307">
        <f t="shared" ca="1" si="421"/>
        <v>-7.8628252097711062</v>
      </c>
      <c r="L912" s="304">
        <f t="shared" ca="1" si="406"/>
        <v>746.90548982665393</v>
      </c>
      <c r="M912" s="306">
        <f t="shared" ca="1" si="422"/>
        <v>-1.4848443079731599</v>
      </c>
      <c r="N912" s="304">
        <f t="shared" ca="1" si="423"/>
        <v>-85.075312080885482</v>
      </c>
      <c r="P912" s="310">
        <f t="shared" ca="1" si="424"/>
        <v>23</v>
      </c>
      <c r="Q912" s="304">
        <f t="shared" ca="1" si="425"/>
        <v>0</v>
      </c>
      <c r="R912" s="306">
        <f t="shared" ca="1" si="426"/>
        <v>0</v>
      </c>
      <c r="S912" s="307">
        <f t="shared" ca="1" si="427"/>
        <v>5.083000000000002</v>
      </c>
      <c r="T912" s="304">
        <f t="shared" ca="1" si="407"/>
        <v>49.86423000000002</v>
      </c>
      <c r="U912" s="311">
        <f t="shared" ca="1" si="408"/>
        <v>0</v>
      </c>
      <c r="V912" s="306">
        <f t="shared" ca="1" si="409"/>
        <v>1.2259635749092512</v>
      </c>
      <c r="W912" s="304">
        <f t="shared" ca="1" si="410"/>
        <v>43.25033283277952</v>
      </c>
      <c r="Y912" s="314" t="str">
        <f t="shared" ca="1" si="428"/>
        <v/>
      </c>
      <c r="Z912" s="315" t="str">
        <f t="shared" ca="1" si="429"/>
        <v/>
      </c>
      <c r="AA912" s="316" t="str">
        <f t="shared" ca="1" si="430"/>
        <v/>
      </c>
      <c r="AC912" s="310" t="e">
        <f t="shared" ca="1" si="431"/>
        <v>#N/A</v>
      </c>
      <c r="AD912" s="323" t="e">
        <f t="shared" ca="1" si="432"/>
        <v>#N/A</v>
      </c>
      <c r="AE912" s="324" t="e">
        <f t="shared" ca="1" si="411"/>
        <v>#N/A</v>
      </c>
      <c r="AG912" s="306">
        <f t="shared" ca="1" si="433"/>
        <v>1.26499374855314</v>
      </c>
      <c r="AH912" s="304">
        <f t="shared" ca="1" si="434"/>
        <v>-8.508790981908728</v>
      </c>
    </row>
    <row r="913" spans="1:34" x14ac:dyDescent="0.2">
      <c r="A913" s="347">
        <f t="shared" ca="1" si="412"/>
        <v>1E-4</v>
      </c>
      <c r="B913" s="304">
        <f t="shared" ca="1" si="413"/>
        <v>29.252700000000026</v>
      </c>
      <c r="D913" s="306">
        <f t="shared" ca="1" si="414"/>
        <v>-0.73045009699860464</v>
      </c>
      <c r="E913" s="307">
        <f t="shared" ca="1" si="415"/>
        <v>-1.3325910187473298</v>
      </c>
      <c r="F913" s="304">
        <f t="shared" ca="1" si="416"/>
        <v>1.5196565952383181</v>
      </c>
      <c r="G913" s="306">
        <f t="shared" ca="1" si="417"/>
        <v>9.2017829222176903</v>
      </c>
      <c r="H913" s="307">
        <f t="shared" ca="1" si="418"/>
        <v>-106.79441905808902</v>
      </c>
      <c r="I913" s="304">
        <f t="shared" ca="1" si="419"/>
        <v>107.19011498688833</v>
      </c>
      <c r="J913" s="306">
        <f t="shared" ca="1" si="420"/>
        <v>746.86410190403069</v>
      </c>
      <c r="K913" s="307">
        <f t="shared" ca="1" si="421"/>
        <v>-7.8735046450139601</v>
      </c>
      <c r="L913" s="304">
        <f t="shared" ca="1" si="406"/>
        <v>746.90560232756945</v>
      </c>
      <c r="M913" s="306">
        <f t="shared" ca="1" si="422"/>
        <v>-1.48484509363467</v>
      </c>
      <c r="N913" s="304">
        <f t="shared" ca="1" si="423"/>
        <v>-85.075357095974127</v>
      </c>
      <c r="P913" s="310">
        <f t="shared" ca="1" si="424"/>
        <v>23</v>
      </c>
      <c r="Q913" s="304">
        <f t="shared" ca="1" si="425"/>
        <v>0</v>
      </c>
      <c r="R913" s="306">
        <f t="shared" ca="1" si="426"/>
        <v>0</v>
      </c>
      <c r="S913" s="307">
        <f t="shared" ca="1" si="427"/>
        <v>5.083000000000002</v>
      </c>
      <c r="T913" s="304">
        <f t="shared" ca="1" si="407"/>
        <v>49.86423000000002</v>
      </c>
      <c r="U913" s="311">
        <f t="shared" ca="1" si="408"/>
        <v>0</v>
      </c>
      <c r="V913" s="306">
        <f t="shared" ca="1" si="409"/>
        <v>1.2259648841700139</v>
      </c>
      <c r="W913" s="304">
        <f t="shared" ca="1" si="410"/>
        <v>43.25048110266188</v>
      </c>
      <c r="Y913" s="314" t="str">
        <f t="shared" ca="1" si="428"/>
        <v/>
      </c>
      <c r="Z913" s="315" t="str">
        <f t="shared" ca="1" si="429"/>
        <v/>
      </c>
      <c r="AA913" s="316" t="str">
        <f t="shared" ca="1" si="430"/>
        <v/>
      </c>
      <c r="AC913" s="310" t="e">
        <f t="shared" ca="1" si="431"/>
        <v>#N/A</v>
      </c>
      <c r="AD913" s="323" t="e">
        <f t="shared" ca="1" si="432"/>
        <v>#N/A</v>
      </c>
      <c r="AE913" s="324" t="e">
        <f t="shared" ca="1" si="411"/>
        <v>#N/A</v>
      </c>
      <c r="AG913" s="306">
        <f t="shared" ca="1" si="433"/>
        <v>1.2649652400855338</v>
      </c>
      <c r="AH913" s="304">
        <f t="shared" ca="1" si="434"/>
        <v>-8.5088201520321665</v>
      </c>
    </row>
    <row r="914" spans="1:34" x14ac:dyDescent="0.2">
      <c r="A914" s="347">
        <f t="shared" ca="1" si="412"/>
        <v>1E-4</v>
      </c>
      <c r="B914" s="304">
        <f t="shared" ca="1" si="413"/>
        <v>29.252800000000025</v>
      </c>
      <c r="D914" s="306">
        <f t="shared" ca="1" si="414"/>
        <v>-0.73044594071528091</v>
      </c>
      <c r="E914" s="307">
        <f t="shared" ca="1" si="415"/>
        <v>-1.3325613827860892</v>
      </c>
      <c r="F914" s="304">
        <f t="shared" ca="1" si="416"/>
        <v>1.5196286096280913</v>
      </c>
      <c r="G914" s="306">
        <f t="shared" ca="1" si="417"/>
        <v>9.2017098776236192</v>
      </c>
      <c r="H914" s="307">
        <f t="shared" ca="1" si="418"/>
        <v>-106.7945523142273</v>
      </c>
      <c r="I914" s="304">
        <f t="shared" ca="1" si="419"/>
        <v>107.19024148059462</v>
      </c>
      <c r="J914" s="306">
        <f t="shared" ca="1" si="420"/>
        <v>746.86410190403069</v>
      </c>
      <c r="K914" s="307">
        <f t="shared" ca="1" si="421"/>
        <v>-7.8841840935825758</v>
      </c>
      <c r="L914" s="304">
        <f t="shared" ca="1" si="406"/>
        <v>746.90571498130589</v>
      </c>
      <c r="M914" s="306">
        <f t="shared" ca="1" si="422"/>
        <v>-1.4848458792880892</v>
      </c>
      <c r="N914" s="304">
        <f t="shared" ca="1" si="423"/>
        <v>-85.075402110599214</v>
      </c>
      <c r="P914" s="310">
        <f t="shared" ca="1" si="424"/>
        <v>23</v>
      </c>
      <c r="Q914" s="304">
        <f t="shared" ca="1" si="425"/>
        <v>0</v>
      </c>
      <c r="R914" s="306">
        <f t="shared" ca="1" si="426"/>
        <v>0</v>
      </c>
      <c r="S914" s="307">
        <f t="shared" ca="1" si="427"/>
        <v>5.083000000000002</v>
      </c>
      <c r="T914" s="304">
        <f t="shared" ca="1" si="407"/>
        <v>49.86423000000002</v>
      </c>
      <c r="U914" s="311">
        <f t="shared" ca="1" si="408"/>
        <v>0</v>
      </c>
      <c r="V914" s="306">
        <f t="shared" ca="1" si="409"/>
        <v>1.2259661934338091</v>
      </c>
      <c r="W914" s="304">
        <f t="shared" ca="1" si="410"/>
        <v>43.250629370689168</v>
      </c>
      <c r="Y914" s="314" t="str">
        <f t="shared" ca="1" si="428"/>
        <v/>
      </c>
      <c r="Z914" s="315" t="str">
        <f t="shared" ca="1" si="429"/>
        <v/>
      </c>
      <c r="AA914" s="316" t="str">
        <f t="shared" ca="1" si="430"/>
        <v/>
      </c>
      <c r="AC914" s="310" t="e">
        <f t="shared" ca="1" si="431"/>
        <v>#N/A</v>
      </c>
      <c r="AD914" s="323" t="e">
        <f t="shared" ca="1" si="432"/>
        <v>#N/A</v>
      </c>
      <c r="AE914" s="324" t="e">
        <f t="shared" ca="1" si="411"/>
        <v>#N/A</v>
      </c>
      <c r="AG914" s="306">
        <f t="shared" ca="1" si="433"/>
        <v>1.2649367319700353</v>
      </c>
      <c r="AH914" s="304">
        <f t="shared" ca="1" si="434"/>
        <v>-8.5088493217906471</v>
      </c>
    </row>
    <row r="915" spans="1:34" x14ac:dyDescent="0.2">
      <c r="A915" s="347">
        <f t="shared" ca="1" si="412"/>
        <v>1E-4</v>
      </c>
      <c r="B915" s="304">
        <f t="shared" ca="1" si="413"/>
        <v>29.252900000000025</v>
      </c>
      <c r="D915" s="306">
        <f t="shared" ca="1" si="414"/>
        <v>-0.73044178442310093</v>
      </c>
      <c r="E915" s="307">
        <f t="shared" ca="1" si="415"/>
        <v>-1.3325317471956613</v>
      </c>
      <c r="F915" s="304">
        <f t="shared" ca="1" si="416"/>
        <v>1.5196006244127189</v>
      </c>
      <c r="G915" s="306">
        <f t="shared" ca="1" si="417"/>
        <v>9.2016368334451766</v>
      </c>
      <c r="H915" s="307">
        <f t="shared" ca="1" si="418"/>
        <v>-106.79468556740203</v>
      </c>
      <c r="I915" s="304">
        <f t="shared" ca="1" si="419"/>
        <v>107.19036797145013</v>
      </c>
      <c r="J915" s="306">
        <f t="shared" ca="1" si="420"/>
        <v>746.86410190403069</v>
      </c>
      <c r="K915" s="307">
        <f t="shared" ca="1" si="421"/>
        <v>-7.8948635554766575</v>
      </c>
      <c r="L915" s="304">
        <f t="shared" ca="1" si="406"/>
        <v>746.9058277878637</v>
      </c>
      <c r="M915" s="306">
        <f t="shared" ca="1" si="422"/>
        <v>-1.4848466649334178</v>
      </c>
      <c r="N915" s="304">
        <f t="shared" ca="1" si="423"/>
        <v>-85.075447124760728</v>
      </c>
      <c r="P915" s="310">
        <f t="shared" ca="1" si="424"/>
        <v>23</v>
      </c>
      <c r="Q915" s="304">
        <f t="shared" ca="1" si="425"/>
        <v>0</v>
      </c>
      <c r="R915" s="306">
        <f t="shared" ca="1" si="426"/>
        <v>0</v>
      </c>
      <c r="S915" s="307">
        <f t="shared" ca="1" si="427"/>
        <v>5.083000000000002</v>
      </c>
      <c r="T915" s="304">
        <f t="shared" ca="1" si="407"/>
        <v>49.86423000000002</v>
      </c>
      <c r="U915" s="311">
        <f t="shared" ca="1" si="408"/>
        <v>0</v>
      </c>
      <c r="V915" s="306">
        <f t="shared" ca="1" si="409"/>
        <v>1.2259675027006367</v>
      </c>
      <c r="W915" s="304">
        <f t="shared" ca="1" si="410"/>
        <v>43.250777636861372</v>
      </c>
      <c r="Y915" s="314" t="str">
        <f t="shared" ca="1" si="428"/>
        <v/>
      </c>
      <c r="Z915" s="315" t="str">
        <f t="shared" ca="1" si="429"/>
        <v/>
      </c>
      <c r="AA915" s="316" t="str">
        <f t="shared" ca="1" si="430"/>
        <v/>
      </c>
      <c r="AC915" s="310" t="e">
        <f t="shared" ca="1" si="431"/>
        <v>#N/A</v>
      </c>
      <c r="AD915" s="323" t="e">
        <f t="shared" ca="1" si="432"/>
        <v>#N/A</v>
      </c>
      <c r="AE915" s="324" t="e">
        <f t="shared" ca="1" si="411"/>
        <v>#N/A</v>
      </c>
      <c r="AG915" s="306">
        <f t="shared" ca="1" si="433"/>
        <v>1.2649082242066481</v>
      </c>
      <c r="AH915" s="304">
        <f t="shared" ca="1" si="434"/>
        <v>-8.5088784911841735</v>
      </c>
    </row>
    <row r="916" spans="1:34" x14ac:dyDescent="0.2">
      <c r="A916" s="347">
        <f t="shared" ca="1" si="412"/>
        <v>1E-4</v>
      </c>
      <c r="B916" s="304">
        <f t="shared" ca="1" si="413"/>
        <v>29.253000000000025</v>
      </c>
      <c r="D916" s="306">
        <f t="shared" ca="1" si="414"/>
        <v>-0.73043762812206392</v>
      </c>
      <c r="E916" s="307">
        <f t="shared" ca="1" si="415"/>
        <v>-1.3325021119760549</v>
      </c>
      <c r="F916" s="304">
        <f t="shared" ca="1" si="416"/>
        <v>1.5195726395922091</v>
      </c>
      <c r="G916" s="306">
        <f t="shared" ca="1" si="417"/>
        <v>9.2015637896823641</v>
      </c>
      <c r="H916" s="307">
        <f t="shared" ca="1" si="418"/>
        <v>-106.79481881761322</v>
      </c>
      <c r="I916" s="304">
        <f t="shared" ca="1" si="419"/>
        <v>107.19049445945488</v>
      </c>
      <c r="J916" s="306">
        <f t="shared" ca="1" si="420"/>
        <v>746.86410190403069</v>
      </c>
      <c r="K916" s="307">
        <f t="shared" ca="1" si="421"/>
        <v>-7.9055430306959087</v>
      </c>
      <c r="L916" s="304">
        <f t="shared" ca="1" si="406"/>
        <v>746.90594074724333</v>
      </c>
      <c r="M916" s="306">
        <f t="shared" ca="1" si="422"/>
        <v>-1.4848474505706555</v>
      </c>
      <c r="N916" s="304">
        <f t="shared" ca="1" si="423"/>
        <v>-85.075492138458685</v>
      </c>
      <c r="P916" s="310">
        <f t="shared" ca="1" si="424"/>
        <v>23</v>
      </c>
      <c r="Q916" s="304">
        <f t="shared" ca="1" si="425"/>
        <v>0</v>
      </c>
      <c r="R916" s="306">
        <f t="shared" ca="1" si="426"/>
        <v>0</v>
      </c>
      <c r="S916" s="307">
        <f t="shared" ca="1" si="427"/>
        <v>5.083000000000002</v>
      </c>
      <c r="T916" s="304">
        <f t="shared" ca="1" si="407"/>
        <v>49.86423000000002</v>
      </c>
      <c r="U916" s="311">
        <f t="shared" ca="1" si="408"/>
        <v>0</v>
      </c>
      <c r="V916" s="306">
        <f t="shared" ca="1" si="409"/>
        <v>1.2259688119704961</v>
      </c>
      <c r="W916" s="304">
        <f t="shared" ca="1" si="410"/>
        <v>43.250925901178483</v>
      </c>
      <c r="Y916" s="314" t="str">
        <f t="shared" ca="1" si="428"/>
        <v/>
      </c>
      <c r="Z916" s="315" t="str">
        <f t="shared" ca="1" si="429"/>
        <v/>
      </c>
      <c r="AA916" s="316" t="str">
        <f t="shared" ca="1" si="430"/>
        <v/>
      </c>
      <c r="AC916" s="310" t="e">
        <f t="shared" ca="1" si="431"/>
        <v>#N/A</v>
      </c>
      <c r="AD916" s="323" t="e">
        <f t="shared" ca="1" si="432"/>
        <v>#N/A</v>
      </c>
      <c r="AE916" s="324" t="e">
        <f t="shared" ca="1" si="411"/>
        <v>#N/A</v>
      </c>
      <c r="AG916" s="306">
        <f t="shared" ca="1" si="433"/>
        <v>1.264879716795372</v>
      </c>
      <c r="AH916" s="304">
        <f t="shared" ca="1" si="434"/>
        <v>-8.5089076602127403</v>
      </c>
    </row>
    <row r="917" spans="1:34" x14ac:dyDescent="0.2">
      <c r="A917" s="347">
        <f t="shared" ca="1" si="412"/>
        <v>1E-4</v>
      </c>
      <c r="B917" s="304">
        <f t="shared" ca="1" si="413"/>
        <v>29.253100000000025</v>
      </c>
      <c r="D917" s="306">
        <f t="shared" ca="1" si="414"/>
        <v>-0.73043347181217355</v>
      </c>
      <c r="E917" s="307">
        <f t="shared" ca="1" si="415"/>
        <v>-1.3324724771272702</v>
      </c>
      <c r="F917" s="304">
        <f t="shared" ca="1" si="416"/>
        <v>1.519544655166563</v>
      </c>
      <c r="G917" s="306">
        <f t="shared" ca="1" si="417"/>
        <v>9.2014907463351836</v>
      </c>
      <c r="H917" s="307">
        <f t="shared" ca="1" si="418"/>
        <v>-106.79495206486094</v>
      </c>
      <c r="I917" s="304">
        <f t="shared" ca="1" si="419"/>
        <v>107.19062094460895</v>
      </c>
      <c r="J917" s="306">
        <f t="shared" ca="1" si="420"/>
        <v>746.86410190403069</v>
      </c>
      <c r="K917" s="307">
        <f t="shared" ca="1" si="421"/>
        <v>-7.9162225192400326</v>
      </c>
      <c r="L917" s="304">
        <f t="shared" ca="1" si="406"/>
        <v>746.90605385944514</v>
      </c>
      <c r="M917" s="306">
        <f t="shared" ca="1" si="422"/>
        <v>-1.4848482361998026</v>
      </c>
      <c r="N917" s="304">
        <f t="shared" ca="1" si="423"/>
        <v>-85.075537151693069</v>
      </c>
      <c r="P917" s="310">
        <f t="shared" ca="1" si="424"/>
        <v>23</v>
      </c>
      <c r="Q917" s="304">
        <f t="shared" ca="1" si="425"/>
        <v>0</v>
      </c>
      <c r="R917" s="306">
        <f t="shared" ca="1" si="426"/>
        <v>0</v>
      </c>
      <c r="S917" s="307">
        <f t="shared" ca="1" si="427"/>
        <v>5.083000000000002</v>
      </c>
      <c r="T917" s="304">
        <f t="shared" ca="1" si="407"/>
        <v>49.86423000000002</v>
      </c>
      <c r="U917" s="311">
        <f t="shared" ca="1" si="408"/>
        <v>0</v>
      </c>
      <c r="V917" s="306">
        <f t="shared" ca="1" si="409"/>
        <v>1.2259701212433889</v>
      </c>
      <c r="W917" s="304">
        <f t="shared" ca="1" si="410"/>
        <v>43.251074163640595</v>
      </c>
      <c r="Y917" s="314" t="str">
        <f t="shared" ca="1" si="428"/>
        <v/>
      </c>
      <c r="Z917" s="315" t="str">
        <f t="shared" ca="1" si="429"/>
        <v/>
      </c>
      <c r="AA917" s="316" t="str">
        <f t="shared" ca="1" si="430"/>
        <v/>
      </c>
      <c r="AC917" s="310" t="e">
        <f t="shared" ca="1" si="431"/>
        <v>#N/A</v>
      </c>
      <c r="AD917" s="323" t="e">
        <f t="shared" ca="1" si="432"/>
        <v>#N/A</v>
      </c>
      <c r="AE917" s="324" t="e">
        <f t="shared" ca="1" si="411"/>
        <v>#N/A</v>
      </c>
      <c r="AG917" s="306">
        <f t="shared" ca="1" si="433"/>
        <v>1.2648512097362108</v>
      </c>
      <c r="AH917" s="304">
        <f t="shared" ca="1" si="434"/>
        <v>-8.5089368288763456</v>
      </c>
    </row>
    <row r="918" spans="1:34" x14ac:dyDescent="0.2">
      <c r="A918" s="347">
        <f t="shared" ca="1" si="412"/>
        <v>1E-4</v>
      </c>
      <c r="B918" s="304">
        <f t="shared" ca="1" si="413"/>
        <v>29.253200000000025</v>
      </c>
      <c r="D918" s="306">
        <f t="shared" ca="1" si="414"/>
        <v>-0.73042931549343104</v>
      </c>
      <c r="E918" s="307">
        <f t="shared" ca="1" si="415"/>
        <v>-1.3324428426492858</v>
      </c>
      <c r="F918" s="304">
        <f t="shared" ca="1" si="416"/>
        <v>1.5195166711357635</v>
      </c>
      <c r="G918" s="306">
        <f t="shared" ca="1" si="417"/>
        <v>9.2014177034036351</v>
      </c>
      <c r="H918" s="307">
        <f t="shared" ca="1" si="418"/>
        <v>-106.79508530914521</v>
      </c>
      <c r="I918" s="304">
        <f t="shared" ca="1" si="419"/>
        <v>107.19074742691234</v>
      </c>
      <c r="J918" s="306">
        <f t="shared" ca="1" si="420"/>
        <v>746.86410190403069</v>
      </c>
      <c r="K918" s="307">
        <f t="shared" ca="1" si="421"/>
        <v>-7.9269020211087327</v>
      </c>
      <c r="L918" s="304">
        <f t="shared" ca="1" si="406"/>
        <v>746.9061671244699</v>
      </c>
      <c r="M918" s="306">
        <f t="shared" ca="1" si="422"/>
        <v>-1.4848490218208592</v>
      </c>
      <c r="N918" s="304">
        <f t="shared" ca="1" si="423"/>
        <v>-85.07558216446391</v>
      </c>
      <c r="P918" s="310">
        <f t="shared" ca="1" si="424"/>
        <v>23</v>
      </c>
      <c r="Q918" s="304">
        <f t="shared" ca="1" si="425"/>
        <v>0</v>
      </c>
      <c r="R918" s="306">
        <f t="shared" ca="1" si="426"/>
        <v>0</v>
      </c>
      <c r="S918" s="307">
        <f t="shared" ca="1" si="427"/>
        <v>5.083000000000002</v>
      </c>
      <c r="T918" s="304">
        <f t="shared" ca="1" si="407"/>
        <v>49.86423000000002</v>
      </c>
      <c r="U918" s="311">
        <f t="shared" ca="1" si="408"/>
        <v>0</v>
      </c>
      <c r="V918" s="306">
        <f t="shared" ca="1" si="409"/>
        <v>1.2259714305193135</v>
      </c>
      <c r="W918" s="304">
        <f t="shared" ca="1" si="410"/>
        <v>43.251222424247636</v>
      </c>
      <c r="Y918" s="314" t="str">
        <f t="shared" ca="1" si="428"/>
        <v/>
      </c>
      <c r="Z918" s="315" t="str">
        <f t="shared" ca="1" si="429"/>
        <v/>
      </c>
      <c r="AA918" s="316" t="str">
        <f t="shared" ca="1" si="430"/>
        <v/>
      </c>
      <c r="AC918" s="310" t="e">
        <f t="shared" ca="1" si="431"/>
        <v>#N/A</v>
      </c>
      <c r="AD918" s="323" t="e">
        <f t="shared" ca="1" si="432"/>
        <v>#N/A</v>
      </c>
      <c r="AE918" s="324" t="e">
        <f t="shared" ca="1" si="411"/>
        <v>#N/A</v>
      </c>
      <c r="AG918" s="306">
        <f t="shared" ca="1" si="433"/>
        <v>1.2648227030291448</v>
      </c>
      <c r="AH918" s="304">
        <f t="shared" ca="1" si="434"/>
        <v>-8.5089659971750109</v>
      </c>
    </row>
    <row r="919" spans="1:34" x14ac:dyDescent="0.2">
      <c r="A919" s="347">
        <f t="shared" ca="1" si="412"/>
        <v>1E-4</v>
      </c>
      <c r="B919" s="304">
        <f t="shared" ca="1" si="413"/>
        <v>29.253300000000024</v>
      </c>
      <c r="D919" s="306">
        <f t="shared" ca="1" si="414"/>
        <v>-0.7304251591658345</v>
      </c>
      <c r="E919" s="307">
        <f t="shared" ca="1" si="415"/>
        <v>-1.3324132085421212</v>
      </c>
      <c r="F919" s="304">
        <f t="shared" ca="1" si="416"/>
        <v>1.5194886874998264</v>
      </c>
      <c r="G919" s="306">
        <f t="shared" ca="1" si="417"/>
        <v>9.2013446608877185</v>
      </c>
      <c r="H919" s="307">
        <f t="shared" ca="1" si="418"/>
        <v>-106.79521855046606</v>
      </c>
      <c r="I919" s="304">
        <f t="shared" ca="1" si="419"/>
        <v>107.19087390636507</v>
      </c>
      <c r="J919" s="306">
        <f t="shared" ca="1" si="420"/>
        <v>746.86410190403069</v>
      </c>
      <c r="K919" s="307">
        <f t="shared" ca="1" si="421"/>
        <v>-7.937581536301713</v>
      </c>
      <c r="L919" s="304">
        <f t="shared" ca="1" si="406"/>
        <v>746.90628054231797</v>
      </c>
      <c r="M919" s="306">
        <f t="shared" ca="1" si="422"/>
        <v>-1.4848498074338254</v>
      </c>
      <c r="N919" s="304">
        <f t="shared" ca="1" si="423"/>
        <v>-85.075627176771206</v>
      </c>
      <c r="P919" s="310">
        <f t="shared" ca="1" si="424"/>
        <v>23</v>
      </c>
      <c r="Q919" s="304">
        <f t="shared" ca="1" si="425"/>
        <v>0</v>
      </c>
      <c r="R919" s="306">
        <f t="shared" ca="1" si="426"/>
        <v>0</v>
      </c>
      <c r="S919" s="307">
        <f t="shared" ca="1" si="427"/>
        <v>5.083000000000002</v>
      </c>
      <c r="T919" s="304">
        <f t="shared" ca="1" si="407"/>
        <v>49.86423000000002</v>
      </c>
      <c r="U919" s="311">
        <f t="shared" ca="1" si="408"/>
        <v>0</v>
      </c>
      <c r="V919" s="306">
        <f t="shared" ca="1" si="409"/>
        <v>1.2259727397982703</v>
      </c>
      <c r="W919" s="304">
        <f t="shared" ca="1" si="410"/>
        <v>43.251370682999642</v>
      </c>
      <c r="Y919" s="314" t="str">
        <f t="shared" ca="1" si="428"/>
        <v/>
      </c>
      <c r="Z919" s="315" t="str">
        <f t="shared" ca="1" si="429"/>
        <v/>
      </c>
      <c r="AA919" s="316" t="str">
        <f t="shared" ca="1" si="430"/>
        <v/>
      </c>
      <c r="AC919" s="310" t="e">
        <f t="shared" ca="1" si="431"/>
        <v>#N/A</v>
      </c>
      <c r="AD919" s="323" t="e">
        <f t="shared" ca="1" si="432"/>
        <v>#N/A</v>
      </c>
      <c r="AE919" s="324" t="e">
        <f t="shared" ca="1" si="411"/>
        <v>#N/A</v>
      </c>
      <c r="AG919" s="306">
        <f t="shared" ca="1" si="433"/>
        <v>1.26479419667419</v>
      </c>
      <c r="AH919" s="304">
        <f t="shared" ca="1" si="434"/>
        <v>-8.5089951651087183</v>
      </c>
    </row>
    <row r="920" spans="1:34" x14ac:dyDescent="0.2">
      <c r="A920" s="347">
        <f t="shared" ca="1" si="412"/>
        <v>1E-4</v>
      </c>
      <c r="B920" s="304">
        <f t="shared" ca="1" si="413"/>
        <v>29.253400000000024</v>
      </c>
      <c r="D920" s="306">
        <f t="shared" ca="1" si="414"/>
        <v>-0.7304210028293866</v>
      </c>
      <c r="E920" s="307">
        <f t="shared" ca="1" si="415"/>
        <v>-1.3323835748057622</v>
      </c>
      <c r="F920" s="304">
        <f t="shared" ca="1" si="416"/>
        <v>1.5194607042587409</v>
      </c>
      <c r="G920" s="306">
        <f t="shared" ca="1" si="417"/>
        <v>9.2012716187874357</v>
      </c>
      <c r="H920" s="307">
        <f t="shared" ca="1" si="418"/>
        <v>-106.79535178882354</v>
      </c>
      <c r="I920" s="304">
        <f t="shared" ca="1" si="419"/>
        <v>107.19100038296722</v>
      </c>
      <c r="J920" s="306">
        <f t="shared" ca="1" si="420"/>
        <v>746.86410190403069</v>
      </c>
      <c r="K920" s="307">
        <f t="shared" ca="1" si="421"/>
        <v>-7.9482610648186771</v>
      </c>
      <c r="L920" s="304">
        <f t="shared" ca="1" si="406"/>
        <v>746.9063941129898</v>
      </c>
      <c r="M920" s="306">
        <f t="shared" ca="1" si="422"/>
        <v>-1.4848505930387013</v>
      </c>
      <c r="N920" s="304">
        <f t="shared" ca="1" si="423"/>
        <v>-85.075672188614959</v>
      </c>
      <c r="P920" s="310">
        <f t="shared" ca="1" si="424"/>
        <v>23</v>
      </c>
      <c r="Q920" s="304">
        <f t="shared" ca="1" si="425"/>
        <v>0</v>
      </c>
      <c r="R920" s="306">
        <f t="shared" ca="1" si="426"/>
        <v>0</v>
      </c>
      <c r="S920" s="307">
        <f t="shared" ca="1" si="427"/>
        <v>5.083000000000002</v>
      </c>
      <c r="T920" s="304">
        <f t="shared" ca="1" si="407"/>
        <v>49.86423000000002</v>
      </c>
      <c r="U920" s="311">
        <f t="shared" ca="1" si="408"/>
        <v>0</v>
      </c>
      <c r="V920" s="306">
        <f t="shared" ca="1" si="409"/>
        <v>1.2259740490802593</v>
      </c>
      <c r="W920" s="304">
        <f t="shared" ca="1" si="410"/>
        <v>43.251518939896656</v>
      </c>
      <c r="Y920" s="314" t="str">
        <f t="shared" ca="1" si="428"/>
        <v/>
      </c>
      <c r="Z920" s="315" t="str">
        <f t="shared" ca="1" si="429"/>
        <v/>
      </c>
      <c r="AA920" s="316" t="str">
        <f t="shared" ca="1" si="430"/>
        <v/>
      </c>
      <c r="AC920" s="310" t="e">
        <f t="shared" ca="1" si="431"/>
        <v>#N/A</v>
      </c>
      <c r="AD920" s="323" t="e">
        <f t="shared" ca="1" si="432"/>
        <v>#N/A</v>
      </c>
      <c r="AE920" s="324" t="e">
        <f t="shared" ca="1" si="411"/>
        <v>#N/A</v>
      </c>
      <c r="AG920" s="306">
        <f t="shared" ca="1" si="433"/>
        <v>1.2647656906713394</v>
      </c>
      <c r="AH920" s="304">
        <f t="shared" ca="1" si="434"/>
        <v>-8.5090243326774786</v>
      </c>
    </row>
    <row r="921" spans="1:34" x14ac:dyDescent="0.2">
      <c r="A921" s="347">
        <f t="shared" ca="1" si="412"/>
        <v>1E-4</v>
      </c>
      <c r="B921" s="304">
        <f t="shared" ca="1" si="413"/>
        <v>29.253500000000024</v>
      </c>
      <c r="D921" s="306">
        <f t="shared" ca="1" si="414"/>
        <v>-0.73041684648408944</v>
      </c>
      <c r="E921" s="307">
        <f t="shared" ca="1" si="415"/>
        <v>-1.3323539414402052</v>
      </c>
      <c r="F921" s="304">
        <f t="shared" ca="1" si="416"/>
        <v>1.5194327214125052</v>
      </c>
      <c r="G921" s="306">
        <f t="shared" ca="1" si="417"/>
        <v>9.2011985771027867</v>
      </c>
      <c r="H921" s="307">
        <f t="shared" ca="1" si="418"/>
        <v>-106.79548502421768</v>
      </c>
      <c r="I921" s="304">
        <f t="shared" ca="1" si="419"/>
        <v>107.1911268567188</v>
      </c>
      <c r="J921" s="306">
        <f t="shared" ca="1" si="420"/>
        <v>746.86410190403069</v>
      </c>
      <c r="K921" s="307">
        <f t="shared" ca="1" si="421"/>
        <v>-7.9589406066593291</v>
      </c>
      <c r="L921" s="304">
        <f t="shared" ca="1" si="406"/>
        <v>746.90650783648596</v>
      </c>
      <c r="M921" s="306">
        <f t="shared" ca="1" si="422"/>
        <v>-1.4848513786354871</v>
      </c>
      <c r="N921" s="304">
        <f t="shared" ca="1" si="423"/>
        <v>-85.075717199995182</v>
      </c>
      <c r="P921" s="310">
        <f t="shared" ca="1" si="424"/>
        <v>23</v>
      </c>
      <c r="Q921" s="304">
        <f t="shared" ca="1" si="425"/>
        <v>0</v>
      </c>
      <c r="R921" s="306">
        <f t="shared" ca="1" si="426"/>
        <v>0</v>
      </c>
      <c r="S921" s="307">
        <f t="shared" ca="1" si="427"/>
        <v>5.083000000000002</v>
      </c>
      <c r="T921" s="304">
        <f t="shared" ca="1" si="407"/>
        <v>49.86423000000002</v>
      </c>
      <c r="U921" s="311">
        <f t="shared" ca="1" si="408"/>
        <v>0</v>
      </c>
      <c r="V921" s="306">
        <f t="shared" ca="1" si="409"/>
        <v>1.2259753583652808</v>
      </c>
      <c r="W921" s="304">
        <f t="shared" ca="1" si="410"/>
        <v>43.251667194938662</v>
      </c>
      <c r="Y921" s="314" t="str">
        <f t="shared" ca="1" si="428"/>
        <v/>
      </c>
      <c r="Z921" s="315" t="str">
        <f t="shared" ca="1" si="429"/>
        <v/>
      </c>
      <c r="AA921" s="316" t="str">
        <f t="shared" ca="1" si="430"/>
        <v/>
      </c>
      <c r="AC921" s="310" t="e">
        <f t="shared" ca="1" si="431"/>
        <v>#N/A</v>
      </c>
      <c r="AD921" s="323" t="e">
        <f t="shared" ca="1" si="432"/>
        <v>#N/A</v>
      </c>
      <c r="AE921" s="324" t="e">
        <f t="shared" ca="1" si="411"/>
        <v>#N/A</v>
      </c>
      <c r="AG921" s="306">
        <f t="shared" ca="1" si="433"/>
        <v>1.2647371850205822</v>
      </c>
      <c r="AH921" s="304">
        <f t="shared" ca="1" si="434"/>
        <v>-8.5090534998812988</v>
      </c>
    </row>
    <row r="922" spans="1:34" x14ac:dyDescent="0.2">
      <c r="A922" s="347">
        <f t="shared" ca="1" si="412"/>
        <v>1E-4</v>
      </c>
      <c r="B922" s="304">
        <f t="shared" ca="1" si="413"/>
        <v>29.253600000000024</v>
      </c>
      <c r="D922" s="306">
        <f t="shared" ca="1" si="414"/>
        <v>-0.73041269012994037</v>
      </c>
      <c r="E922" s="307">
        <f t="shared" ca="1" si="415"/>
        <v>-1.3323243084454557</v>
      </c>
      <c r="F922" s="304">
        <f t="shared" ca="1" si="416"/>
        <v>1.5194047389611229</v>
      </c>
      <c r="G922" s="306">
        <f t="shared" ca="1" si="417"/>
        <v>9.2011255358337731</v>
      </c>
      <c r="H922" s="307">
        <f t="shared" ca="1" si="418"/>
        <v>-106.79561825664852</v>
      </c>
      <c r="I922" s="304">
        <f t="shared" ca="1" si="419"/>
        <v>107.19125332761985</v>
      </c>
      <c r="J922" s="306">
        <f t="shared" ca="1" si="420"/>
        <v>746.86410190403069</v>
      </c>
      <c r="K922" s="307">
        <f t="shared" ca="1" si="421"/>
        <v>-7.9696201618233724</v>
      </c>
      <c r="L922" s="304">
        <f t="shared" ca="1" si="406"/>
        <v>746.9066217128069</v>
      </c>
      <c r="M922" s="306">
        <f t="shared" ca="1" si="422"/>
        <v>-1.484852164224183</v>
      </c>
      <c r="N922" s="304">
        <f t="shared" ca="1" si="423"/>
        <v>-85.07576221091189</v>
      </c>
      <c r="P922" s="310">
        <f t="shared" ca="1" si="424"/>
        <v>23</v>
      </c>
      <c r="Q922" s="304">
        <f t="shared" ca="1" si="425"/>
        <v>0</v>
      </c>
      <c r="R922" s="306">
        <f t="shared" ca="1" si="426"/>
        <v>0</v>
      </c>
      <c r="S922" s="307">
        <f t="shared" ca="1" si="427"/>
        <v>5.083000000000002</v>
      </c>
      <c r="T922" s="304">
        <f t="shared" ca="1" si="407"/>
        <v>49.86423000000002</v>
      </c>
      <c r="U922" s="311">
        <f t="shared" ca="1" si="408"/>
        <v>0</v>
      </c>
      <c r="V922" s="306">
        <f t="shared" ca="1" si="409"/>
        <v>1.2259766676533346</v>
      </c>
      <c r="W922" s="304">
        <f t="shared" ca="1" si="410"/>
        <v>43.25181544812569</v>
      </c>
      <c r="Y922" s="314" t="str">
        <f t="shared" ca="1" si="428"/>
        <v/>
      </c>
      <c r="Z922" s="315" t="str">
        <f t="shared" ca="1" si="429"/>
        <v/>
      </c>
      <c r="AA922" s="316" t="str">
        <f t="shared" ca="1" si="430"/>
        <v/>
      </c>
      <c r="AC922" s="310" t="e">
        <f t="shared" ca="1" si="431"/>
        <v>#N/A</v>
      </c>
      <c r="AD922" s="323" t="e">
        <f t="shared" ca="1" si="432"/>
        <v>#N/A</v>
      </c>
      <c r="AE922" s="324" t="e">
        <f t="shared" ca="1" si="411"/>
        <v>#N/A</v>
      </c>
      <c r="AG922" s="306">
        <f t="shared" ca="1" si="433"/>
        <v>1.2647086797219256</v>
      </c>
      <c r="AH922" s="304">
        <f t="shared" ca="1" si="434"/>
        <v>-8.5090826667201735</v>
      </c>
    </row>
    <row r="923" spans="1:34" x14ac:dyDescent="0.2">
      <c r="A923" s="347">
        <f t="shared" ca="1" si="412"/>
        <v>1E-4</v>
      </c>
      <c r="B923" s="304">
        <f t="shared" ca="1" si="413"/>
        <v>29.253700000000023</v>
      </c>
      <c r="D923" s="306">
        <f t="shared" ca="1" si="414"/>
        <v>-0.73040853376694181</v>
      </c>
      <c r="E923" s="307">
        <f t="shared" ca="1" si="415"/>
        <v>-1.3322946758215011</v>
      </c>
      <c r="F923" s="304">
        <f t="shared" ca="1" si="416"/>
        <v>1.5193767569045844</v>
      </c>
      <c r="G923" s="306">
        <f t="shared" ca="1" si="417"/>
        <v>9.2010524949803969</v>
      </c>
      <c r="H923" s="307">
        <f t="shared" ca="1" si="418"/>
        <v>-106.7957514861161</v>
      </c>
      <c r="I923" s="304">
        <f t="shared" ca="1" si="419"/>
        <v>107.19137979567039</v>
      </c>
      <c r="J923" s="306">
        <f t="shared" ca="1" si="420"/>
        <v>746.86410190403069</v>
      </c>
      <c r="K923" s="307">
        <f t="shared" ca="1" si="421"/>
        <v>-7.9802997303105103</v>
      </c>
      <c r="L923" s="304">
        <f t="shared" ca="1" si="406"/>
        <v>746.90673574195318</v>
      </c>
      <c r="M923" s="306">
        <f t="shared" ca="1" si="422"/>
        <v>-1.4848529498047889</v>
      </c>
      <c r="N923" s="304">
        <f t="shared" ca="1" si="423"/>
        <v>-85.075807221365082</v>
      </c>
      <c r="P923" s="310">
        <f t="shared" ca="1" si="424"/>
        <v>23</v>
      </c>
      <c r="Q923" s="304">
        <f t="shared" ca="1" si="425"/>
        <v>0</v>
      </c>
      <c r="R923" s="306">
        <f t="shared" ca="1" si="426"/>
        <v>0</v>
      </c>
      <c r="S923" s="307">
        <f t="shared" ca="1" si="427"/>
        <v>5.083000000000002</v>
      </c>
      <c r="T923" s="304">
        <f t="shared" ca="1" si="407"/>
        <v>49.86423000000002</v>
      </c>
      <c r="U923" s="311">
        <f t="shared" ca="1" si="408"/>
        <v>0</v>
      </c>
      <c r="V923" s="306">
        <f t="shared" ca="1" si="409"/>
        <v>1.2259779769444208</v>
      </c>
      <c r="W923" s="304">
        <f t="shared" ca="1" si="410"/>
        <v>43.251963699457747</v>
      </c>
      <c r="Y923" s="314" t="str">
        <f t="shared" ca="1" si="428"/>
        <v/>
      </c>
      <c r="Z923" s="315" t="str">
        <f t="shared" ca="1" si="429"/>
        <v/>
      </c>
      <c r="AA923" s="316" t="str">
        <f t="shared" ca="1" si="430"/>
        <v/>
      </c>
      <c r="AC923" s="310" t="e">
        <f t="shared" ca="1" si="431"/>
        <v>#N/A</v>
      </c>
      <c r="AD923" s="323" t="e">
        <f t="shared" ca="1" si="432"/>
        <v>#N/A</v>
      </c>
      <c r="AE923" s="324" t="e">
        <f t="shared" ca="1" si="411"/>
        <v>#N/A</v>
      </c>
      <c r="AG923" s="306">
        <f t="shared" ca="1" si="433"/>
        <v>1.2646801747753624</v>
      </c>
      <c r="AH923" s="304">
        <f t="shared" ca="1" si="434"/>
        <v>-8.5091118331941118</v>
      </c>
    </row>
    <row r="924" spans="1:34" x14ac:dyDescent="0.2">
      <c r="A924" s="347">
        <f t="shared" ca="1" si="412"/>
        <v>1E-4</v>
      </c>
      <c r="B924" s="304">
        <f t="shared" ca="1" si="413"/>
        <v>29.253800000000023</v>
      </c>
      <c r="D924" s="306">
        <f t="shared" ca="1" si="414"/>
        <v>-0.73040437739509523</v>
      </c>
      <c r="E924" s="307">
        <f t="shared" ca="1" si="415"/>
        <v>-1.3322650435683432</v>
      </c>
      <c r="F924" s="304">
        <f t="shared" ca="1" si="416"/>
        <v>1.519348775242892</v>
      </c>
      <c r="G924" s="306">
        <f t="shared" ca="1" si="417"/>
        <v>9.200979454542658</v>
      </c>
      <c r="H924" s="307">
        <f t="shared" ca="1" si="418"/>
        <v>-106.79588471262046</v>
      </c>
      <c r="I924" s="304">
        <f t="shared" ca="1" si="419"/>
        <v>107.19150626087048</v>
      </c>
      <c r="J924" s="306">
        <f t="shared" ca="1" si="420"/>
        <v>746.86410190403069</v>
      </c>
      <c r="K924" s="307">
        <f t="shared" ca="1" si="421"/>
        <v>-7.9909793121204471</v>
      </c>
      <c r="L924" s="304">
        <f t="shared" ca="1" si="406"/>
        <v>746.90684992392528</v>
      </c>
      <c r="M924" s="306">
        <f t="shared" ca="1" si="422"/>
        <v>-1.4848537353773048</v>
      </c>
      <c r="N924" s="304">
        <f t="shared" ca="1" si="423"/>
        <v>-85.075852231354745</v>
      </c>
      <c r="P924" s="310">
        <f t="shared" ca="1" si="424"/>
        <v>23</v>
      </c>
      <c r="Q924" s="304">
        <f t="shared" ca="1" si="425"/>
        <v>0</v>
      </c>
      <c r="R924" s="306">
        <f t="shared" ca="1" si="426"/>
        <v>0</v>
      </c>
      <c r="S924" s="307">
        <f t="shared" ca="1" si="427"/>
        <v>5.083000000000002</v>
      </c>
      <c r="T924" s="304">
        <f t="shared" ca="1" si="407"/>
        <v>49.86423000000002</v>
      </c>
      <c r="U924" s="311">
        <f t="shared" ca="1" si="408"/>
        <v>0</v>
      </c>
      <c r="V924" s="306">
        <f t="shared" ca="1" si="409"/>
        <v>1.2259792862385384</v>
      </c>
      <c r="W924" s="304">
        <f t="shared" ca="1" si="410"/>
        <v>43.252111948934825</v>
      </c>
      <c r="Y924" s="314" t="str">
        <f t="shared" ca="1" si="428"/>
        <v/>
      </c>
      <c r="Z924" s="315" t="str">
        <f t="shared" ca="1" si="429"/>
        <v/>
      </c>
      <c r="AA924" s="316" t="str">
        <f t="shared" ca="1" si="430"/>
        <v/>
      </c>
      <c r="AC924" s="310" t="e">
        <f t="shared" ca="1" si="431"/>
        <v>#N/A</v>
      </c>
      <c r="AD924" s="323" t="e">
        <f t="shared" ca="1" si="432"/>
        <v>#N/A</v>
      </c>
      <c r="AE924" s="324" t="e">
        <f t="shared" ca="1" si="411"/>
        <v>#N/A</v>
      </c>
      <c r="AG924" s="306">
        <f t="shared" ca="1" si="433"/>
        <v>1.264651670180891</v>
      </c>
      <c r="AH924" s="304">
        <f t="shared" ca="1" si="434"/>
        <v>-8.5091409993031135</v>
      </c>
    </row>
    <row r="925" spans="1:34" x14ac:dyDescent="0.2">
      <c r="A925" s="347">
        <f t="shared" ca="1" si="412"/>
        <v>1E-4</v>
      </c>
      <c r="B925" s="304">
        <f t="shared" ca="1" si="413"/>
        <v>29.253900000000023</v>
      </c>
      <c r="D925" s="306">
        <f t="shared" ca="1" si="414"/>
        <v>-0.73040022101440227</v>
      </c>
      <c r="E925" s="307">
        <f t="shared" ca="1" si="415"/>
        <v>-1.3322354116859838</v>
      </c>
      <c r="F925" s="304">
        <f t="shared" ca="1" si="416"/>
        <v>1.5193207939760485</v>
      </c>
      <c r="G925" s="306">
        <f t="shared" ca="1" si="417"/>
        <v>9.2009064145205564</v>
      </c>
      <c r="H925" s="307">
        <f t="shared" ca="1" si="418"/>
        <v>-106.79601793616163</v>
      </c>
      <c r="I925" s="304">
        <f t="shared" ca="1" si="419"/>
        <v>107.19163272322017</v>
      </c>
      <c r="J925" s="306">
        <f t="shared" ca="1" si="420"/>
        <v>746.86410190403069</v>
      </c>
      <c r="K925" s="307">
        <f t="shared" ca="1" si="421"/>
        <v>-8.001658907252887</v>
      </c>
      <c r="L925" s="304">
        <f t="shared" ca="1" si="406"/>
        <v>746.90696425872363</v>
      </c>
      <c r="M925" s="306">
        <f t="shared" ca="1" si="422"/>
        <v>-1.4848545209417312</v>
      </c>
      <c r="N925" s="304">
        <f t="shared" ca="1" si="423"/>
        <v>-85.075897240880906</v>
      </c>
      <c r="P925" s="310">
        <f t="shared" ca="1" si="424"/>
        <v>23</v>
      </c>
      <c r="Q925" s="304">
        <f t="shared" ca="1" si="425"/>
        <v>0</v>
      </c>
      <c r="R925" s="306">
        <f t="shared" ca="1" si="426"/>
        <v>0</v>
      </c>
      <c r="S925" s="307">
        <f t="shared" ca="1" si="427"/>
        <v>5.083000000000002</v>
      </c>
      <c r="T925" s="304">
        <f t="shared" ca="1" si="407"/>
        <v>49.86423000000002</v>
      </c>
      <c r="U925" s="311">
        <f t="shared" ca="1" si="408"/>
        <v>0</v>
      </c>
      <c r="V925" s="306">
        <f t="shared" ca="1" si="409"/>
        <v>1.2259805955356884</v>
      </c>
      <c r="W925" s="304">
        <f t="shared" ca="1" si="410"/>
        <v>43.252260196556982</v>
      </c>
      <c r="Y925" s="314" t="str">
        <f t="shared" ca="1" si="428"/>
        <v/>
      </c>
      <c r="Z925" s="315" t="str">
        <f t="shared" ca="1" si="429"/>
        <v/>
      </c>
      <c r="AA925" s="316" t="str">
        <f t="shared" ca="1" si="430"/>
        <v/>
      </c>
      <c r="AC925" s="310" t="e">
        <f t="shared" ca="1" si="431"/>
        <v>#N/A</v>
      </c>
      <c r="AD925" s="323" t="e">
        <f t="shared" ca="1" si="432"/>
        <v>#N/A</v>
      </c>
      <c r="AE925" s="324" t="e">
        <f t="shared" ca="1" si="411"/>
        <v>#N/A</v>
      </c>
      <c r="AG925" s="306">
        <f t="shared" ca="1" si="433"/>
        <v>1.2646231659385112</v>
      </c>
      <c r="AH925" s="304">
        <f t="shared" ca="1" si="434"/>
        <v>-8.5091701650471787</v>
      </c>
    </row>
    <row r="926" spans="1:34" x14ac:dyDescent="0.2">
      <c r="A926" s="347">
        <f t="shared" ca="1" si="412"/>
        <v>1E-4</v>
      </c>
      <c r="B926" s="304">
        <f t="shared" ca="1" si="413"/>
        <v>29.254000000000023</v>
      </c>
      <c r="D926" s="306">
        <f t="shared" ca="1" si="414"/>
        <v>-0.73039606462486151</v>
      </c>
      <c r="E926" s="307">
        <f t="shared" ca="1" si="415"/>
        <v>-1.3322057801744105</v>
      </c>
      <c r="F926" s="304">
        <f t="shared" ca="1" si="416"/>
        <v>1.5192928131040424</v>
      </c>
      <c r="G926" s="306">
        <f t="shared" ca="1" si="417"/>
        <v>9.2008333749140938</v>
      </c>
      <c r="H926" s="307">
        <f t="shared" ca="1" si="418"/>
        <v>-106.79615115673965</v>
      </c>
      <c r="I926" s="304">
        <f t="shared" ca="1" si="419"/>
        <v>107.19175918271944</v>
      </c>
      <c r="J926" s="306">
        <f t="shared" ca="1" si="420"/>
        <v>746.86410190403069</v>
      </c>
      <c r="K926" s="307">
        <f t="shared" ca="1" si="421"/>
        <v>-8.0123385157075315</v>
      </c>
      <c r="L926" s="304">
        <f t="shared" ca="1" si="406"/>
        <v>746.90707874634882</v>
      </c>
      <c r="M926" s="306">
        <f t="shared" ca="1" si="422"/>
        <v>-1.4848553064980681</v>
      </c>
      <c r="N926" s="304">
        <f t="shared" ca="1" si="423"/>
        <v>-85.07594224994358</v>
      </c>
      <c r="P926" s="310">
        <f t="shared" ca="1" si="424"/>
        <v>23</v>
      </c>
      <c r="Q926" s="304">
        <f t="shared" ca="1" si="425"/>
        <v>0</v>
      </c>
      <c r="R926" s="306">
        <f t="shared" ca="1" si="426"/>
        <v>0</v>
      </c>
      <c r="S926" s="307">
        <f t="shared" ca="1" si="427"/>
        <v>5.083000000000002</v>
      </c>
      <c r="T926" s="304">
        <f t="shared" ca="1" si="407"/>
        <v>49.86423000000002</v>
      </c>
      <c r="U926" s="311">
        <f t="shared" ca="1" si="408"/>
        <v>0</v>
      </c>
      <c r="V926" s="306">
        <f t="shared" ca="1" si="409"/>
        <v>1.2259819048358707</v>
      </c>
      <c r="W926" s="304">
        <f t="shared" ca="1" si="410"/>
        <v>43.252408442324182</v>
      </c>
      <c r="Y926" s="314" t="str">
        <f t="shared" ca="1" si="428"/>
        <v/>
      </c>
      <c r="Z926" s="315" t="str">
        <f t="shared" ca="1" si="429"/>
        <v/>
      </c>
      <c r="AA926" s="316" t="str">
        <f t="shared" ca="1" si="430"/>
        <v/>
      </c>
      <c r="AC926" s="310" t="e">
        <f t="shared" ca="1" si="431"/>
        <v>#N/A</v>
      </c>
      <c r="AD926" s="323" t="e">
        <f t="shared" ca="1" si="432"/>
        <v>#N/A</v>
      </c>
      <c r="AE926" s="324" t="e">
        <f t="shared" ca="1" si="411"/>
        <v>#N/A</v>
      </c>
      <c r="AG926" s="306">
        <f t="shared" ca="1" si="433"/>
        <v>1.264594662048216</v>
      </c>
      <c r="AH926" s="304">
        <f t="shared" ca="1" si="434"/>
        <v>-8.5091993304263163</v>
      </c>
    </row>
    <row r="927" spans="1:34" x14ac:dyDescent="0.2">
      <c r="A927" s="347">
        <f t="shared" ca="1" si="412"/>
        <v>1E-4</v>
      </c>
      <c r="B927" s="304">
        <f t="shared" ca="1" si="413"/>
        <v>29.254100000000022</v>
      </c>
      <c r="D927" s="306">
        <f t="shared" ca="1" si="414"/>
        <v>-0.73039190822647404</v>
      </c>
      <c r="E927" s="307">
        <f t="shared" ca="1" si="415"/>
        <v>-1.3321761490336304</v>
      </c>
      <c r="F927" s="304">
        <f t="shared" ca="1" si="416"/>
        <v>1.5192648326268807</v>
      </c>
      <c r="G927" s="306">
        <f t="shared" ca="1" si="417"/>
        <v>9.2007603357232703</v>
      </c>
      <c r="H927" s="307">
        <f t="shared" ca="1" si="418"/>
        <v>-106.79628437435456</v>
      </c>
      <c r="I927" s="304">
        <f t="shared" ca="1" si="419"/>
        <v>107.19188563936837</v>
      </c>
      <c r="J927" s="306">
        <f t="shared" ca="1" si="420"/>
        <v>746.86410190403069</v>
      </c>
      <c r="K927" s="307">
        <f t="shared" ca="1" si="421"/>
        <v>-8.0230181374840868</v>
      </c>
      <c r="L927" s="304">
        <f t="shared" ca="1" si="406"/>
        <v>746.9071933868014</v>
      </c>
      <c r="M927" s="306">
        <f t="shared" ca="1" si="422"/>
        <v>-1.4848560920463154</v>
      </c>
      <c r="N927" s="304">
        <f t="shared" ca="1" si="423"/>
        <v>-85.075987258542753</v>
      </c>
      <c r="P927" s="310">
        <f t="shared" ca="1" si="424"/>
        <v>23</v>
      </c>
      <c r="Q927" s="304">
        <f t="shared" ca="1" si="425"/>
        <v>0</v>
      </c>
      <c r="R927" s="306">
        <f t="shared" ca="1" si="426"/>
        <v>0</v>
      </c>
      <c r="S927" s="307">
        <f t="shared" ca="1" si="427"/>
        <v>5.083000000000002</v>
      </c>
      <c r="T927" s="304">
        <f t="shared" ca="1" si="407"/>
        <v>49.86423000000002</v>
      </c>
      <c r="U927" s="311">
        <f t="shared" ca="1" si="408"/>
        <v>0</v>
      </c>
      <c r="V927" s="306">
        <f t="shared" ca="1" si="409"/>
        <v>1.2259832141390854</v>
      </c>
      <c r="W927" s="304">
        <f t="shared" ca="1" si="410"/>
        <v>43.252556686236488</v>
      </c>
      <c r="Y927" s="314" t="str">
        <f t="shared" ca="1" si="428"/>
        <v/>
      </c>
      <c r="Z927" s="315" t="str">
        <f t="shared" ca="1" si="429"/>
        <v/>
      </c>
      <c r="AA927" s="316" t="str">
        <f t="shared" ca="1" si="430"/>
        <v/>
      </c>
      <c r="AC927" s="310" t="e">
        <f t="shared" ca="1" si="431"/>
        <v>#N/A</v>
      </c>
      <c r="AD927" s="323" t="e">
        <f t="shared" ca="1" si="432"/>
        <v>#N/A</v>
      </c>
      <c r="AE927" s="324" t="e">
        <f t="shared" ca="1" si="411"/>
        <v>#N/A</v>
      </c>
      <c r="AG927" s="306">
        <f t="shared" ca="1" si="433"/>
        <v>1.2645661585100108</v>
      </c>
      <c r="AH927" s="304">
        <f t="shared" ca="1" si="434"/>
        <v>-8.5092284954405208</v>
      </c>
    </row>
    <row r="928" spans="1:34" x14ac:dyDescent="0.2">
      <c r="A928" s="347">
        <f t="shared" ca="1" si="412"/>
        <v>1E-4</v>
      </c>
      <c r="B928" s="304">
        <f t="shared" ca="1" si="413"/>
        <v>29.254200000000022</v>
      </c>
      <c r="D928" s="306">
        <f t="shared" ca="1" si="414"/>
        <v>-0.73038775181924243</v>
      </c>
      <c r="E928" s="307">
        <f t="shared" ca="1" si="415"/>
        <v>-1.3321465182636345</v>
      </c>
      <c r="F928" s="304">
        <f t="shared" ca="1" si="416"/>
        <v>1.5192368525445568</v>
      </c>
      <c r="G928" s="306">
        <f t="shared" ca="1" si="417"/>
        <v>9.2006872969480877</v>
      </c>
      <c r="H928" s="307">
        <f t="shared" ca="1" si="418"/>
        <v>-106.79641758900638</v>
      </c>
      <c r="I928" s="304">
        <f t="shared" ca="1" si="419"/>
        <v>107.19201209316697</v>
      </c>
      <c r="J928" s="306">
        <f t="shared" ca="1" si="420"/>
        <v>746.86410190403069</v>
      </c>
      <c r="K928" s="307">
        <f t="shared" ca="1" si="421"/>
        <v>-8.0336977725822543</v>
      </c>
      <c r="L928" s="304">
        <f t="shared" ca="1" si="406"/>
        <v>746.9073081800816</v>
      </c>
      <c r="M928" s="306">
        <f t="shared" ca="1" si="422"/>
        <v>-1.4848568775864732</v>
      </c>
      <c r="N928" s="304">
        <f t="shared" ca="1" si="423"/>
        <v>-85.076032266678439</v>
      </c>
      <c r="P928" s="310">
        <f t="shared" ca="1" si="424"/>
        <v>23</v>
      </c>
      <c r="Q928" s="304">
        <f t="shared" ca="1" si="425"/>
        <v>0</v>
      </c>
      <c r="R928" s="306">
        <f t="shared" ca="1" si="426"/>
        <v>0</v>
      </c>
      <c r="S928" s="307">
        <f t="shared" ca="1" si="427"/>
        <v>5.083000000000002</v>
      </c>
      <c r="T928" s="304">
        <f t="shared" ca="1" si="407"/>
        <v>49.86423000000002</v>
      </c>
      <c r="U928" s="311">
        <f t="shared" ca="1" si="408"/>
        <v>0</v>
      </c>
      <c r="V928" s="306">
        <f t="shared" ca="1" si="409"/>
        <v>1.2259845234453319</v>
      </c>
      <c r="W928" s="304">
        <f t="shared" ca="1" si="410"/>
        <v>43.252704928293873</v>
      </c>
      <c r="Y928" s="314" t="str">
        <f t="shared" ca="1" si="428"/>
        <v/>
      </c>
      <c r="Z928" s="315" t="str">
        <f t="shared" ca="1" si="429"/>
        <v/>
      </c>
      <c r="AA928" s="316" t="str">
        <f t="shared" ca="1" si="430"/>
        <v/>
      </c>
      <c r="AC928" s="310" t="e">
        <f t="shared" ca="1" si="431"/>
        <v>#N/A</v>
      </c>
      <c r="AD928" s="323" t="e">
        <f t="shared" ca="1" si="432"/>
        <v>#N/A</v>
      </c>
      <c r="AE928" s="324" t="e">
        <f t="shared" ca="1" si="411"/>
        <v>#N/A</v>
      </c>
      <c r="AG928" s="306">
        <f t="shared" ca="1" si="433"/>
        <v>1.2645376553238847</v>
      </c>
      <c r="AH928" s="304">
        <f t="shared" ca="1" si="434"/>
        <v>-8.5092576600898031</v>
      </c>
    </row>
    <row r="929" spans="1:34" x14ac:dyDescent="0.2">
      <c r="A929" s="347">
        <f t="shared" ca="1" si="412"/>
        <v>1E-4</v>
      </c>
      <c r="B929" s="304">
        <f t="shared" ca="1" si="413"/>
        <v>29.254300000000022</v>
      </c>
      <c r="D929" s="306">
        <f t="shared" ca="1" si="414"/>
        <v>-0.73038359540316777</v>
      </c>
      <c r="E929" s="307">
        <f t="shared" ca="1" si="415"/>
        <v>-1.3321168878644229</v>
      </c>
      <c r="F929" s="304">
        <f t="shared" ca="1" si="416"/>
        <v>1.5192088728570716</v>
      </c>
      <c r="G929" s="306">
        <f t="shared" ca="1" si="417"/>
        <v>9.2006142585885478</v>
      </c>
      <c r="H929" s="307">
        <f t="shared" ca="1" si="418"/>
        <v>-106.79655080069517</v>
      </c>
      <c r="I929" s="304">
        <f t="shared" ca="1" si="419"/>
        <v>107.19213854411529</v>
      </c>
      <c r="J929" s="306">
        <f t="shared" ca="1" si="420"/>
        <v>746.86410190403069</v>
      </c>
      <c r="K929" s="307">
        <f t="shared" ca="1" si="421"/>
        <v>-8.0443774210017391</v>
      </c>
      <c r="L929" s="304">
        <f t="shared" ca="1" si="406"/>
        <v>746.90742312619022</v>
      </c>
      <c r="M929" s="306">
        <f t="shared" ca="1" si="422"/>
        <v>-1.4848576631185419</v>
      </c>
      <c r="N929" s="304">
        <f t="shared" ca="1" si="423"/>
        <v>-85.076077274350652</v>
      </c>
      <c r="P929" s="310">
        <f t="shared" ca="1" si="424"/>
        <v>23</v>
      </c>
      <c r="Q929" s="304">
        <f t="shared" ca="1" si="425"/>
        <v>0</v>
      </c>
      <c r="R929" s="306">
        <f t="shared" ca="1" si="426"/>
        <v>0</v>
      </c>
      <c r="S929" s="307">
        <f t="shared" ca="1" si="427"/>
        <v>5.083000000000002</v>
      </c>
      <c r="T929" s="304">
        <f t="shared" ca="1" si="407"/>
        <v>49.86423000000002</v>
      </c>
      <c r="U929" s="311">
        <f t="shared" ca="1" si="408"/>
        <v>0</v>
      </c>
      <c r="V929" s="306">
        <f t="shared" ca="1" si="409"/>
        <v>1.2259858327546107</v>
      </c>
      <c r="W929" s="304">
        <f t="shared" ca="1" si="410"/>
        <v>43.252853168496387</v>
      </c>
      <c r="Y929" s="314" t="str">
        <f t="shared" ca="1" si="428"/>
        <v/>
      </c>
      <c r="Z929" s="315" t="str">
        <f t="shared" ca="1" si="429"/>
        <v/>
      </c>
      <c r="AA929" s="316" t="str">
        <f t="shared" ca="1" si="430"/>
        <v/>
      </c>
      <c r="AC929" s="310" t="e">
        <f t="shared" ca="1" si="431"/>
        <v>#N/A</v>
      </c>
      <c r="AD929" s="323" t="e">
        <f t="shared" ca="1" si="432"/>
        <v>#N/A</v>
      </c>
      <c r="AE929" s="324" t="e">
        <f t="shared" ca="1" si="411"/>
        <v>#N/A</v>
      </c>
      <c r="AG929" s="306">
        <f t="shared" ca="1" si="433"/>
        <v>1.2645091524898415</v>
      </c>
      <c r="AH929" s="304">
        <f t="shared" ca="1" si="434"/>
        <v>-8.5092868243741595</v>
      </c>
    </row>
    <row r="930" spans="1:34" x14ac:dyDescent="0.2">
      <c r="A930" s="347">
        <f t="shared" ca="1" si="412"/>
        <v>1E-4</v>
      </c>
      <c r="B930" s="304">
        <f t="shared" ca="1" si="413"/>
        <v>29.254400000000022</v>
      </c>
      <c r="D930" s="306">
        <f t="shared" ca="1" si="414"/>
        <v>-0.73037943897824886</v>
      </c>
      <c r="E930" s="307">
        <f t="shared" ca="1" si="415"/>
        <v>-1.3320872578359886</v>
      </c>
      <c r="F930" s="304">
        <f t="shared" ca="1" si="416"/>
        <v>1.5191808935644184</v>
      </c>
      <c r="G930" s="306">
        <f t="shared" ca="1" si="417"/>
        <v>9.2005412206446504</v>
      </c>
      <c r="H930" s="307">
        <f t="shared" ca="1" si="418"/>
        <v>-106.79668400942096</v>
      </c>
      <c r="I930" s="304">
        <f t="shared" ca="1" si="419"/>
        <v>107.19226499221337</v>
      </c>
      <c r="J930" s="306">
        <f t="shared" ca="1" si="420"/>
        <v>746.86410190403069</v>
      </c>
      <c r="K930" s="307">
        <f t="shared" ca="1" si="421"/>
        <v>-8.0550570827422447</v>
      </c>
      <c r="L930" s="304">
        <f t="shared" ca="1" si="406"/>
        <v>746.90753822512772</v>
      </c>
      <c r="M930" s="306">
        <f t="shared" ca="1" si="422"/>
        <v>-1.4848584486425216</v>
      </c>
      <c r="N930" s="304">
        <f t="shared" ca="1" si="423"/>
        <v>-85.076122281559392</v>
      </c>
      <c r="P930" s="310">
        <f t="shared" ca="1" si="424"/>
        <v>23</v>
      </c>
      <c r="Q930" s="304">
        <f t="shared" ca="1" si="425"/>
        <v>0</v>
      </c>
      <c r="R930" s="306">
        <f t="shared" ca="1" si="426"/>
        <v>0</v>
      </c>
      <c r="S930" s="307">
        <f t="shared" ca="1" si="427"/>
        <v>5.083000000000002</v>
      </c>
      <c r="T930" s="304">
        <f t="shared" ca="1" si="407"/>
        <v>49.86423000000002</v>
      </c>
      <c r="U930" s="311">
        <f t="shared" ca="1" si="408"/>
        <v>0</v>
      </c>
      <c r="V930" s="306">
        <f t="shared" ca="1" si="409"/>
        <v>1.2259871420669211</v>
      </c>
      <c r="W930" s="304">
        <f t="shared" ca="1" si="410"/>
        <v>43.253001406843985</v>
      </c>
      <c r="Y930" s="314" t="str">
        <f t="shared" ca="1" si="428"/>
        <v/>
      </c>
      <c r="Z930" s="315" t="str">
        <f t="shared" ca="1" si="429"/>
        <v/>
      </c>
      <c r="AA930" s="316" t="str">
        <f t="shared" ca="1" si="430"/>
        <v/>
      </c>
      <c r="AC930" s="310" t="e">
        <f t="shared" ca="1" si="431"/>
        <v>#N/A</v>
      </c>
      <c r="AD930" s="323" t="e">
        <f t="shared" ca="1" si="432"/>
        <v>#N/A</v>
      </c>
      <c r="AE930" s="324" t="e">
        <f t="shared" ca="1" si="411"/>
        <v>#N/A</v>
      </c>
      <c r="AG930" s="306">
        <f t="shared" ca="1" si="433"/>
        <v>1.2644806500078705</v>
      </c>
      <c r="AH930" s="304">
        <f t="shared" ca="1" si="434"/>
        <v>-8.5093159882936007</v>
      </c>
    </row>
    <row r="931" spans="1:34" x14ac:dyDescent="0.2">
      <c r="A931" s="347">
        <f t="shared" ca="1" si="412"/>
        <v>1E-4</v>
      </c>
      <c r="B931" s="304">
        <f t="shared" ca="1" si="413"/>
        <v>29.254500000000021</v>
      </c>
      <c r="D931" s="306">
        <f t="shared" ca="1" si="414"/>
        <v>-0.73037528254448636</v>
      </c>
      <c r="E931" s="307">
        <f t="shared" ca="1" si="415"/>
        <v>-1.3320576281783403</v>
      </c>
      <c r="F931" s="304">
        <f t="shared" ca="1" si="416"/>
        <v>1.5191529146666058</v>
      </c>
      <c r="G931" s="306">
        <f t="shared" ca="1" si="417"/>
        <v>9.2004681831163957</v>
      </c>
      <c r="H931" s="307">
        <f t="shared" ca="1" si="418"/>
        <v>-106.79681721518378</v>
      </c>
      <c r="I931" s="304">
        <f t="shared" ca="1" si="419"/>
        <v>107.19239143746123</v>
      </c>
      <c r="J931" s="306">
        <f t="shared" ca="1" si="420"/>
        <v>746.86410190403069</v>
      </c>
      <c r="K931" s="307">
        <f t="shared" ca="1" si="421"/>
        <v>-8.0657367578034744</v>
      </c>
      <c r="L931" s="304">
        <f t="shared" ca="1" si="406"/>
        <v>746.90765347689432</v>
      </c>
      <c r="M931" s="306">
        <f t="shared" ca="1" si="422"/>
        <v>-1.4848592341584121</v>
      </c>
      <c r="N931" s="304">
        <f t="shared" ca="1" si="423"/>
        <v>-85.07616728830466</v>
      </c>
      <c r="P931" s="310">
        <f t="shared" ca="1" si="424"/>
        <v>23</v>
      </c>
      <c r="Q931" s="304">
        <f t="shared" ca="1" si="425"/>
        <v>0</v>
      </c>
      <c r="R931" s="306">
        <f t="shared" ca="1" si="426"/>
        <v>0</v>
      </c>
      <c r="S931" s="307">
        <f t="shared" ca="1" si="427"/>
        <v>5.083000000000002</v>
      </c>
      <c r="T931" s="304">
        <f t="shared" ca="1" si="407"/>
        <v>49.86423000000002</v>
      </c>
      <c r="U931" s="311">
        <f t="shared" ca="1" si="408"/>
        <v>0</v>
      </c>
      <c r="V931" s="306">
        <f t="shared" ca="1" si="409"/>
        <v>1.2259884513822632</v>
      </c>
      <c r="W931" s="304">
        <f t="shared" ca="1" si="410"/>
        <v>43.253149643336712</v>
      </c>
      <c r="Y931" s="314" t="str">
        <f t="shared" ca="1" si="428"/>
        <v/>
      </c>
      <c r="Z931" s="315" t="str">
        <f t="shared" ca="1" si="429"/>
        <v/>
      </c>
      <c r="AA931" s="316" t="str">
        <f t="shared" ca="1" si="430"/>
        <v/>
      </c>
      <c r="AC931" s="310" t="e">
        <f t="shared" ca="1" si="431"/>
        <v>#N/A</v>
      </c>
      <c r="AD931" s="323" t="e">
        <f t="shared" ca="1" si="432"/>
        <v>#N/A</v>
      </c>
      <c r="AE931" s="324" t="e">
        <f t="shared" ca="1" si="411"/>
        <v>#N/A</v>
      </c>
      <c r="AG931" s="306">
        <f t="shared" ca="1" si="433"/>
        <v>1.2644521478779858</v>
      </c>
      <c r="AH931" s="304">
        <f t="shared" ca="1" si="434"/>
        <v>-8.5093451518481142</v>
      </c>
    </row>
    <row r="932" spans="1:34" x14ac:dyDescent="0.2">
      <c r="A932" s="347">
        <f t="shared" ca="1" si="412"/>
        <v>1E-4</v>
      </c>
      <c r="B932" s="304">
        <f t="shared" ca="1" si="413"/>
        <v>29.254600000000021</v>
      </c>
      <c r="D932" s="306">
        <f t="shared" ca="1" si="414"/>
        <v>-0.73037112610188282</v>
      </c>
      <c r="E932" s="307">
        <f t="shared" ca="1" si="415"/>
        <v>-1.3320279988914692</v>
      </c>
      <c r="F932" s="304">
        <f t="shared" ca="1" si="416"/>
        <v>1.519124936163627</v>
      </c>
      <c r="G932" s="306">
        <f t="shared" ca="1" si="417"/>
        <v>9.2003951460037854</v>
      </c>
      <c r="H932" s="307">
        <f t="shared" ca="1" si="418"/>
        <v>-106.79695041798367</v>
      </c>
      <c r="I932" s="304">
        <f t="shared" ca="1" si="419"/>
        <v>107.19251787985891</v>
      </c>
      <c r="J932" s="306">
        <f t="shared" ca="1" si="420"/>
        <v>746.86410190403069</v>
      </c>
      <c r="K932" s="307">
        <f t="shared" ca="1" si="421"/>
        <v>-8.0764164461851333</v>
      </c>
      <c r="L932" s="304">
        <f t="shared" ca="1" si="406"/>
        <v>746.90776888149082</v>
      </c>
      <c r="M932" s="306">
        <f t="shared" ca="1" si="422"/>
        <v>-1.4848600196662138</v>
      </c>
      <c r="N932" s="304">
        <f t="shared" ca="1" si="423"/>
        <v>-85.076212294586469</v>
      </c>
      <c r="P932" s="310">
        <f t="shared" ca="1" si="424"/>
        <v>23</v>
      </c>
      <c r="Q932" s="304">
        <f t="shared" ca="1" si="425"/>
        <v>0</v>
      </c>
      <c r="R932" s="306">
        <f t="shared" ca="1" si="426"/>
        <v>0</v>
      </c>
      <c r="S932" s="307">
        <f t="shared" ca="1" si="427"/>
        <v>5.083000000000002</v>
      </c>
      <c r="T932" s="304">
        <f t="shared" ca="1" si="407"/>
        <v>49.86423000000002</v>
      </c>
      <c r="U932" s="311">
        <f t="shared" ca="1" si="408"/>
        <v>0</v>
      </c>
      <c r="V932" s="306">
        <f t="shared" ca="1" si="409"/>
        <v>1.2259897607006376</v>
      </c>
      <c r="W932" s="304">
        <f t="shared" ca="1" si="410"/>
        <v>43.25329787797461</v>
      </c>
      <c r="Y932" s="314" t="str">
        <f t="shared" ca="1" si="428"/>
        <v/>
      </c>
      <c r="Z932" s="315" t="str">
        <f t="shared" ca="1" si="429"/>
        <v/>
      </c>
      <c r="AA932" s="316" t="str">
        <f t="shared" ca="1" si="430"/>
        <v/>
      </c>
      <c r="AC932" s="310" t="e">
        <f t="shared" ca="1" si="431"/>
        <v>#N/A</v>
      </c>
      <c r="AD932" s="323" t="e">
        <f t="shared" ca="1" si="432"/>
        <v>#N/A</v>
      </c>
      <c r="AE932" s="324" t="e">
        <f t="shared" ca="1" si="411"/>
        <v>#N/A</v>
      </c>
      <c r="AG932" s="306">
        <f t="shared" ca="1" si="433"/>
        <v>1.264423646100175</v>
      </c>
      <c r="AH932" s="304">
        <f t="shared" ca="1" si="434"/>
        <v>-8.5093743150377126</v>
      </c>
    </row>
    <row r="933" spans="1:34" x14ac:dyDescent="0.2">
      <c r="A933" s="347">
        <f t="shared" ca="1" si="412"/>
        <v>1E-4</v>
      </c>
      <c r="B933" s="304">
        <f t="shared" ca="1" si="413"/>
        <v>29.254700000000021</v>
      </c>
      <c r="D933" s="306">
        <f t="shared" ca="1" si="414"/>
        <v>-0.73036696965043835</v>
      </c>
      <c r="E933" s="307">
        <f t="shared" ca="1" si="415"/>
        <v>-1.3319983699753646</v>
      </c>
      <c r="F933" s="304">
        <f t="shared" ca="1" si="416"/>
        <v>1.5190969580554732</v>
      </c>
      <c r="G933" s="306">
        <f t="shared" ca="1" si="417"/>
        <v>9.2003221093068195</v>
      </c>
      <c r="H933" s="307">
        <f t="shared" ca="1" si="418"/>
        <v>-106.79708361782066</v>
      </c>
      <c r="I933" s="304">
        <f t="shared" ca="1" si="419"/>
        <v>107.19264431940644</v>
      </c>
      <c r="J933" s="306">
        <f t="shared" ca="1" si="420"/>
        <v>746.86410190403069</v>
      </c>
      <c r="K933" s="307">
        <f t="shared" ca="1" si="421"/>
        <v>-8.087096147886923</v>
      </c>
      <c r="L933" s="304">
        <f t="shared" ca="1" si="406"/>
        <v>746.90788443891756</v>
      </c>
      <c r="M933" s="306">
        <f t="shared" ca="1" si="422"/>
        <v>-1.4848608051659267</v>
      </c>
      <c r="N933" s="304">
        <f t="shared" ca="1" si="423"/>
        <v>-85.076257300404819</v>
      </c>
      <c r="P933" s="310">
        <f t="shared" ca="1" si="424"/>
        <v>23</v>
      </c>
      <c r="Q933" s="304">
        <f t="shared" ca="1" si="425"/>
        <v>0</v>
      </c>
      <c r="R933" s="306">
        <f t="shared" ca="1" si="426"/>
        <v>0</v>
      </c>
      <c r="S933" s="307">
        <f t="shared" ca="1" si="427"/>
        <v>5.083000000000002</v>
      </c>
      <c r="T933" s="304">
        <f t="shared" ca="1" si="407"/>
        <v>49.86423000000002</v>
      </c>
      <c r="U933" s="311">
        <f t="shared" ca="1" si="408"/>
        <v>0</v>
      </c>
      <c r="V933" s="306">
        <f t="shared" ca="1" si="409"/>
        <v>1.225991070022044</v>
      </c>
      <c r="W933" s="304">
        <f t="shared" ca="1" si="410"/>
        <v>43.25344611075765</v>
      </c>
      <c r="Y933" s="314" t="str">
        <f t="shared" ca="1" si="428"/>
        <v/>
      </c>
      <c r="Z933" s="315" t="str">
        <f t="shared" ca="1" si="429"/>
        <v/>
      </c>
      <c r="AA933" s="316" t="str">
        <f t="shared" ca="1" si="430"/>
        <v/>
      </c>
      <c r="AC933" s="310" t="e">
        <f t="shared" ca="1" si="431"/>
        <v>#N/A</v>
      </c>
      <c r="AD933" s="323" t="e">
        <f t="shared" ca="1" si="432"/>
        <v>#N/A</v>
      </c>
      <c r="AE933" s="324" t="e">
        <f t="shared" ca="1" si="411"/>
        <v>#N/A</v>
      </c>
      <c r="AG933" s="306">
        <f t="shared" ca="1" si="433"/>
        <v>1.2643951446744293</v>
      </c>
      <c r="AH933" s="304">
        <f t="shared" ca="1" si="434"/>
        <v>-8.5094034778624028</v>
      </c>
    </row>
    <row r="934" spans="1:34" x14ac:dyDescent="0.2">
      <c r="A934" s="347">
        <f t="shared" ca="1" si="412"/>
        <v>1E-4</v>
      </c>
      <c r="B934" s="304">
        <f t="shared" ca="1" si="413"/>
        <v>29.254800000000021</v>
      </c>
      <c r="D934" s="306">
        <f t="shared" ca="1" si="414"/>
        <v>-0.73036281319015428</v>
      </c>
      <c r="E934" s="307">
        <f t="shared" ca="1" si="415"/>
        <v>-1.3319687414300336</v>
      </c>
      <c r="F934" s="304">
        <f t="shared" ca="1" si="416"/>
        <v>1.5190689803421515</v>
      </c>
      <c r="G934" s="306">
        <f t="shared" ca="1" si="417"/>
        <v>9.2002490730254998</v>
      </c>
      <c r="H934" s="307">
        <f t="shared" ca="1" si="418"/>
        <v>-106.79721681469481</v>
      </c>
      <c r="I934" s="304">
        <f t="shared" ca="1" si="419"/>
        <v>107.19277075610387</v>
      </c>
      <c r="J934" s="306">
        <f t="shared" ca="1" si="420"/>
        <v>746.86410190403069</v>
      </c>
      <c r="K934" s="307">
        <f t="shared" ca="1" si="421"/>
        <v>-8.0977758629085486</v>
      </c>
      <c r="L934" s="304">
        <f t="shared" ca="1" si="406"/>
        <v>746.90800014917511</v>
      </c>
      <c r="M934" s="306">
        <f t="shared" ca="1" si="422"/>
        <v>-1.4848615906575509</v>
      </c>
      <c r="N934" s="304">
        <f t="shared" ca="1" si="423"/>
        <v>-85.076302305759739</v>
      </c>
      <c r="P934" s="310">
        <f t="shared" ca="1" si="424"/>
        <v>23</v>
      </c>
      <c r="Q934" s="304">
        <f t="shared" ca="1" si="425"/>
        <v>0</v>
      </c>
      <c r="R934" s="306">
        <f t="shared" ca="1" si="426"/>
        <v>0</v>
      </c>
      <c r="S934" s="307">
        <f t="shared" ca="1" si="427"/>
        <v>5.083000000000002</v>
      </c>
      <c r="T934" s="304">
        <f t="shared" ca="1" si="407"/>
        <v>49.86423000000002</v>
      </c>
      <c r="U934" s="311">
        <f t="shared" ca="1" si="408"/>
        <v>0</v>
      </c>
      <c r="V934" s="306">
        <f t="shared" ca="1" si="409"/>
        <v>1.2259923793464824</v>
      </c>
      <c r="W934" s="304">
        <f t="shared" ca="1" si="410"/>
        <v>43.253594341685869</v>
      </c>
      <c r="Y934" s="314" t="str">
        <f t="shared" ca="1" si="428"/>
        <v/>
      </c>
      <c r="Z934" s="315" t="str">
        <f t="shared" ca="1" si="429"/>
        <v/>
      </c>
      <c r="AA934" s="316" t="str">
        <f t="shared" ca="1" si="430"/>
        <v/>
      </c>
      <c r="AC934" s="310" t="e">
        <f t="shared" ca="1" si="431"/>
        <v>#N/A</v>
      </c>
      <c r="AD934" s="323" t="e">
        <f t="shared" ca="1" si="432"/>
        <v>#N/A</v>
      </c>
      <c r="AE934" s="324" t="e">
        <f t="shared" ca="1" si="411"/>
        <v>#N/A</v>
      </c>
      <c r="AG934" s="306">
        <f t="shared" ca="1" si="433"/>
        <v>1.2643666436007592</v>
      </c>
      <c r="AH934" s="304">
        <f t="shared" ca="1" si="434"/>
        <v>-8.5094326403221778</v>
      </c>
    </row>
    <row r="935" spans="1:34" x14ac:dyDescent="0.2">
      <c r="A935" s="347">
        <f t="shared" ca="1" si="412"/>
        <v>1E-4</v>
      </c>
      <c r="B935" s="304">
        <f t="shared" ca="1" si="413"/>
        <v>29.254900000000021</v>
      </c>
      <c r="D935" s="306">
        <f t="shared" ca="1" si="414"/>
        <v>-0.73035865672103073</v>
      </c>
      <c r="E935" s="307">
        <f t="shared" ca="1" si="415"/>
        <v>-1.3319391132554728</v>
      </c>
      <c r="F935" s="304">
        <f t="shared" ca="1" si="416"/>
        <v>1.5190410030236587</v>
      </c>
      <c r="G935" s="306">
        <f t="shared" ca="1" si="417"/>
        <v>9.200176037159828</v>
      </c>
      <c r="H935" s="307">
        <f t="shared" ca="1" si="418"/>
        <v>-106.79735000860613</v>
      </c>
      <c r="I935" s="304">
        <f t="shared" ca="1" si="419"/>
        <v>107.19289718995122</v>
      </c>
      <c r="J935" s="306">
        <f t="shared" ca="1" si="420"/>
        <v>746.86410190403069</v>
      </c>
      <c r="K935" s="307">
        <f t="shared" ca="1" si="421"/>
        <v>-8.1084555912497134</v>
      </c>
      <c r="L935" s="304">
        <f t="shared" ca="1" si="406"/>
        <v>746.90811601226392</v>
      </c>
      <c r="M935" s="306">
        <f t="shared" ca="1" si="422"/>
        <v>-1.4848623761410866</v>
      </c>
      <c r="N935" s="304">
        <f t="shared" ca="1" si="423"/>
        <v>-85.076347310651215</v>
      </c>
      <c r="P935" s="310">
        <f t="shared" ca="1" si="424"/>
        <v>23</v>
      </c>
      <c r="Q935" s="304">
        <f t="shared" ca="1" si="425"/>
        <v>0</v>
      </c>
      <c r="R935" s="306">
        <f t="shared" ca="1" si="426"/>
        <v>0</v>
      </c>
      <c r="S935" s="307">
        <f t="shared" ca="1" si="427"/>
        <v>5.083000000000002</v>
      </c>
      <c r="T935" s="304">
        <f t="shared" ca="1" si="407"/>
        <v>49.86423000000002</v>
      </c>
      <c r="U935" s="311">
        <f t="shared" ca="1" si="408"/>
        <v>0</v>
      </c>
      <c r="V935" s="306">
        <f t="shared" ca="1" si="409"/>
        <v>1.2259936886739522</v>
      </c>
      <c r="W935" s="304">
        <f t="shared" ca="1" si="410"/>
        <v>43.253742570759272</v>
      </c>
      <c r="Y935" s="314" t="str">
        <f t="shared" ca="1" si="428"/>
        <v/>
      </c>
      <c r="Z935" s="315" t="str">
        <f t="shared" ca="1" si="429"/>
        <v/>
      </c>
      <c r="AA935" s="316" t="str">
        <f t="shared" ca="1" si="430"/>
        <v/>
      </c>
      <c r="AC935" s="310" t="e">
        <f t="shared" ca="1" si="431"/>
        <v>#N/A</v>
      </c>
      <c r="AD935" s="323" t="e">
        <f t="shared" ca="1" si="432"/>
        <v>#N/A</v>
      </c>
      <c r="AE935" s="324" t="e">
        <f t="shared" ca="1" si="411"/>
        <v>#N/A</v>
      </c>
      <c r="AG935" s="306">
        <f t="shared" ca="1" si="433"/>
        <v>1.2643381428791525</v>
      </c>
      <c r="AH935" s="304">
        <f t="shared" ca="1" si="434"/>
        <v>-8.5094618024170465</v>
      </c>
    </row>
    <row r="936" spans="1:34" x14ac:dyDescent="0.2">
      <c r="A936" s="347">
        <f t="shared" ca="1" si="412"/>
        <v>1E-4</v>
      </c>
      <c r="B936" s="304">
        <f t="shared" ca="1" si="413"/>
        <v>29.25500000000002</v>
      </c>
      <c r="D936" s="306">
        <f t="shared" ca="1" si="414"/>
        <v>-0.73035450024306769</v>
      </c>
      <c r="E936" s="307">
        <f t="shared" ca="1" si="415"/>
        <v>-1.3319094854516731</v>
      </c>
      <c r="F936" s="304">
        <f t="shared" ca="1" si="416"/>
        <v>1.5190130260999877</v>
      </c>
      <c r="G936" s="306">
        <f t="shared" ca="1" si="417"/>
        <v>9.2001030017098042</v>
      </c>
      <c r="H936" s="307">
        <f t="shared" ca="1" si="418"/>
        <v>-106.79748319955468</v>
      </c>
      <c r="I936" s="304">
        <f t="shared" ca="1" si="419"/>
        <v>107.19302362094855</v>
      </c>
      <c r="J936" s="306">
        <f t="shared" ca="1" si="420"/>
        <v>746.86410190403069</v>
      </c>
      <c r="K936" s="307">
        <f t="shared" ca="1" si="421"/>
        <v>-8.1191353329101208</v>
      </c>
      <c r="L936" s="304">
        <f t="shared" ca="1" si="406"/>
        <v>746.90823202818456</v>
      </c>
      <c r="M936" s="306">
        <f t="shared" ca="1" si="422"/>
        <v>-1.4848631616165338</v>
      </c>
      <c r="N936" s="304">
        <f t="shared" ca="1" si="423"/>
        <v>-85.076392315079246</v>
      </c>
      <c r="P936" s="310">
        <f t="shared" ca="1" si="424"/>
        <v>23</v>
      </c>
      <c r="Q936" s="304">
        <f t="shared" ca="1" si="425"/>
        <v>0</v>
      </c>
      <c r="R936" s="306">
        <f t="shared" ca="1" si="426"/>
        <v>0</v>
      </c>
      <c r="S936" s="307">
        <f t="shared" ca="1" si="427"/>
        <v>5.083000000000002</v>
      </c>
      <c r="T936" s="304">
        <f t="shared" ca="1" si="407"/>
        <v>49.86423000000002</v>
      </c>
      <c r="U936" s="311">
        <f t="shared" ca="1" si="408"/>
        <v>0</v>
      </c>
      <c r="V936" s="306">
        <f t="shared" ca="1" si="409"/>
        <v>1.225994998004454</v>
      </c>
      <c r="W936" s="304">
        <f t="shared" ca="1" si="410"/>
        <v>43.253890797977867</v>
      </c>
      <c r="Y936" s="314" t="str">
        <f t="shared" ca="1" si="428"/>
        <v/>
      </c>
      <c r="Z936" s="315" t="str">
        <f t="shared" ca="1" si="429"/>
        <v/>
      </c>
      <c r="AA936" s="316" t="str">
        <f t="shared" ca="1" si="430"/>
        <v/>
      </c>
      <c r="AC936" s="310" t="e">
        <f t="shared" ca="1" si="431"/>
        <v>#N/A</v>
      </c>
      <c r="AD936" s="323" t="e">
        <f t="shared" ca="1" si="432"/>
        <v>#N/A</v>
      </c>
      <c r="AE936" s="324" t="e">
        <f t="shared" ca="1" si="411"/>
        <v>#N/A</v>
      </c>
      <c r="AG936" s="306">
        <f t="shared" ca="1" si="433"/>
        <v>1.2643096425096108</v>
      </c>
      <c r="AH936" s="304">
        <f t="shared" ca="1" si="434"/>
        <v>-8.5094909641470107</v>
      </c>
    </row>
    <row r="937" spans="1:34" x14ac:dyDescent="0.2">
      <c r="A937" s="347">
        <f t="shared" ca="1" si="412"/>
        <v>1E-4</v>
      </c>
      <c r="B937" s="304">
        <f t="shared" ca="1" si="413"/>
        <v>29.25510000000002</v>
      </c>
      <c r="D937" s="306">
        <f t="shared" ca="1" si="414"/>
        <v>-0.73035034375626862</v>
      </c>
      <c r="E937" s="307">
        <f t="shared" ca="1" si="415"/>
        <v>-1.3318798580186382</v>
      </c>
      <c r="F937" s="304">
        <f t="shared" ca="1" si="416"/>
        <v>1.518985049571143</v>
      </c>
      <c r="G937" s="306">
        <f t="shared" ca="1" si="417"/>
        <v>9.2000299666754284</v>
      </c>
      <c r="H937" s="307">
        <f t="shared" ca="1" si="418"/>
        <v>-106.79761638754047</v>
      </c>
      <c r="I937" s="304">
        <f t="shared" ca="1" si="419"/>
        <v>107.19315004909586</v>
      </c>
      <c r="J937" s="306">
        <f t="shared" ca="1" si="420"/>
        <v>746.86410190403069</v>
      </c>
      <c r="K937" s="307">
        <f t="shared" ca="1" si="421"/>
        <v>-8.1298150878894759</v>
      </c>
      <c r="L937" s="304">
        <f t="shared" ca="1" si="406"/>
        <v>746.90834819693748</v>
      </c>
      <c r="M937" s="306">
        <f t="shared" ca="1" si="422"/>
        <v>-1.4848639470838927</v>
      </c>
      <c r="N937" s="304">
        <f t="shared" ca="1" si="423"/>
        <v>-85.076437319043848</v>
      </c>
      <c r="P937" s="310">
        <f t="shared" ca="1" si="424"/>
        <v>23</v>
      </c>
      <c r="Q937" s="304">
        <f t="shared" ca="1" si="425"/>
        <v>0</v>
      </c>
      <c r="R937" s="306">
        <f t="shared" ca="1" si="426"/>
        <v>0</v>
      </c>
      <c r="S937" s="307">
        <f t="shared" ca="1" si="427"/>
        <v>5.083000000000002</v>
      </c>
      <c r="T937" s="304">
        <f t="shared" ca="1" si="407"/>
        <v>49.86423000000002</v>
      </c>
      <c r="U937" s="311">
        <f t="shared" ca="1" si="408"/>
        <v>0</v>
      </c>
      <c r="V937" s="306">
        <f t="shared" ca="1" si="409"/>
        <v>1.225996307337988</v>
      </c>
      <c r="W937" s="304">
        <f t="shared" ca="1" si="410"/>
        <v>43.25403902334169</v>
      </c>
      <c r="Y937" s="314" t="str">
        <f t="shared" ca="1" si="428"/>
        <v/>
      </c>
      <c r="Z937" s="315" t="str">
        <f t="shared" ca="1" si="429"/>
        <v/>
      </c>
      <c r="AA937" s="316" t="str">
        <f t="shared" ca="1" si="430"/>
        <v/>
      </c>
      <c r="AC937" s="310" t="e">
        <f t="shared" ca="1" si="431"/>
        <v>#N/A</v>
      </c>
      <c r="AD937" s="323" t="e">
        <f t="shared" ca="1" si="432"/>
        <v>#N/A</v>
      </c>
      <c r="AE937" s="324" t="e">
        <f t="shared" ca="1" si="411"/>
        <v>#N/A</v>
      </c>
      <c r="AG937" s="306">
        <f t="shared" ca="1" si="433"/>
        <v>1.2642811424921323</v>
      </c>
      <c r="AH937" s="304">
        <f t="shared" ca="1" si="434"/>
        <v>-8.5095201255120703</v>
      </c>
    </row>
    <row r="938" spans="1:34" x14ac:dyDescent="0.2">
      <c r="A938" s="347">
        <f t="shared" ca="1" si="412"/>
        <v>1E-4</v>
      </c>
      <c r="B938" s="304">
        <f t="shared" ca="1" si="413"/>
        <v>29.25520000000002</v>
      </c>
      <c r="D938" s="306">
        <f t="shared" ca="1" si="414"/>
        <v>-0.73034618726063194</v>
      </c>
      <c r="E938" s="307">
        <f t="shared" ca="1" si="415"/>
        <v>-1.3318502309563609</v>
      </c>
      <c r="F938" s="304">
        <f t="shared" ca="1" si="416"/>
        <v>1.5189570734371178</v>
      </c>
      <c r="G938" s="306">
        <f t="shared" ca="1" si="417"/>
        <v>9.1999569320567023</v>
      </c>
      <c r="H938" s="307">
        <f t="shared" ca="1" si="418"/>
        <v>-106.79774957256357</v>
      </c>
      <c r="I938" s="304">
        <f t="shared" ca="1" si="419"/>
        <v>107.19327647439322</v>
      </c>
      <c r="J938" s="306">
        <f t="shared" ca="1" si="420"/>
        <v>746.86410190403069</v>
      </c>
      <c r="K938" s="307">
        <f t="shared" ca="1" si="421"/>
        <v>-8.1404948561874804</v>
      </c>
      <c r="L938" s="304">
        <f t="shared" ca="1" si="406"/>
        <v>746.90846451852315</v>
      </c>
      <c r="M938" s="306">
        <f t="shared" ca="1" si="422"/>
        <v>-1.4848647325431632</v>
      </c>
      <c r="N938" s="304">
        <f t="shared" ca="1" si="423"/>
        <v>-85.076482322545033</v>
      </c>
      <c r="P938" s="310">
        <f t="shared" ca="1" si="424"/>
        <v>23</v>
      </c>
      <c r="Q938" s="304">
        <f t="shared" ca="1" si="425"/>
        <v>0</v>
      </c>
      <c r="R938" s="306">
        <f t="shared" ca="1" si="426"/>
        <v>0</v>
      </c>
      <c r="S938" s="307">
        <f t="shared" ca="1" si="427"/>
        <v>5.083000000000002</v>
      </c>
      <c r="T938" s="304">
        <f t="shared" ca="1" si="407"/>
        <v>49.86423000000002</v>
      </c>
      <c r="U938" s="311">
        <f t="shared" ca="1" si="408"/>
        <v>0</v>
      </c>
      <c r="V938" s="306">
        <f t="shared" ca="1" si="409"/>
        <v>1.2259976166745534</v>
      </c>
      <c r="W938" s="304">
        <f t="shared" ca="1" si="410"/>
        <v>43.254187246850719</v>
      </c>
      <c r="Y938" s="314" t="str">
        <f t="shared" ca="1" si="428"/>
        <v/>
      </c>
      <c r="Z938" s="315" t="str">
        <f t="shared" ca="1" si="429"/>
        <v/>
      </c>
      <c r="AA938" s="316" t="str">
        <f t="shared" ca="1" si="430"/>
        <v/>
      </c>
      <c r="AC938" s="310" t="e">
        <f t="shared" ca="1" si="431"/>
        <v>#N/A</v>
      </c>
      <c r="AD938" s="323" t="e">
        <f t="shared" ca="1" si="432"/>
        <v>#N/A</v>
      </c>
      <c r="AE938" s="324" t="e">
        <f t="shared" ca="1" si="411"/>
        <v>#N/A</v>
      </c>
      <c r="AG938" s="306">
        <f t="shared" ca="1" si="433"/>
        <v>1.2642526428267136</v>
      </c>
      <c r="AH938" s="304">
        <f t="shared" ca="1" si="434"/>
        <v>-8.5095492865122324</v>
      </c>
    </row>
    <row r="939" spans="1:34" x14ac:dyDescent="0.2">
      <c r="A939" s="347">
        <f t="shared" ca="1" si="412"/>
        <v>1E-4</v>
      </c>
      <c r="B939" s="304">
        <f t="shared" ca="1" si="413"/>
        <v>29.25530000000002</v>
      </c>
      <c r="D939" s="306">
        <f t="shared" ca="1" si="414"/>
        <v>-0.73034203075616067</v>
      </c>
      <c r="E939" s="307">
        <f t="shared" ca="1" si="415"/>
        <v>-1.3318206042648466</v>
      </c>
      <c r="F939" s="304">
        <f t="shared" ca="1" si="416"/>
        <v>1.5189290976979188</v>
      </c>
      <c r="G939" s="306">
        <f t="shared" ca="1" si="417"/>
        <v>9.1998838978536259</v>
      </c>
      <c r="H939" s="307">
        <f t="shared" ca="1" si="418"/>
        <v>-106.797882754624</v>
      </c>
      <c r="I939" s="304">
        <f t="shared" ca="1" si="419"/>
        <v>107.19340289684062</v>
      </c>
      <c r="J939" s="306">
        <f t="shared" ca="1" si="420"/>
        <v>746.86410190403069</v>
      </c>
      <c r="K939" s="307">
        <f t="shared" ca="1" si="421"/>
        <v>-8.1511746378038392</v>
      </c>
      <c r="L939" s="304">
        <f t="shared" ca="1" si="406"/>
        <v>746.90858099294201</v>
      </c>
      <c r="M939" s="306">
        <f t="shared" ca="1" si="422"/>
        <v>-1.4848655179943457</v>
      </c>
      <c r="N939" s="304">
        <f t="shared" ca="1" si="423"/>
        <v>-85.076527325582802</v>
      </c>
      <c r="P939" s="310">
        <f t="shared" ca="1" si="424"/>
        <v>23</v>
      </c>
      <c r="Q939" s="304">
        <f t="shared" ca="1" si="425"/>
        <v>0</v>
      </c>
      <c r="R939" s="306">
        <f t="shared" ca="1" si="426"/>
        <v>0</v>
      </c>
      <c r="S939" s="307">
        <f t="shared" ca="1" si="427"/>
        <v>5.083000000000002</v>
      </c>
      <c r="T939" s="304">
        <f t="shared" ca="1" si="407"/>
        <v>49.86423000000002</v>
      </c>
      <c r="U939" s="311">
        <f t="shared" ca="1" si="408"/>
        <v>0</v>
      </c>
      <c r="V939" s="306">
        <f t="shared" ca="1" si="409"/>
        <v>1.2259989260141508</v>
      </c>
      <c r="W939" s="304">
        <f t="shared" ca="1" si="410"/>
        <v>43.254335468504991</v>
      </c>
      <c r="Y939" s="314" t="str">
        <f t="shared" ca="1" si="428"/>
        <v/>
      </c>
      <c r="Z939" s="315" t="str">
        <f t="shared" ca="1" si="429"/>
        <v/>
      </c>
      <c r="AA939" s="316" t="str">
        <f t="shared" ca="1" si="430"/>
        <v/>
      </c>
      <c r="AC939" s="310" t="e">
        <f t="shared" ca="1" si="431"/>
        <v>#N/A</v>
      </c>
      <c r="AD939" s="323" t="e">
        <f t="shared" ca="1" si="432"/>
        <v>#N/A</v>
      </c>
      <c r="AE939" s="324" t="e">
        <f t="shared" ca="1" si="411"/>
        <v>#N/A</v>
      </c>
      <c r="AG939" s="306">
        <f t="shared" ca="1" si="433"/>
        <v>1.2642241435133545</v>
      </c>
      <c r="AH939" s="304">
        <f t="shared" ca="1" si="434"/>
        <v>-8.5095784471474918</v>
      </c>
    </row>
    <row r="940" spans="1:34" x14ac:dyDescent="0.2">
      <c r="A940" s="347">
        <f t="shared" ca="1" si="412"/>
        <v>1E-4</v>
      </c>
      <c r="B940" s="304">
        <f t="shared" ca="1" si="413"/>
        <v>29.255400000000019</v>
      </c>
      <c r="D940" s="306">
        <f t="shared" ca="1" si="414"/>
        <v>-0.73033787424285346</v>
      </c>
      <c r="E940" s="307">
        <f t="shared" ca="1" si="415"/>
        <v>-1.3317909779440846</v>
      </c>
      <c r="F940" s="304">
        <f t="shared" ca="1" si="416"/>
        <v>1.518901122353536</v>
      </c>
      <c r="G940" s="306">
        <f t="shared" ca="1" si="417"/>
        <v>9.1998108640662011</v>
      </c>
      <c r="H940" s="307">
        <f t="shared" ca="1" si="418"/>
        <v>-106.7980159337218</v>
      </c>
      <c r="I940" s="304">
        <f t="shared" ca="1" si="419"/>
        <v>107.19352931643816</v>
      </c>
      <c r="J940" s="306">
        <f t="shared" ca="1" si="420"/>
        <v>746.86410190403069</v>
      </c>
      <c r="K940" s="307">
        <f t="shared" ca="1" si="421"/>
        <v>-8.1618544327382558</v>
      </c>
      <c r="L940" s="304">
        <f t="shared" ca="1" si="406"/>
        <v>746.90869762019474</v>
      </c>
      <c r="M940" s="306">
        <f t="shared" ca="1" si="422"/>
        <v>-1.4848663034374403</v>
      </c>
      <c r="N940" s="304">
        <f t="shared" ca="1" si="423"/>
        <v>-85.07657232815717</v>
      </c>
      <c r="P940" s="310">
        <f t="shared" ca="1" si="424"/>
        <v>23</v>
      </c>
      <c r="Q940" s="304">
        <f t="shared" ca="1" si="425"/>
        <v>0</v>
      </c>
      <c r="R940" s="306">
        <f t="shared" ca="1" si="426"/>
        <v>0</v>
      </c>
      <c r="S940" s="307">
        <f t="shared" ca="1" si="427"/>
        <v>5.083000000000002</v>
      </c>
      <c r="T940" s="304">
        <f t="shared" ca="1" si="407"/>
        <v>49.86423000000002</v>
      </c>
      <c r="U940" s="311">
        <f t="shared" ca="1" si="408"/>
        <v>0</v>
      </c>
      <c r="V940" s="306">
        <f t="shared" ca="1" si="409"/>
        <v>1.2260002353567796</v>
      </c>
      <c r="W940" s="304">
        <f t="shared" ca="1" si="410"/>
        <v>43.254483688304511</v>
      </c>
      <c r="Y940" s="314" t="str">
        <f t="shared" ca="1" si="428"/>
        <v/>
      </c>
      <c r="Z940" s="315" t="str">
        <f t="shared" ca="1" si="429"/>
        <v/>
      </c>
      <c r="AA940" s="316" t="str">
        <f t="shared" ca="1" si="430"/>
        <v/>
      </c>
      <c r="AC940" s="310" t="e">
        <f t="shared" ca="1" si="431"/>
        <v>#N/A</v>
      </c>
      <c r="AD940" s="323" t="e">
        <f t="shared" ca="1" si="432"/>
        <v>#N/A</v>
      </c>
      <c r="AE940" s="324" t="e">
        <f t="shared" ca="1" si="411"/>
        <v>#N/A</v>
      </c>
      <c r="AG940" s="306">
        <f t="shared" ca="1" si="433"/>
        <v>1.2641956445520499</v>
      </c>
      <c r="AH940" s="304">
        <f t="shared" ca="1" si="434"/>
        <v>-8.509607607417859</v>
      </c>
    </row>
    <row r="941" spans="1:34" x14ac:dyDescent="0.2">
      <c r="A941" s="347">
        <f t="shared" ca="1" si="412"/>
        <v>1E-4</v>
      </c>
      <c r="B941" s="304">
        <f t="shared" ca="1" si="413"/>
        <v>29.255500000000019</v>
      </c>
      <c r="D941" s="306">
        <f t="shared" ca="1" si="414"/>
        <v>-0.73033371772071165</v>
      </c>
      <c r="E941" s="307">
        <f t="shared" ca="1" si="415"/>
        <v>-1.3317613519940767</v>
      </c>
      <c r="F941" s="304">
        <f t="shared" ca="1" si="416"/>
        <v>1.5188731474039718</v>
      </c>
      <c r="G941" s="306">
        <f t="shared" ca="1" si="417"/>
        <v>9.1997378306944295</v>
      </c>
      <c r="H941" s="307">
        <f t="shared" ca="1" si="418"/>
        <v>-106.79814910985699</v>
      </c>
      <c r="I941" s="304">
        <f t="shared" ca="1" si="419"/>
        <v>107.19365573318581</v>
      </c>
      <c r="J941" s="306">
        <f t="shared" ca="1" si="420"/>
        <v>746.86410190403069</v>
      </c>
      <c r="K941" s="307">
        <f t="shared" ca="1" si="421"/>
        <v>-8.1725342409904354</v>
      </c>
      <c r="L941" s="304">
        <f t="shared" ca="1" si="406"/>
        <v>746.9088144002817</v>
      </c>
      <c r="M941" s="306">
        <f t="shared" ca="1" si="422"/>
        <v>-1.4848670888724469</v>
      </c>
      <c r="N941" s="304">
        <f t="shared" ca="1" si="423"/>
        <v>-85.076617330268135</v>
      </c>
      <c r="P941" s="310">
        <f t="shared" ca="1" si="424"/>
        <v>23</v>
      </c>
      <c r="Q941" s="304">
        <f t="shared" ca="1" si="425"/>
        <v>0</v>
      </c>
      <c r="R941" s="306">
        <f t="shared" ca="1" si="426"/>
        <v>0</v>
      </c>
      <c r="S941" s="307">
        <f t="shared" ca="1" si="427"/>
        <v>5.083000000000002</v>
      </c>
      <c r="T941" s="304">
        <f t="shared" ca="1" si="407"/>
        <v>49.86423000000002</v>
      </c>
      <c r="U941" s="311">
        <f t="shared" ca="1" si="408"/>
        <v>0</v>
      </c>
      <c r="V941" s="306">
        <f t="shared" ca="1" si="409"/>
        <v>1.2260015447024404</v>
      </c>
      <c r="W941" s="304">
        <f t="shared" ca="1" si="410"/>
        <v>43.254631906249287</v>
      </c>
      <c r="Y941" s="314" t="str">
        <f t="shared" ca="1" si="428"/>
        <v/>
      </c>
      <c r="Z941" s="315" t="str">
        <f t="shared" ca="1" si="429"/>
        <v/>
      </c>
      <c r="AA941" s="316" t="str">
        <f t="shared" ca="1" si="430"/>
        <v/>
      </c>
      <c r="AC941" s="310" t="e">
        <f t="shared" ca="1" si="431"/>
        <v>#N/A</v>
      </c>
      <c r="AD941" s="323" t="e">
        <f t="shared" ca="1" si="432"/>
        <v>#N/A</v>
      </c>
      <c r="AE941" s="324" t="e">
        <f t="shared" ca="1" si="411"/>
        <v>#N/A</v>
      </c>
      <c r="AG941" s="306">
        <f t="shared" ca="1" si="433"/>
        <v>1.2641671459427979</v>
      </c>
      <c r="AH941" s="304">
        <f t="shared" ca="1" si="434"/>
        <v>-8.5096367673233306</v>
      </c>
    </row>
    <row r="942" spans="1:34" x14ac:dyDescent="0.2">
      <c r="A942" s="347">
        <f t="shared" ca="1" si="412"/>
        <v>1E-4</v>
      </c>
      <c r="B942" s="304">
        <f t="shared" ca="1" si="413"/>
        <v>29.255600000000019</v>
      </c>
      <c r="D942" s="306">
        <f t="shared" ca="1" si="414"/>
        <v>-0.73032956118973746</v>
      </c>
      <c r="E942" s="307">
        <f t="shared" ca="1" si="415"/>
        <v>-1.3317317264148176</v>
      </c>
      <c r="F942" s="304">
        <f t="shared" ca="1" si="416"/>
        <v>1.5188451728492227</v>
      </c>
      <c r="G942" s="306">
        <f t="shared" ca="1" si="417"/>
        <v>9.1996647977383113</v>
      </c>
      <c r="H942" s="307">
        <f t="shared" ca="1" si="418"/>
        <v>-106.79828228302964</v>
      </c>
      <c r="I942" s="304">
        <f t="shared" ca="1" si="419"/>
        <v>107.19378214708364</v>
      </c>
      <c r="J942" s="306">
        <f t="shared" ca="1" si="420"/>
        <v>746.86410190403069</v>
      </c>
      <c r="K942" s="307">
        <f t="shared" ca="1" si="421"/>
        <v>-8.1832140625600793</v>
      </c>
      <c r="L942" s="304">
        <f t="shared" ca="1" si="406"/>
        <v>746.90893133320344</v>
      </c>
      <c r="M942" s="306">
        <f t="shared" ca="1" si="422"/>
        <v>-1.4848678742993657</v>
      </c>
      <c r="N942" s="304">
        <f t="shared" ca="1" si="423"/>
        <v>-85.076662331915699</v>
      </c>
      <c r="P942" s="310">
        <f t="shared" ca="1" si="424"/>
        <v>23</v>
      </c>
      <c r="Q942" s="304">
        <f t="shared" ca="1" si="425"/>
        <v>0</v>
      </c>
      <c r="R942" s="306">
        <f t="shared" ca="1" si="426"/>
        <v>0</v>
      </c>
      <c r="S942" s="307">
        <f t="shared" ca="1" si="427"/>
        <v>5.083000000000002</v>
      </c>
      <c r="T942" s="304">
        <f t="shared" ca="1" si="407"/>
        <v>49.86423000000002</v>
      </c>
      <c r="U942" s="311">
        <f t="shared" ca="1" si="408"/>
        <v>0</v>
      </c>
      <c r="V942" s="306">
        <f t="shared" ca="1" si="409"/>
        <v>1.2260028540511323</v>
      </c>
      <c r="W942" s="304">
        <f t="shared" ca="1" si="410"/>
        <v>43.254780122339334</v>
      </c>
      <c r="Y942" s="314" t="str">
        <f t="shared" ca="1" si="428"/>
        <v/>
      </c>
      <c r="Z942" s="315" t="str">
        <f t="shared" ca="1" si="429"/>
        <v/>
      </c>
      <c r="AA942" s="316" t="str">
        <f t="shared" ca="1" si="430"/>
        <v/>
      </c>
      <c r="AC942" s="310" t="e">
        <f t="shared" ca="1" si="431"/>
        <v>#N/A</v>
      </c>
      <c r="AD942" s="323" t="e">
        <f t="shared" ca="1" si="432"/>
        <v>#N/A</v>
      </c>
      <c r="AE942" s="324" t="e">
        <f t="shared" ca="1" si="411"/>
        <v>#N/A</v>
      </c>
      <c r="AG942" s="306">
        <f t="shared" ca="1" si="433"/>
        <v>1.2641386476856002</v>
      </c>
      <c r="AH942" s="304">
        <f t="shared" ca="1" si="434"/>
        <v>-8.5096659268639137</v>
      </c>
    </row>
    <row r="943" spans="1:34" x14ac:dyDescent="0.2">
      <c r="A943" s="347">
        <f t="shared" ca="1" si="412"/>
        <v>1E-4</v>
      </c>
      <c r="B943" s="304">
        <f t="shared" ca="1" si="413"/>
        <v>29.255700000000019</v>
      </c>
      <c r="D943" s="306">
        <f t="shared" ca="1" si="414"/>
        <v>-0.73032540464993023</v>
      </c>
      <c r="E943" s="307">
        <f t="shared" ca="1" si="415"/>
        <v>-1.3317021012063091</v>
      </c>
      <c r="F943" s="304">
        <f t="shared" ca="1" si="416"/>
        <v>1.5188171986892902</v>
      </c>
      <c r="G943" s="306">
        <f t="shared" ca="1" si="417"/>
        <v>9.1995917651978463</v>
      </c>
      <c r="H943" s="307">
        <f t="shared" ca="1" si="418"/>
        <v>-106.79841545323976</v>
      </c>
      <c r="I943" s="304">
        <f t="shared" ca="1" si="419"/>
        <v>107.19390855813167</v>
      </c>
      <c r="J943" s="306">
        <f t="shared" ca="1" si="420"/>
        <v>746.86410190403069</v>
      </c>
      <c r="K943" s="307">
        <f t="shared" ca="1" si="421"/>
        <v>-8.1938938974468929</v>
      </c>
      <c r="L943" s="304">
        <f t="shared" ca="1" si="406"/>
        <v>746.90904841896042</v>
      </c>
      <c r="M943" s="306">
        <f t="shared" ca="1" si="422"/>
        <v>-1.484868659718197</v>
      </c>
      <c r="N943" s="304">
        <f t="shared" ca="1" si="423"/>
        <v>-85.076707333099876</v>
      </c>
      <c r="P943" s="310">
        <f t="shared" ca="1" si="424"/>
        <v>23</v>
      </c>
      <c r="Q943" s="304">
        <f t="shared" ca="1" si="425"/>
        <v>0</v>
      </c>
      <c r="R943" s="306">
        <f t="shared" ca="1" si="426"/>
        <v>0</v>
      </c>
      <c r="S943" s="307">
        <f t="shared" ca="1" si="427"/>
        <v>5.083000000000002</v>
      </c>
      <c r="T943" s="304">
        <f t="shared" ca="1" si="407"/>
        <v>49.86423000000002</v>
      </c>
      <c r="U943" s="311">
        <f t="shared" ca="1" si="408"/>
        <v>0</v>
      </c>
      <c r="V943" s="306">
        <f t="shared" ca="1" si="409"/>
        <v>1.226004163402856</v>
      </c>
      <c r="W943" s="304">
        <f t="shared" ca="1" si="410"/>
        <v>43.254928336574658</v>
      </c>
      <c r="Y943" s="314" t="str">
        <f t="shared" ca="1" si="428"/>
        <v/>
      </c>
      <c r="Z943" s="315" t="str">
        <f t="shared" ca="1" si="429"/>
        <v/>
      </c>
      <c r="AA943" s="316" t="str">
        <f t="shared" ca="1" si="430"/>
        <v/>
      </c>
      <c r="AC943" s="310" t="e">
        <f t="shared" ca="1" si="431"/>
        <v>#N/A</v>
      </c>
      <c r="AD943" s="323" t="e">
        <f t="shared" ca="1" si="432"/>
        <v>#N/A</v>
      </c>
      <c r="AE943" s="324" t="e">
        <f t="shared" ca="1" si="411"/>
        <v>#N/A</v>
      </c>
      <c r="AG943" s="306">
        <f t="shared" ca="1" si="433"/>
        <v>1.2641101497804517</v>
      </c>
      <c r="AH943" s="304">
        <f t="shared" ca="1" si="434"/>
        <v>-8.5096950860396063</v>
      </c>
    </row>
    <row r="944" spans="1:34" x14ac:dyDescent="0.2">
      <c r="A944" s="347">
        <f t="shared" ca="1" si="412"/>
        <v>1E-4</v>
      </c>
      <c r="B944" s="304">
        <f t="shared" ca="1" si="413"/>
        <v>29.255800000000018</v>
      </c>
      <c r="D944" s="306">
        <f t="shared" ca="1" si="414"/>
        <v>-0.73032124810128995</v>
      </c>
      <c r="E944" s="307">
        <f t="shared" ca="1" si="415"/>
        <v>-1.3316724763685457</v>
      </c>
      <c r="F944" s="304">
        <f t="shared" ca="1" si="416"/>
        <v>1.5187892249241699</v>
      </c>
      <c r="G944" s="306">
        <f t="shared" ca="1" si="417"/>
        <v>9.1995187330730364</v>
      </c>
      <c r="H944" s="307">
        <f t="shared" ca="1" si="418"/>
        <v>-106.7985486204874</v>
      </c>
      <c r="I944" s="304">
        <f t="shared" ca="1" si="419"/>
        <v>107.19403496632997</v>
      </c>
      <c r="J944" s="306">
        <f t="shared" ca="1" si="420"/>
        <v>746.86410190403069</v>
      </c>
      <c r="K944" s="307">
        <f t="shared" ca="1" si="421"/>
        <v>-8.2045737456505794</v>
      </c>
      <c r="L944" s="304">
        <f t="shared" ca="1" si="406"/>
        <v>746.9091656575531</v>
      </c>
      <c r="M944" s="306">
        <f t="shared" ca="1" si="422"/>
        <v>-1.4848694451289406</v>
      </c>
      <c r="N944" s="304">
        <f t="shared" ca="1" si="423"/>
        <v>-85.076752333820664</v>
      </c>
      <c r="P944" s="310">
        <f t="shared" ca="1" si="424"/>
        <v>23</v>
      </c>
      <c r="Q944" s="304">
        <f t="shared" ca="1" si="425"/>
        <v>0</v>
      </c>
      <c r="R944" s="306">
        <f t="shared" ca="1" si="426"/>
        <v>0</v>
      </c>
      <c r="S944" s="307">
        <f t="shared" ca="1" si="427"/>
        <v>5.083000000000002</v>
      </c>
      <c r="T944" s="304">
        <f t="shared" ca="1" si="407"/>
        <v>49.86423000000002</v>
      </c>
      <c r="U944" s="311">
        <f t="shared" ca="1" si="408"/>
        <v>0</v>
      </c>
      <c r="V944" s="306">
        <f t="shared" ca="1" si="409"/>
        <v>1.2260054727576117</v>
      </c>
      <c r="W944" s="304">
        <f t="shared" ca="1" si="410"/>
        <v>43.255076548955323</v>
      </c>
      <c r="Y944" s="314" t="str">
        <f t="shared" ca="1" si="428"/>
        <v/>
      </c>
      <c r="Z944" s="315" t="str">
        <f t="shared" ca="1" si="429"/>
        <v/>
      </c>
      <c r="AA944" s="316" t="str">
        <f t="shared" ca="1" si="430"/>
        <v/>
      </c>
      <c r="AC944" s="310" t="e">
        <f t="shared" ca="1" si="431"/>
        <v>#N/A</v>
      </c>
      <c r="AD944" s="323" t="e">
        <f t="shared" ca="1" si="432"/>
        <v>#N/A</v>
      </c>
      <c r="AE944" s="324" t="e">
        <f t="shared" ca="1" si="411"/>
        <v>#N/A</v>
      </c>
      <c r="AG944" s="306">
        <f t="shared" ca="1" si="433"/>
        <v>1.2640816522273539</v>
      </c>
      <c r="AH944" s="304">
        <f t="shared" ca="1" si="434"/>
        <v>-8.5097242448504105</v>
      </c>
    </row>
    <row r="945" spans="1:34" x14ac:dyDescent="0.2">
      <c r="A945" s="347">
        <f t="shared" ca="1" si="412"/>
        <v>1E-4</v>
      </c>
      <c r="B945" s="304">
        <f t="shared" ca="1" si="413"/>
        <v>29.255900000000018</v>
      </c>
      <c r="D945" s="306">
        <f t="shared" ca="1" si="414"/>
        <v>-0.73031709154382152</v>
      </c>
      <c r="E945" s="307">
        <f t="shared" ca="1" si="415"/>
        <v>-1.3316428519015169</v>
      </c>
      <c r="F945" s="304">
        <f t="shared" ca="1" si="416"/>
        <v>1.5187612515538549</v>
      </c>
      <c r="G945" s="306">
        <f t="shared" ca="1" si="417"/>
        <v>9.1994457013638815</v>
      </c>
      <c r="H945" s="307">
        <f t="shared" ca="1" si="418"/>
        <v>-106.79868178477258</v>
      </c>
      <c r="I945" s="304">
        <f t="shared" ca="1" si="419"/>
        <v>107.19416137167853</v>
      </c>
      <c r="J945" s="306">
        <f t="shared" ca="1" si="420"/>
        <v>746.86410190403069</v>
      </c>
      <c r="K945" s="307">
        <f t="shared" ca="1" si="421"/>
        <v>-8.2152536071708422</v>
      </c>
      <c r="L945" s="304">
        <f t="shared" ca="1" si="406"/>
        <v>746.90928304898205</v>
      </c>
      <c r="M945" s="306">
        <f t="shared" ca="1" si="422"/>
        <v>-1.4848702305315968</v>
      </c>
      <c r="N945" s="304">
        <f t="shared" ca="1" si="423"/>
        <v>-85.076797334078094</v>
      </c>
      <c r="P945" s="310">
        <f t="shared" ca="1" si="424"/>
        <v>23</v>
      </c>
      <c r="Q945" s="304">
        <f t="shared" ca="1" si="425"/>
        <v>0</v>
      </c>
      <c r="R945" s="306">
        <f t="shared" ca="1" si="426"/>
        <v>0</v>
      </c>
      <c r="S945" s="307">
        <f t="shared" ca="1" si="427"/>
        <v>5.083000000000002</v>
      </c>
      <c r="T945" s="304">
        <f t="shared" ca="1" si="407"/>
        <v>49.86423000000002</v>
      </c>
      <c r="U945" s="311">
        <f t="shared" ca="1" si="408"/>
        <v>0</v>
      </c>
      <c r="V945" s="306">
        <f t="shared" ca="1" si="409"/>
        <v>1.2260067821153986</v>
      </c>
      <c r="W945" s="304">
        <f t="shared" ca="1" si="410"/>
        <v>43.255224759481273</v>
      </c>
      <c r="Y945" s="314" t="str">
        <f t="shared" ca="1" si="428"/>
        <v/>
      </c>
      <c r="Z945" s="315" t="str">
        <f t="shared" ca="1" si="429"/>
        <v/>
      </c>
      <c r="AA945" s="316" t="str">
        <f t="shared" ca="1" si="430"/>
        <v/>
      </c>
      <c r="AC945" s="310" t="e">
        <f t="shared" ca="1" si="431"/>
        <v>#N/A</v>
      </c>
      <c r="AD945" s="323" t="e">
        <f t="shared" ca="1" si="432"/>
        <v>#N/A</v>
      </c>
      <c r="AE945" s="324" t="e">
        <f t="shared" ca="1" si="411"/>
        <v>#N/A</v>
      </c>
      <c r="AG945" s="306">
        <f t="shared" ca="1" si="433"/>
        <v>1.2640531550262892</v>
      </c>
      <c r="AH945" s="304">
        <f t="shared" ca="1" si="434"/>
        <v>-8.509753403296342</v>
      </c>
    </row>
    <row r="946" spans="1:34" x14ac:dyDescent="0.2">
      <c r="A946" s="347">
        <f t="shared" ca="1" si="412"/>
        <v>1E-4</v>
      </c>
      <c r="B946" s="304">
        <f t="shared" ca="1" si="413"/>
        <v>29.256000000000018</v>
      </c>
      <c r="D946" s="306">
        <f t="shared" ca="1" si="414"/>
        <v>-0.73031293497752148</v>
      </c>
      <c r="E946" s="307">
        <f t="shared" ca="1" si="415"/>
        <v>-1.3316132278052333</v>
      </c>
      <c r="F946" s="304">
        <f t="shared" ca="1" si="416"/>
        <v>1.5187332785783532</v>
      </c>
      <c r="G946" s="306">
        <f t="shared" ca="1" si="417"/>
        <v>9.1993726700703835</v>
      </c>
      <c r="H946" s="307">
        <f t="shared" ca="1" si="418"/>
        <v>-106.79881494609536</v>
      </c>
      <c r="I946" s="304">
        <f t="shared" ca="1" si="419"/>
        <v>107.19428777417741</v>
      </c>
      <c r="J946" s="306">
        <f t="shared" ca="1" si="420"/>
        <v>746.86410190403069</v>
      </c>
      <c r="K946" s="307">
        <f t="shared" ca="1" si="421"/>
        <v>-8.2259334820073864</v>
      </c>
      <c r="L946" s="304">
        <f t="shared" ca="1" si="406"/>
        <v>746.90940059324771</v>
      </c>
      <c r="M946" s="306">
        <f t="shared" ca="1" si="422"/>
        <v>-1.4848710159261658</v>
      </c>
      <c r="N946" s="304">
        <f t="shared" ca="1" si="423"/>
        <v>-85.07684233387215</v>
      </c>
      <c r="P946" s="310">
        <f t="shared" ca="1" si="424"/>
        <v>23</v>
      </c>
      <c r="Q946" s="304">
        <f t="shared" ca="1" si="425"/>
        <v>0</v>
      </c>
      <c r="R946" s="306">
        <f t="shared" ca="1" si="426"/>
        <v>0</v>
      </c>
      <c r="S946" s="307">
        <f t="shared" ca="1" si="427"/>
        <v>5.083000000000002</v>
      </c>
      <c r="T946" s="304">
        <f t="shared" ca="1" si="407"/>
        <v>49.86423000000002</v>
      </c>
      <c r="U946" s="311">
        <f t="shared" ca="1" si="408"/>
        <v>0</v>
      </c>
      <c r="V946" s="306">
        <f t="shared" ca="1" si="409"/>
        <v>1.2260080914762175</v>
      </c>
      <c r="W946" s="304">
        <f t="shared" ca="1" si="410"/>
        <v>43.255372968152571</v>
      </c>
      <c r="Y946" s="314" t="str">
        <f t="shared" ca="1" si="428"/>
        <v/>
      </c>
      <c r="Z946" s="315" t="str">
        <f t="shared" ca="1" si="429"/>
        <v/>
      </c>
      <c r="AA946" s="316" t="str">
        <f t="shared" ca="1" si="430"/>
        <v/>
      </c>
      <c r="AC946" s="310" t="e">
        <f t="shared" ca="1" si="431"/>
        <v>#N/A</v>
      </c>
      <c r="AD946" s="323" t="e">
        <f t="shared" ca="1" si="432"/>
        <v>#N/A</v>
      </c>
      <c r="AE946" s="324" t="e">
        <f t="shared" ca="1" si="411"/>
        <v>#N/A</v>
      </c>
      <c r="AG946" s="306">
        <f t="shared" ca="1" si="433"/>
        <v>1.2640246581772754</v>
      </c>
      <c r="AH946" s="304">
        <f t="shared" ca="1" si="434"/>
        <v>-8.5097825613773868</v>
      </c>
    </row>
    <row r="947" spans="1:34" x14ac:dyDescent="0.2">
      <c r="A947" s="347">
        <f t="shared" ca="1" si="412"/>
        <v>1E-4</v>
      </c>
      <c r="B947" s="304">
        <f t="shared" ca="1" si="413"/>
        <v>29.256100000000018</v>
      </c>
      <c r="D947" s="306">
        <f t="shared" ca="1" si="414"/>
        <v>-0.73030877840239239</v>
      </c>
      <c r="E947" s="307">
        <f t="shared" ca="1" si="415"/>
        <v>-1.3315836040796842</v>
      </c>
      <c r="F947" s="304">
        <f t="shared" ca="1" si="416"/>
        <v>1.5187053059976567</v>
      </c>
      <c r="G947" s="306">
        <f t="shared" ca="1" si="417"/>
        <v>9.1992996391925441</v>
      </c>
      <c r="H947" s="307">
        <f t="shared" ca="1" si="418"/>
        <v>-106.79894810445577</v>
      </c>
      <c r="I947" s="304">
        <f t="shared" ca="1" si="419"/>
        <v>107.19441417382664</v>
      </c>
      <c r="J947" s="306">
        <f t="shared" ca="1" si="420"/>
        <v>746.86410190403069</v>
      </c>
      <c r="K947" s="307">
        <f t="shared" ca="1" si="421"/>
        <v>-8.2366133701599136</v>
      </c>
      <c r="L947" s="304">
        <f t="shared" ca="1" si="406"/>
        <v>746.90951829035077</v>
      </c>
      <c r="M947" s="306">
        <f t="shared" ca="1" si="422"/>
        <v>-1.4848718013126476</v>
      </c>
      <c r="N947" s="304">
        <f t="shared" ca="1" si="423"/>
        <v>-85.076887333202848</v>
      </c>
      <c r="P947" s="310">
        <f t="shared" ca="1" si="424"/>
        <v>23</v>
      </c>
      <c r="Q947" s="304">
        <f t="shared" ca="1" si="425"/>
        <v>0</v>
      </c>
      <c r="R947" s="306">
        <f t="shared" ca="1" si="426"/>
        <v>0</v>
      </c>
      <c r="S947" s="307">
        <f t="shared" ca="1" si="427"/>
        <v>5.083000000000002</v>
      </c>
      <c r="T947" s="304">
        <f t="shared" ca="1" si="407"/>
        <v>49.86423000000002</v>
      </c>
      <c r="U947" s="311">
        <f t="shared" ca="1" si="408"/>
        <v>0</v>
      </c>
      <c r="V947" s="306">
        <f t="shared" ca="1" si="409"/>
        <v>1.2260094008400675</v>
      </c>
      <c r="W947" s="304">
        <f t="shared" ca="1" si="410"/>
        <v>43.255521174969203</v>
      </c>
      <c r="Y947" s="314" t="str">
        <f t="shared" ca="1" si="428"/>
        <v/>
      </c>
      <c r="Z947" s="315" t="str">
        <f t="shared" ca="1" si="429"/>
        <v/>
      </c>
      <c r="AA947" s="316" t="str">
        <f t="shared" ca="1" si="430"/>
        <v/>
      </c>
      <c r="AC947" s="310" t="e">
        <f t="shared" ca="1" si="431"/>
        <v>#N/A</v>
      </c>
      <c r="AD947" s="323" t="e">
        <f t="shared" ca="1" si="432"/>
        <v>#N/A</v>
      </c>
      <c r="AE947" s="324" t="e">
        <f t="shared" ca="1" si="411"/>
        <v>#N/A</v>
      </c>
      <c r="AG947" s="306">
        <f t="shared" ca="1" si="433"/>
        <v>1.2639961616802964</v>
      </c>
      <c r="AH947" s="304">
        <f t="shared" ca="1" si="434"/>
        <v>-8.5098117190935572</v>
      </c>
    </row>
    <row r="948" spans="1:34" x14ac:dyDescent="0.2">
      <c r="A948" s="347">
        <f t="shared" ca="1" si="412"/>
        <v>1E-4</v>
      </c>
      <c r="B948" s="304">
        <f t="shared" ca="1" si="413"/>
        <v>29.256200000000018</v>
      </c>
      <c r="D948" s="306">
        <f t="shared" ca="1" si="414"/>
        <v>-0.73030462181843392</v>
      </c>
      <c r="E948" s="307">
        <f t="shared" ca="1" si="415"/>
        <v>-1.331553980724868</v>
      </c>
      <c r="F948" s="304">
        <f t="shared" ca="1" si="416"/>
        <v>1.5186773338117638</v>
      </c>
      <c r="G948" s="306">
        <f t="shared" ca="1" si="417"/>
        <v>9.1992266087303616</v>
      </c>
      <c r="H948" s="307">
        <f t="shared" ca="1" si="418"/>
        <v>-106.79908125985385</v>
      </c>
      <c r="I948" s="304">
        <f t="shared" ca="1" si="419"/>
        <v>107.19454057062626</v>
      </c>
      <c r="J948" s="306">
        <f t="shared" ca="1" si="420"/>
        <v>746.86410190403069</v>
      </c>
      <c r="K948" s="307">
        <f t="shared" ca="1" si="421"/>
        <v>-8.2472932716281289</v>
      </c>
      <c r="L948" s="304">
        <f t="shared" ca="1" si="406"/>
        <v>746.90963614029147</v>
      </c>
      <c r="M948" s="306">
        <f t="shared" ca="1" si="422"/>
        <v>-1.4848725866910422</v>
      </c>
      <c r="N948" s="304">
        <f t="shared" ca="1" si="423"/>
        <v>-85.076932332070172</v>
      </c>
      <c r="P948" s="310">
        <f t="shared" ca="1" si="424"/>
        <v>23</v>
      </c>
      <c r="Q948" s="304">
        <f t="shared" ca="1" si="425"/>
        <v>0</v>
      </c>
      <c r="R948" s="306">
        <f t="shared" ca="1" si="426"/>
        <v>0</v>
      </c>
      <c r="S948" s="307">
        <f t="shared" ca="1" si="427"/>
        <v>5.083000000000002</v>
      </c>
      <c r="T948" s="304">
        <f t="shared" ca="1" si="407"/>
        <v>49.86423000000002</v>
      </c>
      <c r="U948" s="311">
        <f t="shared" ca="1" si="408"/>
        <v>0</v>
      </c>
      <c r="V948" s="306">
        <f t="shared" ca="1" si="409"/>
        <v>1.2260107102069489</v>
      </c>
      <c r="W948" s="304">
        <f t="shared" ca="1" si="410"/>
        <v>43.25566937993117</v>
      </c>
      <c r="Y948" s="314" t="str">
        <f t="shared" ca="1" si="428"/>
        <v/>
      </c>
      <c r="Z948" s="315" t="str">
        <f t="shared" ca="1" si="429"/>
        <v/>
      </c>
      <c r="AA948" s="316" t="str">
        <f t="shared" ca="1" si="430"/>
        <v/>
      </c>
      <c r="AC948" s="310" t="e">
        <f t="shared" ca="1" si="431"/>
        <v>#N/A</v>
      </c>
      <c r="AD948" s="323" t="e">
        <f t="shared" ca="1" si="432"/>
        <v>#N/A</v>
      </c>
      <c r="AE948" s="324" t="e">
        <f t="shared" ca="1" si="411"/>
        <v>#N/A</v>
      </c>
      <c r="AG948" s="306">
        <f t="shared" ca="1" si="433"/>
        <v>1.2639676655353558</v>
      </c>
      <c r="AH948" s="304">
        <f t="shared" ca="1" si="434"/>
        <v>-8.5098408764448532</v>
      </c>
    </row>
    <row r="949" spans="1:34" x14ac:dyDescent="0.2">
      <c r="A949" s="347">
        <f t="shared" ca="1" si="412"/>
        <v>1E-4</v>
      </c>
      <c r="B949" s="304">
        <f t="shared" ca="1" si="413"/>
        <v>29.256300000000017</v>
      </c>
      <c r="D949" s="306">
        <f t="shared" ca="1" si="414"/>
        <v>-0.7303004652256494</v>
      </c>
      <c r="E949" s="307">
        <f t="shared" ca="1" si="415"/>
        <v>-1.3315243577407898</v>
      </c>
      <c r="F949" s="304">
        <f t="shared" ca="1" si="416"/>
        <v>1.5186493620206813</v>
      </c>
      <c r="G949" s="306">
        <f t="shared" ca="1" si="417"/>
        <v>9.1991535786838394</v>
      </c>
      <c r="H949" s="307">
        <f t="shared" ca="1" si="418"/>
        <v>-106.79921441228963</v>
      </c>
      <c r="I949" s="304">
        <f t="shared" ca="1" si="419"/>
        <v>107.19466696457629</v>
      </c>
      <c r="J949" s="306">
        <f t="shared" ca="1" si="420"/>
        <v>746.86410190403069</v>
      </c>
      <c r="K949" s="307">
        <f t="shared" ca="1" si="421"/>
        <v>-8.2579731864117356</v>
      </c>
      <c r="L949" s="304">
        <f t="shared" ca="1" si="406"/>
        <v>746.90975414307036</v>
      </c>
      <c r="M949" s="306">
        <f t="shared" ca="1" si="422"/>
        <v>-1.4848733720613498</v>
      </c>
      <c r="N949" s="304">
        <f t="shared" ca="1" si="423"/>
        <v>-85.076977330474151</v>
      </c>
      <c r="P949" s="310">
        <f t="shared" ca="1" si="424"/>
        <v>23</v>
      </c>
      <c r="Q949" s="304">
        <f t="shared" ca="1" si="425"/>
        <v>0</v>
      </c>
      <c r="R949" s="306">
        <f t="shared" ca="1" si="426"/>
        <v>0</v>
      </c>
      <c r="S949" s="307">
        <f t="shared" ca="1" si="427"/>
        <v>5.083000000000002</v>
      </c>
      <c r="T949" s="304">
        <f t="shared" ca="1" si="407"/>
        <v>49.86423000000002</v>
      </c>
      <c r="U949" s="311">
        <f t="shared" ca="1" si="408"/>
        <v>0</v>
      </c>
      <c r="V949" s="306">
        <f t="shared" ca="1" si="409"/>
        <v>1.2260120195768622</v>
      </c>
      <c r="W949" s="304">
        <f t="shared" ca="1" si="410"/>
        <v>43.255817583038521</v>
      </c>
      <c r="Y949" s="314" t="str">
        <f t="shared" ca="1" si="428"/>
        <v/>
      </c>
      <c r="Z949" s="315" t="str">
        <f t="shared" ca="1" si="429"/>
        <v/>
      </c>
      <c r="AA949" s="316" t="str">
        <f t="shared" ca="1" si="430"/>
        <v/>
      </c>
      <c r="AC949" s="310" t="e">
        <f t="shared" ca="1" si="431"/>
        <v>#N/A</v>
      </c>
      <c r="AD949" s="323" t="e">
        <f t="shared" ca="1" si="432"/>
        <v>#N/A</v>
      </c>
      <c r="AE949" s="324" t="e">
        <f t="shared" ca="1" si="411"/>
        <v>#N/A</v>
      </c>
      <c r="AG949" s="306">
        <f t="shared" ca="1" si="433"/>
        <v>1.2639391697424536</v>
      </c>
      <c r="AH949" s="304">
        <f t="shared" ca="1" si="434"/>
        <v>-8.5098700334312714</v>
      </c>
    </row>
    <row r="950" spans="1:34" x14ac:dyDescent="0.2">
      <c r="A950" s="347">
        <f t="shared" ca="1" si="412"/>
        <v>1E-4</v>
      </c>
      <c r="B950" s="304">
        <f t="shared" ca="1" si="413"/>
        <v>29.256400000000017</v>
      </c>
      <c r="D950" s="306">
        <f t="shared" ca="1" si="414"/>
        <v>-0.73029630862403772</v>
      </c>
      <c r="E950" s="307">
        <f t="shared" ca="1" si="415"/>
        <v>-1.3314947351274355</v>
      </c>
      <c r="F950" s="304">
        <f t="shared" ca="1" si="416"/>
        <v>1.5186213906243964</v>
      </c>
      <c r="G950" s="306">
        <f t="shared" ca="1" si="417"/>
        <v>9.1990805490529777</v>
      </c>
      <c r="H950" s="307">
        <f t="shared" ca="1" si="418"/>
        <v>-106.79934756176314</v>
      </c>
      <c r="I950" s="304">
        <f t="shared" ca="1" si="419"/>
        <v>107.19479335567678</v>
      </c>
      <c r="J950" s="306">
        <f t="shared" ca="1" si="420"/>
        <v>746.86410190403069</v>
      </c>
      <c r="K950" s="307">
        <f t="shared" ca="1" si="421"/>
        <v>-8.2686531145104389</v>
      </c>
      <c r="L950" s="304">
        <f t="shared" ca="1" si="406"/>
        <v>746.90987229868801</v>
      </c>
      <c r="M950" s="306">
        <f t="shared" ca="1" si="422"/>
        <v>-1.4848741574235707</v>
      </c>
      <c r="N950" s="304">
        <f t="shared" ca="1" si="423"/>
        <v>-85.077022328414799</v>
      </c>
      <c r="P950" s="310">
        <f t="shared" ca="1" si="424"/>
        <v>23</v>
      </c>
      <c r="Q950" s="304">
        <f t="shared" ca="1" si="425"/>
        <v>0</v>
      </c>
      <c r="R950" s="306">
        <f t="shared" ca="1" si="426"/>
        <v>0</v>
      </c>
      <c r="S950" s="307">
        <f t="shared" ca="1" si="427"/>
        <v>5.083000000000002</v>
      </c>
      <c r="T950" s="304">
        <f t="shared" ca="1" si="407"/>
        <v>49.86423000000002</v>
      </c>
      <c r="U950" s="311">
        <f t="shared" ca="1" si="408"/>
        <v>0</v>
      </c>
      <c r="V950" s="306">
        <f t="shared" ca="1" si="409"/>
        <v>1.2260133289498065</v>
      </c>
      <c r="W950" s="304">
        <f t="shared" ca="1" si="410"/>
        <v>43.255965784291256</v>
      </c>
      <c r="Y950" s="314" t="str">
        <f t="shared" ca="1" si="428"/>
        <v/>
      </c>
      <c r="Z950" s="315" t="str">
        <f t="shared" ca="1" si="429"/>
        <v/>
      </c>
      <c r="AA950" s="316" t="str">
        <f t="shared" ca="1" si="430"/>
        <v/>
      </c>
      <c r="AC950" s="310" t="e">
        <f t="shared" ca="1" si="431"/>
        <v>#N/A</v>
      </c>
      <c r="AD950" s="323" t="e">
        <f t="shared" ca="1" si="432"/>
        <v>#N/A</v>
      </c>
      <c r="AE950" s="324" t="e">
        <f t="shared" ca="1" si="411"/>
        <v>#N/A</v>
      </c>
      <c r="AG950" s="306">
        <f t="shared" ca="1" si="433"/>
        <v>1.2639106743015827</v>
      </c>
      <c r="AH950" s="304">
        <f t="shared" ca="1" si="434"/>
        <v>-8.509899190052824</v>
      </c>
    </row>
    <row r="951" spans="1:34" x14ac:dyDescent="0.2">
      <c r="A951" s="347">
        <f t="shared" ca="1" si="412"/>
        <v>1E-4</v>
      </c>
      <c r="B951" s="304">
        <f t="shared" ca="1" si="413"/>
        <v>29.256500000000017</v>
      </c>
      <c r="D951" s="306">
        <f t="shared" ca="1" si="414"/>
        <v>-0.73029215201359998</v>
      </c>
      <c r="E951" s="307">
        <f t="shared" ca="1" si="415"/>
        <v>-1.331465112884807</v>
      </c>
      <c r="F951" s="304">
        <f t="shared" ca="1" si="416"/>
        <v>1.5185934196229109</v>
      </c>
      <c r="G951" s="306">
        <f t="shared" ca="1" si="417"/>
        <v>9.1990075198377763</v>
      </c>
      <c r="H951" s="307">
        <f t="shared" ca="1" si="418"/>
        <v>-106.79948070827443</v>
      </c>
      <c r="I951" s="304">
        <f t="shared" ca="1" si="419"/>
        <v>107.19491974392777</v>
      </c>
      <c r="J951" s="306">
        <f t="shared" ca="1" si="420"/>
        <v>746.86410190403069</v>
      </c>
      <c r="K951" s="307">
        <f t="shared" ca="1" si="421"/>
        <v>-8.2793330559239404</v>
      </c>
      <c r="L951" s="304">
        <f t="shared" ca="1" si="406"/>
        <v>746.90999060714489</v>
      </c>
      <c r="M951" s="306">
        <f t="shared" ca="1" si="422"/>
        <v>-1.4848749427777046</v>
      </c>
      <c r="N951" s="304">
        <f t="shared" ca="1" si="423"/>
        <v>-85.077067325892088</v>
      </c>
      <c r="P951" s="310">
        <f t="shared" ca="1" si="424"/>
        <v>23</v>
      </c>
      <c r="Q951" s="304">
        <f t="shared" ca="1" si="425"/>
        <v>0</v>
      </c>
      <c r="R951" s="306">
        <f t="shared" ca="1" si="426"/>
        <v>0</v>
      </c>
      <c r="S951" s="307">
        <f t="shared" ca="1" si="427"/>
        <v>5.083000000000002</v>
      </c>
      <c r="T951" s="304">
        <f t="shared" ca="1" si="407"/>
        <v>49.86423000000002</v>
      </c>
      <c r="U951" s="311">
        <f t="shared" ca="1" si="408"/>
        <v>0</v>
      </c>
      <c r="V951" s="306">
        <f t="shared" ca="1" si="409"/>
        <v>1.2260146383257824</v>
      </c>
      <c r="W951" s="304">
        <f t="shared" ca="1" si="410"/>
        <v>43.256113983689374</v>
      </c>
      <c r="Y951" s="314" t="str">
        <f t="shared" ca="1" si="428"/>
        <v/>
      </c>
      <c r="Z951" s="315" t="str">
        <f t="shared" ca="1" si="429"/>
        <v/>
      </c>
      <c r="AA951" s="316" t="str">
        <f t="shared" ca="1" si="430"/>
        <v/>
      </c>
      <c r="AC951" s="310" t="e">
        <f t="shared" ca="1" si="431"/>
        <v>#N/A</v>
      </c>
      <c r="AD951" s="323" t="e">
        <f t="shared" ca="1" si="432"/>
        <v>#N/A</v>
      </c>
      <c r="AE951" s="324" t="e">
        <f t="shared" ca="1" si="411"/>
        <v>#N/A</v>
      </c>
      <c r="AG951" s="306">
        <f t="shared" ca="1" si="433"/>
        <v>1.263882179212743</v>
      </c>
      <c r="AH951" s="304">
        <f t="shared" ca="1" si="434"/>
        <v>-8.5099283463095095</v>
      </c>
    </row>
    <row r="952" spans="1:34" x14ac:dyDescent="0.2">
      <c r="A952" s="347">
        <f t="shared" ca="1" si="412"/>
        <v>1E-4</v>
      </c>
      <c r="B952" s="304">
        <f t="shared" ca="1" si="413"/>
        <v>29.256600000000017</v>
      </c>
      <c r="D952" s="306">
        <f t="shared" ca="1" si="414"/>
        <v>-0.7302879953943382</v>
      </c>
      <c r="E952" s="307">
        <f t="shared" ca="1" si="415"/>
        <v>-1.331435491012904</v>
      </c>
      <c r="F952" s="304">
        <f t="shared" ca="1" si="416"/>
        <v>1.5185654490162266</v>
      </c>
      <c r="G952" s="306">
        <f t="shared" ca="1" si="417"/>
        <v>9.1989344910382371</v>
      </c>
      <c r="H952" s="307">
        <f t="shared" ca="1" si="418"/>
        <v>-106.79961385182354</v>
      </c>
      <c r="I952" s="304">
        <f t="shared" ca="1" si="419"/>
        <v>107.19504612932927</v>
      </c>
      <c r="J952" s="306">
        <f t="shared" ca="1" si="420"/>
        <v>746.86410190403069</v>
      </c>
      <c r="K952" s="307">
        <f t="shared" ca="1" si="421"/>
        <v>-8.2900130106519452</v>
      </c>
      <c r="L952" s="304">
        <f t="shared" ca="1" si="406"/>
        <v>746.91010906844144</v>
      </c>
      <c r="M952" s="306">
        <f t="shared" ca="1" si="422"/>
        <v>-1.4848757281237521</v>
      </c>
      <c r="N952" s="304">
        <f t="shared" ca="1" si="423"/>
        <v>-85.077112322906075</v>
      </c>
      <c r="P952" s="310">
        <f t="shared" ca="1" si="424"/>
        <v>23</v>
      </c>
      <c r="Q952" s="304">
        <f t="shared" ca="1" si="425"/>
        <v>0</v>
      </c>
      <c r="R952" s="306">
        <f t="shared" ca="1" si="426"/>
        <v>0</v>
      </c>
      <c r="S952" s="307">
        <f t="shared" ca="1" si="427"/>
        <v>5.083000000000002</v>
      </c>
      <c r="T952" s="304">
        <f t="shared" ca="1" si="407"/>
        <v>49.86423000000002</v>
      </c>
      <c r="U952" s="311">
        <f t="shared" ca="1" si="408"/>
        <v>0</v>
      </c>
      <c r="V952" s="306">
        <f t="shared" ca="1" si="409"/>
        <v>1.2260159477047898</v>
      </c>
      <c r="W952" s="304">
        <f t="shared" ca="1" si="410"/>
        <v>43.256262181232906</v>
      </c>
      <c r="Y952" s="314" t="str">
        <f t="shared" ca="1" si="428"/>
        <v/>
      </c>
      <c r="Z952" s="315" t="str">
        <f t="shared" ca="1" si="429"/>
        <v/>
      </c>
      <c r="AA952" s="316" t="str">
        <f t="shared" ca="1" si="430"/>
        <v/>
      </c>
      <c r="AC952" s="310" t="e">
        <f t="shared" ca="1" si="431"/>
        <v>#N/A</v>
      </c>
      <c r="AD952" s="323" t="e">
        <f t="shared" ca="1" si="432"/>
        <v>#N/A</v>
      </c>
      <c r="AE952" s="324" t="e">
        <f t="shared" ca="1" si="411"/>
        <v>#N/A</v>
      </c>
      <c r="AG952" s="306">
        <f t="shared" ca="1" si="433"/>
        <v>1.2638536844759294</v>
      </c>
      <c r="AH952" s="304">
        <f t="shared" ca="1" si="434"/>
        <v>-8.5099575022013294</v>
      </c>
    </row>
    <row r="953" spans="1:34" x14ac:dyDescent="0.2">
      <c r="A953" s="347">
        <f t="shared" ca="1" si="412"/>
        <v>1E-4</v>
      </c>
      <c r="B953" s="304">
        <f t="shared" ca="1" si="413"/>
        <v>29.256700000000016</v>
      </c>
      <c r="D953" s="306">
        <f t="shared" ca="1" si="414"/>
        <v>-0.73028383876625036</v>
      </c>
      <c r="E953" s="307">
        <f t="shared" ca="1" si="415"/>
        <v>-1.3314058695117215</v>
      </c>
      <c r="F953" s="304">
        <f t="shared" ca="1" si="416"/>
        <v>1.5185374788043375</v>
      </c>
      <c r="G953" s="306">
        <f t="shared" ca="1" si="417"/>
        <v>9.1988614626543601</v>
      </c>
      <c r="H953" s="307">
        <f t="shared" ca="1" si="418"/>
        <v>-106.79974699241049</v>
      </c>
      <c r="I953" s="304">
        <f t="shared" ca="1" si="419"/>
        <v>107.19517251188134</v>
      </c>
      <c r="J953" s="306">
        <f t="shared" ca="1" si="420"/>
        <v>746.86410190403069</v>
      </c>
      <c r="K953" s="307">
        <f t="shared" ca="1" si="421"/>
        <v>-8.3006929786941566</v>
      </c>
      <c r="L953" s="304">
        <f t="shared" ca="1" si="406"/>
        <v>746.91022768257824</v>
      </c>
      <c r="M953" s="306">
        <f t="shared" ca="1" si="422"/>
        <v>-1.484876513461713</v>
      </c>
      <c r="N953" s="304">
        <f t="shared" ca="1" si="423"/>
        <v>-85.077157319456731</v>
      </c>
      <c r="P953" s="310">
        <f t="shared" ca="1" si="424"/>
        <v>23</v>
      </c>
      <c r="Q953" s="304">
        <f t="shared" ca="1" si="425"/>
        <v>0</v>
      </c>
      <c r="R953" s="306">
        <f t="shared" ca="1" si="426"/>
        <v>0</v>
      </c>
      <c r="S953" s="307">
        <f t="shared" ca="1" si="427"/>
        <v>5.083000000000002</v>
      </c>
      <c r="T953" s="304">
        <f t="shared" ca="1" si="407"/>
        <v>49.86423000000002</v>
      </c>
      <c r="U953" s="311">
        <f t="shared" ca="1" si="408"/>
        <v>0</v>
      </c>
      <c r="V953" s="306">
        <f t="shared" ca="1" si="409"/>
        <v>1.226017257086828</v>
      </c>
      <c r="W953" s="304">
        <f t="shared" ca="1" si="410"/>
        <v>43.256410376921835</v>
      </c>
      <c r="Y953" s="314" t="str">
        <f t="shared" ca="1" si="428"/>
        <v/>
      </c>
      <c r="Z953" s="315" t="str">
        <f t="shared" ca="1" si="429"/>
        <v/>
      </c>
      <c r="AA953" s="316" t="str">
        <f t="shared" ca="1" si="430"/>
        <v/>
      </c>
      <c r="AC953" s="310" t="e">
        <f t="shared" ca="1" si="431"/>
        <v>#N/A</v>
      </c>
      <c r="AD953" s="323" t="e">
        <f t="shared" ca="1" si="432"/>
        <v>#N/A</v>
      </c>
      <c r="AE953" s="324" t="e">
        <f t="shared" ca="1" si="411"/>
        <v>#N/A</v>
      </c>
      <c r="AG953" s="306">
        <f t="shared" ca="1" si="433"/>
        <v>1.2638251900911435</v>
      </c>
      <c r="AH953" s="304">
        <f t="shared" ca="1" si="434"/>
        <v>-8.5099866577282874</v>
      </c>
    </row>
    <row r="954" spans="1:34" x14ac:dyDescent="0.2">
      <c r="A954" s="347">
        <f t="shared" ca="1" si="412"/>
        <v>1E-4</v>
      </c>
      <c r="B954" s="304">
        <f t="shared" ca="1" si="413"/>
        <v>29.256800000000016</v>
      </c>
      <c r="D954" s="306">
        <f t="shared" ca="1" si="414"/>
        <v>-0.73027968212934002</v>
      </c>
      <c r="E954" s="307">
        <f t="shared" ca="1" si="415"/>
        <v>-1.3313762483812592</v>
      </c>
      <c r="F954" s="304">
        <f t="shared" ca="1" si="416"/>
        <v>1.5185095089872458</v>
      </c>
      <c r="G954" s="306">
        <f t="shared" ca="1" si="417"/>
        <v>9.198788434686147</v>
      </c>
      <c r="H954" s="307">
        <f t="shared" ca="1" si="418"/>
        <v>-106.79988013003533</v>
      </c>
      <c r="I954" s="304">
        <f t="shared" ca="1" si="419"/>
        <v>107.195298891584</v>
      </c>
      <c r="J954" s="306">
        <f t="shared" ca="1" si="420"/>
        <v>746.86410190403069</v>
      </c>
      <c r="K954" s="307">
        <f t="shared" ca="1" si="421"/>
        <v>-8.3113729600502797</v>
      </c>
      <c r="L954" s="304">
        <f t="shared" ca="1" si="406"/>
        <v>746.91034644955573</v>
      </c>
      <c r="M954" s="306">
        <f t="shared" ca="1" si="422"/>
        <v>-1.4848772987915875</v>
      </c>
      <c r="N954" s="304">
        <f t="shared" ca="1" si="423"/>
        <v>-85.077202315544056</v>
      </c>
      <c r="P954" s="310">
        <f t="shared" ca="1" si="424"/>
        <v>23</v>
      </c>
      <c r="Q954" s="304">
        <f t="shared" ca="1" si="425"/>
        <v>0</v>
      </c>
      <c r="R954" s="306">
        <f t="shared" ca="1" si="426"/>
        <v>0</v>
      </c>
      <c r="S954" s="307">
        <f t="shared" ca="1" si="427"/>
        <v>5.083000000000002</v>
      </c>
      <c r="T954" s="304">
        <f t="shared" ca="1" si="407"/>
        <v>49.86423000000002</v>
      </c>
      <c r="U954" s="311">
        <f t="shared" ca="1" si="408"/>
        <v>0</v>
      </c>
      <c r="V954" s="306">
        <f t="shared" ca="1" si="409"/>
        <v>1.2260185664718981</v>
      </c>
      <c r="W954" s="304">
        <f t="shared" ca="1" si="410"/>
        <v>43.256558570756219</v>
      </c>
      <c r="Y954" s="314" t="str">
        <f t="shared" ca="1" si="428"/>
        <v/>
      </c>
      <c r="Z954" s="315" t="str">
        <f t="shared" ca="1" si="429"/>
        <v/>
      </c>
      <c r="AA954" s="316" t="str">
        <f t="shared" ca="1" si="430"/>
        <v/>
      </c>
      <c r="AC954" s="310" t="e">
        <f t="shared" ca="1" si="431"/>
        <v>#N/A</v>
      </c>
      <c r="AD954" s="323" t="e">
        <f t="shared" ca="1" si="432"/>
        <v>#N/A</v>
      </c>
      <c r="AE954" s="324" t="e">
        <f t="shared" ca="1" si="411"/>
        <v>#N/A</v>
      </c>
      <c r="AG954" s="306">
        <f t="shared" ca="1" si="433"/>
        <v>1.2637966960583835</v>
      </c>
      <c r="AH954" s="304">
        <f t="shared" ca="1" si="434"/>
        <v>-8.5100158128903836</v>
      </c>
    </row>
    <row r="955" spans="1:34" x14ac:dyDescent="0.2">
      <c r="A955" s="347">
        <f t="shared" ca="1" si="412"/>
        <v>1E-4</v>
      </c>
      <c r="B955" s="304">
        <f t="shared" ca="1" si="413"/>
        <v>29.256900000000016</v>
      </c>
      <c r="D955" s="306">
        <f t="shared" ca="1" si="414"/>
        <v>-0.73027552548360763</v>
      </c>
      <c r="E955" s="307">
        <f t="shared" ca="1" si="415"/>
        <v>-1.3313466276215102</v>
      </c>
      <c r="F955" s="304">
        <f t="shared" ca="1" si="416"/>
        <v>1.5184815395649456</v>
      </c>
      <c r="G955" s="306">
        <f t="shared" ca="1" si="417"/>
        <v>9.1987154071335979</v>
      </c>
      <c r="H955" s="307">
        <f t="shared" ca="1" si="418"/>
        <v>-106.80001326469809</v>
      </c>
      <c r="I955" s="304">
        <f t="shared" ca="1" si="419"/>
        <v>107.1954252684373</v>
      </c>
      <c r="J955" s="306">
        <f t="shared" ca="1" si="420"/>
        <v>746.86410190403069</v>
      </c>
      <c r="K955" s="307">
        <f t="shared" ca="1" si="421"/>
        <v>-8.3220529547200162</v>
      </c>
      <c r="L955" s="304">
        <f t="shared" ca="1" si="406"/>
        <v>746.91046536937449</v>
      </c>
      <c r="M955" s="306">
        <f t="shared" ca="1" si="422"/>
        <v>-1.4848780841133755</v>
      </c>
      <c r="N955" s="304">
        <f t="shared" ca="1" si="423"/>
        <v>-85.077247311168065</v>
      </c>
      <c r="P955" s="310">
        <f t="shared" ca="1" si="424"/>
        <v>23</v>
      </c>
      <c r="Q955" s="304">
        <f t="shared" ca="1" si="425"/>
        <v>0</v>
      </c>
      <c r="R955" s="306">
        <f t="shared" ca="1" si="426"/>
        <v>0</v>
      </c>
      <c r="S955" s="307">
        <f t="shared" ca="1" si="427"/>
        <v>5.083000000000002</v>
      </c>
      <c r="T955" s="304">
        <f t="shared" ca="1" si="407"/>
        <v>49.86423000000002</v>
      </c>
      <c r="U955" s="311">
        <f t="shared" ca="1" si="408"/>
        <v>0</v>
      </c>
      <c r="V955" s="306">
        <f t="shared" ca="1" si="409"/>
        <v>1.2260198758599992</v>
      </c>
      <c r="W955" s="304">
        <f t="shared" ca="1" si="410"/>
        <v>43.256706762736044</v>
      </c>
      <c r="Y955" s="314" t="str">
        <f t="shared" ca="1" si="428"/>
        <v/>
      </c>
      <c r="Z955" s="315" t="str">
        <f t="shared" ca="1" si="429"/>
        <v/>
      </c>
      <c r="AA955" s="316" t="str">
        <f t="shared" ca="1" si="430"/>
        <v/>
      </c>
      <c r="AC955" s="310" t="e">
        <f t="shared" ca="1" si="431"/>
        <v>#N/A</v>
      </c>
      <c r="AD955" s="323" t="e">
        <f t="shared" ca="1" si="432"/>
        <v>#N/A</v>
      </c>
      <c r="AE955" s="324" t="e">
        <f t="shared" ca="1" si="411"/>
        <v>#N/A</v>
      </c>
      <c r="AG955" s="306">
        <f t="shared" ca="1" si="433"/>
        <v>1.2637682023776424</v>
      </c>
      <c r="AH955" s="304">
        <f t="shared" ca="1" si="434"/>
        <v>-8.5100449676876266</v>
      </c>
    </row>
    <row r="956" spans="1:34" x14ac:dyDescent="0.2">
      <c r="A956" s="347">
        <f t="shared" ca="1" si="412"/>
        <v>1E-4</v>
      </c>
      <c r="B956" s="304">
        <f t="shared" ca="1" si="413"/>
        <v>29.257000000000016</v>
      </c>
      <c r="D956" s="306">
        <f t="shared" ca="1" si="414"/>
        <v>-0.7302713688290543</v>
      </c>
      <c r="E956" s="307">
        <f t="shared" ca="1" si="415"/>
        <v>-1.3313170072324763</v>
      </c>
      <c r="F956" s="304">
        <f t="shared" ca="1" si="416"/>
        <v>1.5184535705374391</v>
      </c>
      <c r="G956" s="306">
        <f t="shared" ca="1" si="417"/>
        <v>9.1986423799967145</v>
      </c>
      <c r="H956" s="307">
        <f t="shared" ca="1" si="418"/>
        <v>-106.80014639639882</v>
      </c>
      <c r="I956" s="304">
        <f t="shared" ca="1" si="419"/>
        <v>107.19555164244126</v>
      </c>
      <c r="J956" s="306">
        <f t="shared" ca="1" si="420"/>
        <v>746.86410190403069</v>
      </c>
      <c r="K956" s="307">
        <f t="shared" ca="1" si="421"/>
        <v>-8.3327329627030711</v>
      </c>
      <c r="L956" s="304">
        <f t="shared" ca="1" si="406"/>
        <v>746.91058444203475</v>
      </c>
      <c r="M956" s="306">
        <f t="shared" ca="1" si="422"/>
        <v>-1.4848788694270776</v>
      </c>
      <c r="N956" s="304">
        <f t="shared" ca="1" si="423"/>
        <v>-85.0772923063288</v>
      </c>
      <c r="P956" s="310">
        <f t="shared" ca="1" si="424"/>
        <v>23</v>
      </c>
      <c r="Q956" s="304">
        <f t="shared" ca="1" si="425"/>
        <v>0</v>
      </c>
      <c r="R956" s="306">
        <f t="shared" ca="1" si="426"/>
        <v>0</v>
      </c>
      <c r="S956" s="307">
        <f t="shared" ca="1" si="427"/>
        <v>5.083000000000002</v>
      </c>
      <c r="T956" s="304">
        <f t="shared" ca="1" si="407"/>
        <v>49.86423000000002</v>
      </c>
      <c r="U956" s="311">
        <f t="shared" ca="1" si="408"/>
        <v>0</v>
      </c>
      <c r="V956" s="306">
        <f t="shared" ca="1" si="409"/>
        <v>1.2260211852511314</v>
      </c>
      <c r="W956" s="304">
        <f t="shared" ca="1" si="410"/>
        <v>43.25685495286131</v>
      </c>
      <c r="Y956" s="314" t="str">
        <f t="shared" ca="1" si="428"/>
        <v/>
      </c>
      <c r="Z956" s="315" t="str">
        <f t="shared" ca="1" si="429"/>
        <v/>
      </c>
      <c r="AA956" s="316" t="str">
        <f t="shared" ca="1" si="430"/>
        <v/>
      </c>
      <c r="AC956" s="310" t="e">
        <f t="shared" ca="1" si="431"/>
        <v>#N/A</v>
      </c>
      <c r="AD956" s="323" t="e">
        <f t="shared" ca="1" si="432"/>
        <v>#N/A</v>
      </c>
      <c r="AE956" s="324" t="e">
        <f t="shared" ca="1" si="411"/>
        <v>#N/A</v>
      </c>
      <c r="AG956" s="306">
        <f t="shared" ca="1" si="433"/>
        <v>1.2637397090489202</v>
      </c>
      <c r="AH956" s="304">
        <f t="shared" ca="1" si="434"/>
        <v>-8.5100741221200131</v>
      </c>
    </row>
    <row r="957" spans="1:34" x14ac:dyDescent="0.2">
      <c r="A957" s="347">
        <f t="shared" ca="1" si="412"/>
        <v>1E-4</v>
      </c>
      <c r="B957" s="304">
        <f t="shared" ca="1" si="413"/>
        <v>29.257100000000015</v>
      </c>
      <c r="D957" s="306">
        <f t="shared" ca="1" si="414"/>
        <v>-0.73026721216567814</v>
      </c>
      <c r="E957" s="307">
        <f t="shared" ca="1" si="415"/>
        <v>-1.3312873872141573</v>
      </c>
      <c r="F957" s="304">
        <f t="shared" ca="1" si="416"/>
        <v>1.518425601904726</v>
      </c>
      <c r="G957" s="306">
        <f t="shared" ca="1" si="417"/>
        <v>9.1985693532754986</v>
      </c>
      <c r="H957" s="307">
        <f t="shared" ca="1" si="418"/>
        <v>-106.80027952513754</v>
      </c>
      <c r="I957" s="304">
        <f t="shared" ca="1" si="419"/>
        <v>107.19567801359592</v>
      </c>
      <c r="J957" s="306">
        <f t="shared" ca="1" si="420"/>
        <v>746.86410190403069</v>
      </c>
      <c r="K957" s="307">
        <f t="shared" ca="1" si="421"/>
        <v>-8.3434129839991478</v>
      </c>
      <c r="L957" s="304">
        <f t="shared" ca="1" si="406"/>
        <v>746.9107036675374</v>
      </c>
      <c r="M957" s="306">
        <f t="shared" ca="1" si="422"/>
        <v>-1.4848796547326935</v>
      </c>
      <c r="N957" s="304">
        <f t="shared" ca="1" si="423"/>
        <v>-85.077337301026205</v>
      </c>
      <c r="P957" s="310">
        <f t="shared" ca="1" si="424"/>
        <v>23</v>
      </c>
      <c r="Q957" s="304">
        <f t="shared" ca="1" si="425"/>
        <v>0</v>
      </c>
      <c r="R957" s="306">
        <f t="shared" ca="1" si="426"/>
        <v>0</v>
      </c>
      <c r="S957" s="307">
        <f t="shared" ca="1" si="427"/>
        <v>5.083000000000002</v>
      </c>
      <c r="T957" s="304">
        <f t="shared" ca="1" si="407"/>
        <v>49.86423000000002</v>
      </c>
      <c r="U957" s="311">
        <f t="shared" ca="1" si="408"/>
        <v>0</v>
      </c>
      <c r="V957" s="306">
        <f t="shared" ca="1" si="409"/>
        <v>1.2260224946452949</v>
      </c>
      <c r="W957" s="304">
        <f t="shared" ca="1" si="410"/>
        <v>43.25700314113206</v>
      </c>
      <c r="Y957" s="314" t="str">
        <f t="shared" ca="1" si="428"/>
        <v/>
      </c>
      <c r="Z957" s="315" t="str">
        <f t="shared" ca="1" si="429"/>
        <v/>
      </c>
      <c r="AA957" s="316" t="str">
        <f t="shared" ca="1" si="430"/>
        <v/>
      </c>
      <c r="AC957" s="310" t="e">
        <f t="shared" ca="1" si="431"/>
        <v>#N/A</v>
      </c>
      <c r="AD957" s="323" t="e">
        <f t="shared" ca="1" si="432"/>
        <v>#N/A</v>
      </c>
      <c r="AE957" s="324" t="e">
        <f t="shared" ca="1" si="411"/>
        <v>#N/A</v>
      </c>
      <c r="AG957" s="306">
        <f t="shared" ca="1" si="433"/>
        <v>1.2637112160722186</v>
      </c>
      <c r="AH957" s="304">
        <f t="shared" ca="1" si="434"/>
        <v>-8.5101032761875448</v>
      </c>
    </row>
    <row r="958" spans="1:34" x14ac:dyDescent="0.2">
      <c r="A958" s="347">
        <f t="shared" ca="1" si="412"/>
        <v>1E-4</v>
      </c>
      <c r="B958" s="304">
        <f t="shared" ca="1" si="413"/>
        <v>29.257200000000015</v>
      </c>
      <c r="D958" s="306">
        <f t="shared" ca="1" si="414"/>
        <v>-0.73026305549348336</v>
      </c>
      <c r="E958" s="307">
        <f t="shared" ca="1" si="415"/>
        <v>-1.3312577675665409</v>
      </c>
      <c r="F958" s="304">
        <f t="shared" ca="1" si="416"/>
        <v>1.518397633666797</v>
      </c>
      <c r="G958" s="306">
        <f t="shared" ca="1" si="417"/>
        <v>9.1984963269699485</v>
      </c>
      <c r="H958" s="307">
        <f t="shared" ca="1" si="418"/>
        <v>-106.8004126509143</v>
      </c>
      <c r="I958" s="304">
        <f t="shared" ca="1" si="419"/>
        <v>107.19580438190133</v>
      </c>
      <c r="J958" s="306">
        <f t="shared" ca="1" si="420"/>
        <v>746.86410190403069</v>
      </c>
      <c r="K958" s="307">
        <f t="shared" ca="1" si="421"/>
        <v>-8.3540930186079496</v>
      </c>
      <c r="L958" s="304">
        <f t="shared" ca="1" si="406"/>
        <v>746.91082304588269</v>
      </c>
      <c r="M958" s="306">
        <f t="shared" ca="1" si="422"/>
        <v>-1.4848804400302233</v>
      </c>
      <c r="N958" s="304">
        <f t="shared" ca="1" si="423"/>
        <v>-85.077382295260335</v>
      </c>
      <c r="P958" s="310">
        <f t="shared" ca="1" si="424"/>
        <v>23</v>
      </c>
      <c r="Q958" s="304">
        <f t="shared" ca="1" si="425"/>
        <v>0</v>
      </c>
      <c r="R958" s="306">
        <f t="shared" ca="1" si="426"/>
        <v>0</v>
      </c>
      <c r="S958" s="307">
        <f t="shared" ca="1" si="427"/>
        <v>5.083000000000002</v>
      </c>
      <c r="T958" s="304">
        <f t="shared" ca="1" si="407"/>
        <v>49.86423000000002</v>
      </c>
      <c r="U958" s="311">
        <f t="shared" ca="1" si="408"/>
        <v>0</v>
      </c>
      <c r="V958" s="306">
        <f t="shared" ca="1" si="409"/>
        <v>1.2260238040424896</v>
      </c>
      <c r="W958" s="304">
        <f t="shared" ca="1" si="410"/>
        <v>43.257151327548293</v>
      </c>
      <c r="Y958" s="314" t="str">
        <f t="shared" ca="1" si="428"/>
        <v/>
      </c>
      <c r="Z958" s="315" t="str">
        <f t="shared" ca="1" si="429"/>
        <v/>
      </c>
      <c r="AA958" s="316" t="str">
        <f t="shared" ca="1" si="430"/>
        <v/>
      </c>
      <c r="AC958" s="310" t="e">
        <f t="shared" ca="1" si="431"/>
        <v>#N/A</v>
      </c>
      <c r="AD958" s="323" t="e">
        <f t="shared" ca="1" si="432"/>
        <v>#N/A</v>
      </c>
      <c r="AE958" s="324" t="e">
        <f t="shared" ca="1" si="411"/>
        <v>#N/A</v>
      </c>
      <c r="AG958" s="306">
        <f t="shared" ca="1" si="433"/>
        <v>1.2636827234475305</v>
      </c>
      <c r="AH958" s="304">
        <f t="shared" ca="1" si="434"/>
        <v>-8.5101324298902306</v>
      </c>
    </row>
    <row r="959" spans="1:34" x14ac:dyDescent="0.2">
      <c r="A959" s="347">
        <f t="shared" ca="1" si="412"/>
        <v>1E-4</v>
      </c>
      <c r="B959" s="304">
        <f t="shared" ca="1" si="413"/>
        <v>29.257300000000015</v>
      </c>
      <c r="D959" s="306">
        <f t="shared" ca="1" si="414"/>
        <v>-0.73025889881246941</v>
      </c>
      <c r="E959" s="307">
        <f t="shared" ca="1" si="415"/>
        <v>-1.3312281482896324</v>
      </c>
      <c r="F959" s="304">
        <f t="shared" ca="1" si="416"/>
        <v>1.518369665823657</v>
      </c>
      <c r="G959" s="306">
        <f t="shared" ca="1" si="417"/>
        <v>9.1984233010800676</v>
      </c>
      <c r="H959" s="307">
        <f t="shared" ca="1" si="418"/>
        <v>-106.80054577372913</v>
      </c>
      <c r="I959" s="304">
        <f t="shared" ca="1" si="419"/>
        <v>107.19593074735749</v>
      </c>
      <c r="J959" s="306">
        <f t="shared" ca="1" si="420"/>
        <v>746.86410190403069</v>
      </c>
      <c r="K959" s="307">
        <f t="shared" ca="1" si="421"/>
        <v>-8.3647730665291817</v>
      </c>
      <c r="L959" s="304">
        <f t="shared" ca="1" si="406"/>
        <v>746.91094257707107</v>
      </c>
      <c r="M959" s="306">
        <f t="shared" ca="1" si="422"/>
        <v>-1.4848812253196675</v>
      </c>
      <c r="N959" s="304">
        <f t="shared" ca="1" si="423"/>
        <v>-85.077427289031178</v>
      </c>
      <c r="P959" s="310">
        <f t="shared" ca="1" si="424"/>
        <v>23</v>
      </c>
      <c r="Q959" s="304">
        <f t="shared" ca="1" si="425"/>
        <v>0</v>
      </c>
      <c r="R959" s="306">
        <f t="shared" ca="1" si="426"/>
        <v>0</v>
      </c>
      <c r="S959" s="307">
        <f t="shared" ca="1" si="427"/>
        <v>5.083000000000002</v>
      </c>
      <c r="T959" s="304">
        <f t="shared" ca="1" si="407"/>
        <v>49.86423000000002</v>
      </c>
      <c r="U959" s="311">
        <f t="shared" ca="1" si="408"/>
        <v>0</v>
      </c>
      <c r="V959" s="306">
        <f t="shared" ca="1" si="409"/>
        <v>1.2260251134427156</v>
      </c>
      <c r="W959" s="304">
        <f t="shared" ca="1" si="410"/>
        <v>43.257299512110023</v>
      </c>
      <c r="Y959" s="314" t="str">
        <f t="shared" ca="1" si="428"/>
        <v/>
      </c>
      <c r="Z959" s="315" t="str">
        <f t="shared" ca="1" si="429"/>
        <v/>
      </c>
      <c r="AA959" s="316" t="str">
        <f t="shared" ca="1" si="430"/>
        <v/>
      </c>
      <c r="AC959" s="310" t="e">
        <f t="shared" ca="1" si="431"/>
        <v>#N/A</v>
      </c>
      <c r="AD959" s="323" t="e">
        <f t="shared" ca="1" si="432"/>
        <v>#N/A</v>
      </c>
      <c r="AE959" s="324" t="e">
        <f t="shared" ca="1" si="411"/>
        <v>#N/A</v>
      </c>
      <c r="AG959" s="306">
        <f t="shared" ca="1" si="433"/>
        <v>1.2636542311748542</v>
      </c>
      <c r="AH959" s="304">
        <f t="shared" ca="1" si="434"/>
        <v>-8.5101615832280686</v>
      </c>
    </row>
    <row r="960" spans="1:34" x14ac:dyDescent="0.2">
      <c r="A960" s="347">
        <f t="shared" ca="1" si="412"/>
        <v>1E-4</v>
      </c>
      <c r="B960" s="304">
        <f t="shared" ca="1" si="413"/>
        <v>29.257400000000015</v>
      </c>
      <c r="D960" s="306">
        <f t="shared" ca="1" si="414"/>
        <v>-0.73025474212263664</v>
      </c>
      <c r="E960" s="307">
        <f t="shared" ca="1" si="415"/>
        <v>-1.3311985293834248</v>
      </c>
      <c r="F960" s="304">
        <f t="shared" ca="1" si="416"/>
        <v>1.5183416983753002</v>
      </c>
      <c r="G960" s="306">
        <f t="shared" ca="1" si="417"/>
        <v>9.1983502756058559</v>
      </c>
      <c r="H960" s="307">
        <f t="shared" ca="1" si="418"/>
        <v>-106.80067889358206</v>
      </c>
      <c r="I960" s="304">
        <f t="shared" ca="1" si="419"/>
        <v>107.19605710996446</v>
      </c>
      <c r="J960" s="306">
        <f t="shared" ca="1" si="420"/>
        <v>746.86410190403069</v>
      </c>
      <c r="K960" s="307">
        <f t="shared" ca="1" si="421"/>
        <v>-8.3754531277625475</v>
      </c>
      <c r="L960" s="304">
        <f t="shared" ca="1" si="406"/>
        <v>746.91106226110332</v>
      </c>
      <c r="M960" s="306">
        <f t="shared" ca="1" si="422"/>
        <v>-1.4848820106010259</v>
      </c>
      <c r="N960" s="304">
        <f t="shared" ca="1" si="423"/>
        <v>-85.077472282338746</v>
      </c>
      <c r="P960" s="310">
        <f t="shared" ca="1" si="424"/>
        <v>23</v>
      </c>
      <c r="Q960" s="304">
        <f t="shared" ca="1" si="425"/>
        <v>0</v>
      </c>
      <c r="R960" s="306">
        <f t="shared" ca="1" si="426"/>
        <v>0</v>
      </c>
      <c r="S960" s="307">
        <f t="shared" ca="1" si="427"/>
        <v>5.083000000000002</v>
      </c>
      <c r="T960" s="304">
        <f t="shared" ca="1" si="407"/>
        <v>49.86423000000002</v>
      </c>
      <c r="U960" s="311">
        <f t="shared" ca="1" si="408"/>
        <v>0</v>
      </c>
      <c r="V960" s="306">
        <f t="shared" ca="1" si="409"/>
        <v>1.226026422845973</v>
      </c>
      <c r="W960" s="304">
        <f t="shared" ca="1" si="410"/>
        <v>43.257447694817259</v>
      </c>
      <c r="Y960" s="314" t="str">
        <f t="shared" ca="1" si="428"/>
        <v/>
      </c>
      <c r="Z960" s="315" t="str">
        <f t="shared" ca="1" si="429"/>
        <v/>
      </c>
      <c r="AA960" s="316" t="str">
        <f t="shared" ca="1" si="430"/>
        <v/>
      </c>
      <c r="AC960" s="310" t="e">
        <f t="shared" ca="1" si="431"/>
        <v>#N/A</v>
      </c>
      <c r="AD960" s="323" t="e">
        <f t="shared" ca="1" si="432"/>
        <v>#N/A</v>
      </c>
      <c r="AE960" s="324" t="e">
        <f t="shared" ca="1" si="411"/>
        <v>#N/A</v>
      </c>
      <c r="AG960" s="306">
        <f t="shared" ca="1" si="433"/>
        <v>1.2636257392541879</v>
      </c>
      <c r="AH960" s="304">
        <f t="shared" ca="1" si="434"/>
        <v>-8.5101907362010643</v>
      </c>
    </row>
    <row r="961" spans="1:34" x14ac:dyDescent="0.2">
      <c r="A961" s="347">
        <f t="shared" ca="1" si="412"/>
        <v>1E-4</v>
      </c>
      <c r="B961" s="304">
        <f t="shared" ca="1" si="413"/>
        <v>29.257500000000014</v>
      </c>
      <c r="D961" s="306">
        <f t="shared" ca="1" si="414"/>
        <v>-0.73025058542398613</v>
      </c>
      <c r="E961" s="307">
        <f t="shared" ca="1" si="415"/>
        <v>-1.3311689108479197</v>
      </c>
      <c r="F961" s="304">
        <f t="shared" ca="1" si="416"/>
        <v>1.5183137313217288</v>
      </c>
      <c r="G961" s="306">
        <f t="shared" ca="1" si="417"/>
        <v>9.1982772505473136</v>
      </c>
      <c r="H961" s="307">
        <f t="shared" ca="1" si="418"/>
        <v>-106.80081201047314</v>
      </c>
      <c r="I961" s="304">
        <f t="shared" ca="1" si="419"/>
        <v>107.19618346972227</v>
      </c>
      <c r="J961" s="306">
        <f t="shared" ca="1" si="420"/>
        <v>746.86410190403069</v>
      </c>
      <c r="K961" s="307">
        <f t="shared" ca="1" si="421"/>
        <v>-8.3861332023077502</v>
      </c>
      <c r="L961" s="304">
        <f t="shared" ca="1" si="406"/>
        <v>746.91118209797958</v>
      </c>
      <c r="M961" s="306">
        <f t="shared" ca="1" si="422"/>
        <v>-1.4848827958742985</v>
      </c>
      <c r="N961" s="304">
        <f t="shared" ca="1" si="423"/>
        <v>-85.077517275183027</v>
      </c>
      <c r="P961" s="310">
        <f t="shared" ca="1" si="424"/>
        <v>23</v>
      </c>
      <c r="Q961" s="304">
        <f t="shared" ca="1" si="425"/>
        <v>0</v>
      </c>
      <c r="R961" s="306">
        <f t="shared" ca="1" si="426"/>
        <v>0</v>
      </c>
      <c r="S961" s="307">
        <f t="shared" ca="1" si="427"/>
        <v>5.083000000000002</v>
      </c>
      <c r="T961" s="304">
        <f t="shared" ca="1" si="407"/>
        <v>49.86423000000002</v>
      </c>
      <c r="U961" s="311">
        <f t="shared" ca="1" si="408"/>
        <v>0</v>
      </c>
      <c r="V961" s="306">
        <f t="shared" ca="1" si="409"/>
        <v>1.226027732252261</v>
      </c>
      <c r="W961" s="304">
        <f t="shared" ca="1" si="410"/>
        <v>43.257595875670006</v>
      </c>
      <c r="Y961" s="314" t="str">
        <f t="shared" ca="1" si="428"/>
        <v/>
      </c>
      <c r="Z961" s="315" t="str">
        <f t="shared" ca="1" si="429"/>
        <v/>
      </c>
      <c r="AA961" s="316" t="str">
        <f t="shared" ca="1" si="430"/>
        <v/>
      </c>
      <c r="AC961" s="310" t="e">
        <f t="shared" ca="1" si="431"/>
        <v>#N/A</v>
      </c>
      <c r="AD961" s="323" t="e">
        <f t="shared" ca="1" si="432"/>
        <v>#N/A</v>
      </c>
      <c r="AE961" s="324" t="e">
        <f t="shared" ca="1" si="411"/>
        <v>#N/A</v>
      </c>
      <c r="AG961" s="306">
        <f t="shared" ca="1" si="433"/>
        <v>1.2635972476855297</v>
      </c>
      <c r="AH961" s="304">
        <f t="shared" ca="1" si="434"/>
        <v>-8.5102198888092158</v>
      </c>
    </row>
    <row r="962" spans="1:34" x14ac:dyDescent="0.2">
      <c r="A962" s="347">
        <f t="shared" ca="1" si="412"/>
        <v>1E-4</v>
      </c>
      <c r="B962" s="304">
        <f t="shared" ca="1" si="413"/>
        <v>29.257600000000014</v>
      </c>
      <c r="D962" s="306">
        <f t="shared" ca="1" si="414"/>
        <v>-0.73024642871652012</v>
      </c>
      <c r="E962" s="307">
        <f t="shared" ca="1" si="415"/>
        <v>-1.3311392926831136</v>
      </c>
      <c r="F962" s="304">
        <f t="shared" ca="1" si="416"/>
        <v>1.5182857646629411</v>
      </c>
      <c r="G962" s="306">
        <f t="shared" ca="1" si="417"/>
        <v>9.1982042259044423</v>
      </c>
      <c r="H962" s="307">
        <f t="shared" ca="1" si="418"/>
        <v>-106.8009451244024</v>
      </c>
      <c r="I962" s="304">
        <f t="shared" ca="1" si="419"/>
        <v>107.19630982663097</v>
      </c>
      <c r="J962" s="306">
        <f t="shared" ca="1" si="420"/>
        <v>746.86410190403069</v>
      </c>
      <c r="K962" s="307">
        <f t="shared" ca="1" si="421"/>
        <v>-8.3968132901644932</v>
      </c>
      <c r="L962" s="304">
        <f t="shared" ca="1" si="406"/>
        <v>746.91130208770051</v>
      </c>
      <c r="M962" s="306">
        <f t="shared" ca="1" si="422"/>
        <v>-1.4848835811394858</v>
      </c>
      <c r="N962" s="304">
        <f t="shared" ca="1" si="423"/>
        <v>-85.077562267564062</v>
      </c>
      <c r="P962" s="310">
        <f t="shared" ca="1" si="424"/>
        <v>23</v>
      </c>
      <c r="Q962" s="304">
        <f t="shared" ca="1" si="425"/>
        <v>0</v>
      </c>
      <c r="R962" s="306">
        <f t="shared" ca="1" si="426"/>
        <v>0</v>
      </c>
      <c r="S962" s="307">
        <f t="shared" ca="1" si="427"/>
        <v>5.083000000000002</v>
      </c>
      <c r="T962" s="304">
        <f t="shared" ca="1" si="407"/>
        <v>49.86423000000002</v>
      </c>
      <c r="U962" s="311">
        <f t="shared" ca="1" si="408"/>
        <v>0</v>
      </c>
      <c r="V962" s="306">
        <f t="shared" ca="1" si="409"/>
        <v>1.2260290416615802</v>
      </c>
      <c r="W962" s="304">
        <f t="shared" ca="1" si="410"/>
        <v>43.257744054668294</v>
      </c>
      <c r="Y962" s="314" t="str">
        <f t="shared" ca="1" si="428"/>
        <v/>
      </c>
      <c r="Z962" s="315" t="str">
        <f t="shared" ca="1" si="429"/>
        <v/>
      </c>
      <c r="AA962" s="316" t="str">
        <f t="shared" ca="1" si="430"/>
        <v/>
      </c>
      <c r="AC962" s="310" t="e">
        <f t="shared" ca="1" si="431"/>
        <v>#N/A</v>
      </c>
      <c r="AD962" s="323" t="e">
        <f t="shared" ca="1" si="432"/>
        <v>#N/A</v>
      </c>
      <c r="AE962" s="324" t="e">
        <f t="shared" ca="1" si="411"/>
        <v>#N/A</v>
      </c>
      <c r="AG962" s="306">
        <f t="shared" ca="1" si="433"/>
        <v>1.263568756468878</v>
      </c>
      <c r="AH962" s="304">
        <f t="shared" ca="1" si="434"/>
        <v>-8.5102490410525267</v>
      </c>
    </row>
    <row r="963" spans="1:34" x14ac:dyDescent="0.2">
      <c r="A963" s="347">
        <f t="shared" ca="1" si="412"/>
        <v>1E-4</v>
      </c>
      <c r="B963" s="304">
        <f t="shared" ca="1" si="413"/>
        <v>29.257700000000014</v>
      </c>
      <c r="D963" s="306">
        <f t="shared" ca="1" si="414"/>
        <v>-0.7302422720002365</v>
      </c>
      <c r="E963" s="307">
        <f t="shared" ca="1" si="415"/>
        <v>-1.331109674889003</v>
      </c>
      <c r="F963" s="304">
        <f t="shared" ca="1" si="416"/>
        <v>1.5182577983989327</v>
      </c>
      <c r="G963" s="306">
        <f t="shared" ca="1" si="417"/>
        <v>9.1981312016772421</v>
      </c>
      <c r="H963" s="307">
        <f t="shared" ca="1" si="418"/>
        <v>-106.80107823536989</v>
      </c>
      <c r="I963" s="304">
        <f t="shared" ca="1" si="419"/>
        <v>107.19643618069058</v>
      </c>
      <c r="J963" s="306">
        <f t="shared" ca="1" si="420"/>
        <v>746.86410190403069</v>
      </c>
      <c r="K963" s="307">
        <f t="shared" ca="1" si="421"/>
        <v>-8.4074933913324816</v>
      </c>
      <c r="L963" s="304">
        <f t="shared" ca="1" si="406"/>
        <v>746.91142223026657</v>
      </c>
      <c r="M963" s="306">
        <f t="shared" ca="1" si="422"/>
        <v>-1.4848843663965876</v>
      </c>
      <c r="N963" s="304">
        <f t="shared" ca="1" si="423"/>
        <v>-85.077607259481823</v>
      </c>
      <c r="P963" s="310">
        <f t="shared" ca="1" si="424"/>
        <v>23</v>
      </c>
      <c r="Q963" s="304">
        <f t="shared" ca="1" si="425"/>
        <v>0</v>
      </c>
      <c r="R963" s="306">
        <f t="shared" ca="1" si="426"/>
        <v>0</v>
      </c>
      <c r="S963" s="307">
        <f t="shared" ca="1" si="427"/>
        <v>5.083000000000002</v>
      </c>
      <c r="T963" s="304">
        <f t="shared" ca="1" si="407"/>
        <v>49.86423000000002</v>
      </c>
      <c r="U963" s="311">
        <f t="shared" ca="1" si="408"/>
        <v>0</v>
      </c>
      <c r="V963" s="306">
        <f t="shared" ca="1" si="409"/>
        <v>1.2260303510739305</v>
      </c>
      <c r="W963" s="304">
        <f t="shared" ca="1" si="410"/>
        <v>43.25789223181215</v>
      </c>
      <c r="Y963" s="314" t="str">
        <f t="shared" ca="1" si="428"/>
        <v/>
      </c>
      <c r="Z963" s="315" t="str">
        <f t="shared" ca="1" si="429"/>
        <v/>
      </c>
      <c r="AA963" s="316" t="str">
        <f t="shared" ca="1" si="430"/>
        <v/>
      </c>
      <c r="AC963" s="310" t="e">
        <f t="shared" ca="1" si="431"/>
        <v>#N/A</v>
      </c>
      <c r="AD963" s="323" t="e">
        <f t="shared" ca="1" si="432"/>
        <v>#N/A</v>
      </c>
      <c r="AE963" s="324" t="e">
        <f t="shared" ca="1" si="411"/>
        <v>#N/A</v>
      </c>
      <c r="AG963" s="306">
        <f t="shared" ca="1" si="433"/>
        <v>1.2635402656042327</v>
      </c>
      <c r="AH963" s="304">
        <f t="shared" ca="1" si="434"/>
        <v>-8.5102781929310005</v>
      </c>
    </row>
    <row r="964" spans="1:34" x14ac:dyDescent="0.2">
      <c r="A964" s="347">
        <f t="shared" ca="1" si="412"/>
        <v>1E-4</v>
      </c>
      <c r="B964" s="304">
        <f t="shared" ca="1" si="413"/>
        <v>29.257800000000014</v>
      </c>
      <c r="D964" s="306">
        <f t="shared" ca="1" si="414"/>
        <v>-0.73023811527513949</v>
      </c>
      <c r="E964" s="307">
        <f t="shared" ca="1" si="415"/>
        <v>-1.3310800574655808</v>
      </c>
      <c r="F964" s="304">
        <f t="shared" ca="1" si="416"/>
        <v>1.5182298325297003</v>
      </c>
      <c r="G964" s="306">
        <f t="shared" ca="1" si="417"/>
        <v>9.1980581778657147</v>
      </c>
      <c r="H964" s="307">
        <f t="shared" ca="1" si="418"/>
        <v>-106.80121134337563</v>
      </c>
      <c r="I964" s="304">
        <f t="shared" ca="1" si="419"/>
        <v>107.19656253190114</v>
      </c>
      <c r="J964" s="306">
        <f t="shared" ca="1" si="420"/>
        <v>746.86410190403069</v>
      </c>
      <c r="K964" s="307">
        <f t="shared" ca="1" si="421"/>
        <v>-8.4181735058114189</v>
      </c>
      <c r="L964" s="304">
        <f t="shared" ref="L964:L1004" ca="1" si="435">SQRT(pos_x^2+pos_z^2)</f>
        <v>746.91154252567833</v>
      </c>
      <c r="M964" s="306">
        <f t="shared" ca="1" si="422"/>
        <v>-1.4848851516456041</v>
      </c>
      <c r="N964" s="304">
        <f t="shared" ca="1" si="423"/>
        <v>-85.077652250936339</v>
      </c>
      <c r="P964" s="310">
        <f t="shared" ca="1" si="424"/>
        <v>23</v>
      </c>
      <c r="Q964" s="304">
        <f t="shared" ca="1" si="425"/>
        <v>0</v>
      </c>
      <c r="R964" s="306">
        <f t="shared" ca="1" si="426"/>
        <v>0</v>
      </c>
      <c r="S964" s="307">
        <f t="shared" ca="1" si="427"/>
        <v>5.083000000000002</v>
      </c>
      <c r="T964" s="304">
        <f t="shared" ref="T964:T1004" ca="1" si="436">m*g</f>
        <v>49.86423000000002</v>
      </c>
      <c r="U964" s="311">
        <f t="shared" ref="U964:U1004" ca="1" si="437">IF(pos_xz&lt;L_rampe,Poids*COS(Beta),0)</f>
        <v>0</v>
      </c>
      <c r="V964" s="306">
        <f t="shared" ref="V964:V1004" ca="1" si="438">Rho_moyen*(20000-Alt_rampe-pos_z)/(20000+Alt_rampe+pos_z)</f>
        <v>1.226031660489312</v>
      </c>
      <c r="W964" s="304">
        <f t="shared" ref="W964:W1003" ca="1" si="439">1/2*Rho*Sref*Cx*vit_xz^2</f>
        <v>43.258040407101561</v>
      </c>
      <c r="Y964" s="314" t="str">
        <f t="shared" ca="1" si="428"/>
        <v/>
      </c>
      <c r="Z964" s="315" t="str">
        <f t="shared" ca="1" si="429"/>
        <v/>
      </c>
      <c r="AA964" s="316" t="str">
        <f t="shared" ca="1" si="430"/>
        <v/>
      </c>
      <c r="AC964" s="310" t="e">
        <f t="shared" ca="1" si="431"/>
        <v>#N/A</v>
      </c>
      <c r="AD964" s="323" t="e">
        <f t="shared" ca="1" si="432"/>
        <v>#N/A</v>
      </c>
      <c r="AE964" s="324" t="e">
        <f t="shared" ref="AE964:AE1004" ca="1" si="440">IF(t&lt;T_para, pos_z, NA())</f>
        <v>#N/A</v>
      </c>
      <c r="AG964" s="306">
        <f t="shared" ca="1" si="433"/>
        <v>1.2635117750915814</v>
      </c>
      <c r="AH964" s="304">
        <f t="shared" ca="1" si="434"/>
        <v>-8.5103073444446462</v>
      </c>
    </row>
    <row r="965" spans="1:34" x14ac:dyDescent="0.2">
      <c r="A965" s="347">
        <f t="shared" ref="A965:A1004" ca="1" si="441">IF(B964+0.01&lt;=T_ini+ROUNDUP(Temps_fin_propu,0), 0.01, IF(K964&gt;0, 0.1, 0.0001))</f>
        <v>1E-4</v>
      </c>
      <c r="B965" s="304">
        <f t="shared" ref="B965:B1004" ca="1" si="442">B964+pas</f>
        <v>29.257900000000014</v>
      </c>
      <c r="D965" s="306">
        <f t="shared" ref="D965:D1004" ca="1" si="443">IF(AND(L964&lt;L_rampe,Poussee&lt;Poids*SIN(M964)),0,(-W964+Poussee)/m*COS(M964)-U964/m*SIN(M964))</f>
        <v>-0.73023395854122841</v>
      </c>
      <c r="E965" s="307">
        <f t="shared" ref="E965:E1004" ca="1" si="444">IF(AND(L964&lt;L_rampe,Poussee&lt;Poids*SIN(M964)),0,(-W964+Poussee)/m*SIN(M964)+U964/m*COS(M964)-Poids/m)</f>
        <v>-1.3310504404128505</v>
      </c>
      <c r="F965" s="304">
        <f t="shared" ref="F965:F1004" ca="1" si="445">SQRT(acc_x^2+acc_z^2)</f>
        <v>1.5182018670552464</v>
      </c>
      <c r="G965" s="306">
        <f t="shared" ref="G965:G1004" ca="1" si="446">G964+acc_x*pas</f>
        <v>9.1979851544698601</v>
      </c>
      <c r="H965" s="307">
        <f t="shared" ref="H965:H1004" ca="1" si="447">H964+acc_z*pas</f>
        <v>-106.80134444841967</v>
      </c>
      <c r="I965" s="304">
        <f t="shared" ref="I965:I1004" ca="1" si="448">SQRT(vit_x^2+vit_z^2)</f>
        <v>107.19668888026267</v>
      </c>
      <c r="J965" s="306">
        <f t="shared" ref="J965:J1004" ca="1" si="449">J964+0.5*(vit_x+G964)*pas*(K964&gt;=0)</f>
        <v>746.86410190403069</v>
      </c>
      <c r="K965" s="307">
        <f t="shared" ref="K965:K1004" ca="1" si="450">K964+0.5*(vit_z+H964)*pas</f>
        <v>-8.4288536336010083</v>
      </c>
      <c r="L965" s="304">
        <f t="shared" ca="1" si="435"/>
        <v>746.91166297393636</v>
      </c>
      <c r="M965" s="306">
        <f t="shared" ref="M965:M1004" ca="1" si="451">IF(AND(L964&gt;L_rampe,G965&gt;0),ATAN2(G965,H965),$M$4)</f>
        <v>-1.4848859368865355</v>
      </c>
      <c r="N965" s="304">
        <f t="shared" ref="N965:N1004" ca="1" si="452">DEGREES(Beta)</f>
        <v>-85.077697241927609</v>
      </c>
      <c r="P965" s="310">
        <f t="shared" ref="P965:P1004" ca="1" si="453">MATCH(t-pas/2-T_ini,CdP_t)</f>
        <v>23</v>
      </c>
      <c r="Q965" s="304">
        <f t="shared" ref="Q965:Q1004" ca="1" si="454">(INDEX(CdP,2,i_P+1)-INDEX(CdP,2,i_P+0))/(INDEX(CdP,1,i_P+1)-INDEX(CdP,1,i_P+0))*(t-pas/2-T_ini-INDEX(CdP,1,i_P+0))+INDEX(CdP,2,i_P+0)</f>
        <v>0</v>
      </c>
      <c r="R965" s="306">
        <f t="shared" ref="R965:R1004" ca="1" si="455">Poussee/(g*ISP)</f>
        <v>0</v>
      </c>
      <c r="S965" s="307">
        <f t="shared" ref="S965:S1004" ca="1" si="456">S964-Débit*pas</f>
        <v>5.083000000000002</v>
      </c>
      <c r="T965" s="304">
        <f t="shared" ca="1" si="436"/>
        <v>49.86423000000002</v>
      </c>
      <c r="U965" s="311">
        <f t="shared" ca="1" si="437"/>
        <v>0</v>
      </c>
      <c r="V965" s="306">
        <f t="shared" ca="1" si="438"/>
        <v>1.2260329699077244</v>
      </c>
      <c r="W965" s="304">
        <f t="shared" ca="1" si="439"/>
        <v>43.25818858053654</v>
      </c>
      <c r="Y965" s="314" t="str">
        <f t="shared" ref="Y965:Y1003" ca="1" si="457">IF(AND(pos_z&lt;=0,K964&gt;0),"Impact balistique","") &amp; IF(AND(H966&lt;0,vit_z&gt;=0),"Apogée","") &amp; IF(AND(Poussee=0,Q964&gt;0),"Fin de propulsion","") &amp; IF(AND(L966&gt;L_rampe,pos_xz&lt;=L_rampe),"Sortie de rampe","")</f>
        <v/>
      </c>
      <c r="Z965" s="315" t="str">
        <f t="shared" ref="Z965:Z1004" ca="1" si="458">IF(ABS(t-T_para)&lt;pas/2,"Para","")</f>
        <v/>
      </c>
      <c r="AA965" s="316" t="str">
        <f t="shared" ref="AA965:AA1004" ca="1" si="459">IF(ABS(t-T_satellite)&lt;pas/2,"Satellite","")</f>
        <v/>
      </c>
      <c r="AC965" s="310" t="e">
        <f t="shared" ref="AC965:AC1004" ca="1" si="460">IF(ABS(t-ROUND(t,0))&lt;0.001,t,NA())</f>
        <v>#N/A</v>
      </c>
      <c r="AD965" s="323" t="e">
        <f t="shared" ref="AD965:AD1004" ca="1" si="461">IF(ABS(t-ROUND(t,0))&lt;0.001,pos_x,NA())</f>
        <v>#N/A</v>
      </c>
      <c r="AE965" s="324" t="e">
        <f t="shared" ca="1" si="440"/>
        <v>#N/A</v>
      </c>
      <c r="AG965" s="306">
        <f t="shared" ref="AG965:AG1004" ca="1" si="462">IF(AND(L964&lt;L_rampe,Poussee&lt;Poids*SIN(M964)),0,(-W964+Poussee)/m-Poids*SIN(M964)/m)</f>
        <v>1.263483284930933</v>
      </c>
      <c r="AH965" s="304">
        <f t="shared" ref="AH965:AH1004" ca="1" si="463">IF(AND(L964&lt;L_rampe,Poussee&lt;Poids*SIN(M964)), g*SIN(M964), (-W964+Poussee)/m)</f>
        <v>-8.5103364955934566</v>
      </c>
    </row>
    <row r="966" spans="1:34" x14ac:dyDescent="0.2">
      <c r="A966" s="347">
        <f t="shared" ca="1" si="441"/>
        <v>1E-4</v>
      </c>
      <c r="B966" s="304">
        <f t="shared" ca="1" si="442"/>
        <v>29.258000000000013</v>
      </c>
      <c r="D966" s="306">
        <f t="shared" ca="1" si="443"/>
        <v>-0.73022980179850339</v>
      </c>
      <c r="E966" s="307">
        <f t="shared" ca="1" si="444"/>
        <v>-1.3310208237308068</v>
      </c>
      <c r="F966" s="304">
        <f t="shared" ca="1" si="445"/>
        <v>1.5181739019755665</v>
      </c>
      <c r="G966" s="306">
        <f t="shared" ca="1" si="446"/>
        <v>9.1979121314896801</v>
      </c>
      <c r="H966" s="307">
        <f t="shared" ca="1" si="447"/>
        <v>-106.80147755050204</v>
      </c>
      <c r="I966" s="304">
        <f t="shared" ca="1" si="448"/>
        <v>107.19681522577524</v>
      </c>
      <c r="J966" s="306">
        <f t="shared" ca="1" si="449"/>
        <v>746.86410190403069</v>
      </c>
      <c r="K966" s="307">
        <f t="shared" ca="1" si="450"/>
        <v>-8.4395337747009549</v>
      </c>
      <c r="L966" s="304">
        <f t="shared" ca="1" si="435"/>
        <v>746.91178357504077</v>
      </c>
      <c r="M966" s="306">
        <f t="shared" ca="1" si="451"/>
        <v>-1.4848867221193818</v>
      </c>
      <c r="N966" s="304">
        <f t="shared" ca="1" si="452"/>
        <v>-85.077742232455634</v>
      </c>
      <c r="P966" s="310">
        <f t="shared" ca="1" si="453"/>
        <v>23</v>
      </c>
      <c r="Q966" s="304">
        <f t="shared" ca="1" si="454"/>
        <v>0</v>
      </c>
      <c r="R966" s="306">
        <f t="shared" ca="1" si="455"/>
        <v>0</v>
      </c>
      <c r="S966" s="307">
        <f t="shared" ca="1" si="456"/>
        <v>5.083000000000002</v>
      </c>
      <c r="T966" s="304">
        <f t="shared" ca="1" si="436"/>
        <v>49.86423000000002</v>
      </c>
      <c r="U966" s="311">
        <f t="shared" ca="1" si="437"/>
        <v>0</v>
      </c>
      <c r="V966" s="306">
        <f t="shared" ca="1" si="438"/>
        <v>1.2260342793291674</v>
      </c>
      <c r="W966" s="304">
        <f t="shared" ca="1" si="439"/>
        <v>43.258336752117103</v>
      </c>
      <c r="Y966" s="314" t="str">
        <f t="shared" ca="1" si="457"/>
        <v/>
      </c>
      <c r="Z966" s="315" t="str">
        <f t="shared" ca="1" si="458"/>
        <v/>
      </c>
      <c r="AA966" s="316" t="str">
        <f t="shared" ca="1" si="459"/>
        <v/>
      </c>
      <c r="AC966" s="310" t="e">
        <f t="shared" ca="1" si="460"/>
        <v>#N/A</v>
      </c>
      <c r="AD966" s="323" t="e">
        <f t="shared" ca="1" si="461"/>
        <v>#N/A</v>
      </c>
      <c r="AE966" s="324" t="e">
        <f t="shared" ca="1" si="440"/>
        <v>#N/A</v>
      </c>
      <c r="AG966" s="306">
        <f t="shared" ca="1" si="462"/>
        <v>1.2634547951222803</v>
      </c>
      <c r="AH966" s="304">
        <f t="shared" ca="1" si="463"/>
        <v>-8.5103656463774389</v>
      </c>
    </row>
    <row r="967" spans="1:34" x14ac:dyDescent="0.2">
      <c r="A967" s="347">
        <f t="shared" ca="1" si="441"/>
        <v>1E-4</v>
      </c>
      <c r="B967" s="304">
        <f t="shared" ca="1" si="442"/>
        <v>29.258100000000013</v>
      </c>
      <c r="D967" s="306">
        <f t="shared" ca="1" si="443"/>
        <v>-0.73022564504696585</v>
      </c>
      <c r="E967" s="307">
        <f t="shared" ca="1" si="444"/>
        <v>-1.3309912074194514</v>
      </c>
      <c r="F967" s="304">
        <f t="shared" ca="1" si="445"/>
        <v>1.5181459372906634</v>
      </c>
      <c r="G967" s="306">
        <f t="shared" ca="1" si="446"/>
        <v>9.1978391089251748</v>
      </c>
      <c r="H967" s="307">
        <f t="shared" ca="1" si="447"/>
        <v>-106.80161064962279</v>
      </c>
      <c r="I967" s="304">
        <f t="shared" ca="1" si="448"/>
        <v>107.19694156843885</v>
      </c>
      <c r="J967" s="306">
        <f t="shared" ca="1" si="449"/>
        <v>746.86410190403069</v>
      </c>
      <c r="K967" s="307">
        <f t="shared" ca="1" si="450"/>
        <v>-8.4502139291109604</v>
      </c>
      <c r="L967" s="304">
        <f t="shared" ca="1" si="435"/>
        <v>746.91190432899248</v>
      </c>
      <c r="M967" s="306">
        <f t="shared" ca="1" si="451"/>
        <v>-1.4848875073441432</v>
      </c>
      <c r="N967" s="304">
        <f t="shared" ca="1" si="452"/>
        <v>-85.077787222520442</v>
      </c>
      <c r="P967" s="310">
        <f t="shared" ca="1" si="453"/>
        <v>23</v>
      </c>
      <c r="Q967" s="304">
        <f t="shared" ca="1" si="454"/>
        <v>0</v>
      </c>
      <c r="R967" s="306">
        <f t="shared" ca="1" si="455"/>
        <v>0</v>
      </c>
      <c r="S967" s="307">
        <f t="shared" ca="1" si="456"/>
        <v>5.083000000000002</v>
      </c>
      <c r="T967" s="304">
        <f t="shared" ca="1" si="436"/>
        <v>49.86423000000002</v>
      </c>
      <c r="U967" s="311">
        <f t="shared" ca="1" si="437"/>
        <v>0</v>
      </c>
      <c r="V967" s="306">
        <f t="shared" ca="1" si="438"/>
        <v>1.2260355887536418</v>
      </c>
      <c r="W967" s="304">
        <f t="shared" ca="1" si="439"/>
        <v>43.258484921843277</v>
      </c>
      <c r="Y967" s="314" t="str">
        <f t="shared" ca="1" si="457"/>
        <v/>
      </c>
      <c r="Z967" s="315" t="str">
        <f t="shared" ca="1" si="458"/>
        <v/>
      </c>
      <c r="AA967" s="316" t="str">
        <f t="shared" ca="1" si="459"/>
        <v/>
      </c>
      <c r="AC967" s="310" t="e">
        <f t="shared" ca="1" si="460"/>
        <v>#N/A</v>
      </c>
      <c r="AD967" s="323" t="e">
        <f t="shared" ca="1" si="461"/>
        <v>#N/A</v>
      </c>
      <c r="AE967" s="324" t="e">
        <f t="shared" ca="1" si="440"/>
        <v>#N/A</v>
      </c>
      <c r="AG967" s="306">
        <f t="shared" ca="1" si="462"/>
        <v>1.2634263056656252</v>
      </c>
      <c r="AH967" s="304">
        <f t="shared" ca="1" si="463"/>
        <v>-8.5103947967965929</v>
      </c>
    </row>
    <row r="968" spans="1:34" x14ac:dyDescent="0.2">
      <c r="A968" s="347">
        <f t="shared" ca="1" si="441"/>
        <v>1E-4</v>
      </c>
      <c r="B968" s="304">
        <f t="shared" ca="1" si="442"/>
        <v>29.258200000000013</v>
      </c>
      <c r="D968" s="306">
        <f t="shared" ca="1" si="443"/>
        <v>-0.73022148828661626</v>
      </c>
      <c r="E968" s="307">
        <f t="shared" ca="1" si="444"/>
        <v>-1.3309615914787738</v>
      </c>
      <c r="F968" s="304">
        <f t="shared" ca="1" si="445"/>
        <v>1.5181179730005276</v>
      </c>
      <c r="G968" s="306">
        <f t="shared" ca="1" si="446"/>
        <v>9.1977660867763458</v>
      </c>
      <c r="H968" s="307">
        <f t="shared" ca="1" si="447"/>
        <v>-106.80174374578193</v>
      </c>
      <c r="I968" s="304">
        <f t="shared" ca="1" si="448"/>
        <v>107.19706790825356</v>
      </c>
      <c r="J968" s="306">
        <f t="shared" ca="1" si="449"/>
        <v>746.86410190403069</v>
      </c>
      <c r="K968" s="307">
        <f t="shared" ca="1" si="450"/>
        <v>-8.4608940968307298</v>
      </c>
      <c r="L968" s="304">
        <f t="shared" ca="1" si="435"/>
        <v>746.91202523579182</v>
      </c>
      <c r="M968" s="306">
        <f t="shared" ca="1" si="451"/>
        <v>-1.4848882925608198</v>
      </c>
      <c r="N968" s="304">
        <f t="shared" ca="1" si="452"/>
        <v>-85.077832212122004</v>
      </c>
      <c r="P968" s="310">
        <f t="shared" ca="1" si="453"/>
        <v>23</v>
      </c>
      <c r="Q968" s="304">
        <f t="shared" ca="1" si="454"/>
        <v>0</v>
      </c>
      <c r="R968" s="306">
        <f t="shared" ca="1" si="455"/>
        <v>0</v>
      </c>
      <c r="S968" s="307">
        <f t="shared" ca="1" si="456"/>
        <v>5.083000000000002</v>
      </c>
      <c r="T968" s="304">
        <f t="shared" ca="1" si="436"/>
        <v>49.86423000000002</v>
      </c>
      <c r="U968" s="311">
        <f t="shared" ca="1" si="437"/>
        <v>0</v>
      </c>
      <c r="V968" s="306">
        <f t="shared" ca="1" si="438"/>
        <v>1.2260368981811469</v>
      </c>
      <c r="W968" s="304">
        <f t="shared" ca="1" si="439"/>
        <v>43.258633089715069</v>
      </c>
      <c r="Y968" s="314" t="str">
        <f t="shared" ca="1" si="457"/>
        <v/>
      </c>
      <c r="Z968" s="315" t="str">
        <f t="shared" ca="1" si="458"/>
        <v/>
      </c>
      <c r="AA968" s="316" t="str">
        <f t="shared" ca="1" si="459"/>
        <v/>
      </c>
      <c r="AC968" s="310" t="e">
        <f t="shared" ca="1" si="460"/>
        <v>#N/A</v>
      </c>
      <c r="AD968" s="323" t="e">
        <f t="shared" ca="1" si="461"/>
        <v>#N/A</v>
      </c>
      <c r="AE968" s="324" t="e">
        <f t="shared" ca="1" si="440"/>
        <v>#N/A</v>
      </c>
      <c r="AG968" s="306">
        <f t="shared" ca="1" si="462"/>
        <v>1.263397816560957</v>
      </c>
      <c r="AH968" s="304">
        <f t="shared" ca="1" si="463"/>
        <v>-8.510423946850926</v>
      </c>
    </row>
    <row r="969" spans="1:34" x14ac:dyDescent="0.2">
      <c r="A969" s="347">
        <f t="shared" ca="1" si="441"/>
        <v>1E-4</v>
      </c>
      <c r="B969" s="304">
        <f t="shared" ca="1" si="442"/>
        <v>29.258300000000013</v>
      </c>
      <c r="D969" s="306">
        <f t="shared" ca="1" si="443"/>
        <v>-0.73021733151745638</v>
      </c>
      <c r="E969" s="307">
        <f t="shared" ca="1" si="444"/>
        <v>-1.3309319759087739</v>
      </c>
      <c r="F969" s="304">
        <f t="shared" ca="1" si="445"/>
        <v>1.518090009105161</v>
      </c>
      <c r="G969" s="306">
        <f t="shared" ca="1" si="446"/>
        <v>9.1976930650431932</v>
      </c>
      <c r="H969" s="307">
        <f t="shared" ca="1" si="447"/>
        <v>-106.80187683897952</v>
      </c>
      <c r="I969" s="304">
        <f t="shared" ca="1" si="448"/>
        <v>107.19719424521938</v>
      </c>
      <c r="J969" s="306">
        <f t="shared" ca="1" si="449"/>
        <v>746.86410190403069</v>
      </c>
      <c r="K969" s="307">
        <f t="shared" ca="1" si="450"/>
        <v>-8.4715742778599683</v>
      </c>
      <c r="L969" s="304">
        <f t="shared" ca="1" si="435"/>
        <v>746.91214629543924</v>
      </c>
      <c r="M969" s="306">
        <f t="shared" ca="1" si="451"/>
        <v>-1.4848890777694117</v>
      </c>
      <c r="N969" s="304">
        <f t="shared" ca="1" si="452"/>
        <v>-85.077877201260364</v>
      </c>
      <c r="P969" s="310">
        <f t="shared" ca="1" si="453"/>
        <v>23</v>
      </c>
      <c r="Q969" s="304">
        <f t="shared" ca="1" si="454"/>
        <v>0</v>
      </c>
      <c r="R969" s="306">
        <f t="shared" ca="1" si="455"/>
        <v>0</v>
      </c>
      <c r="S969" s="307">
        <f t="shared" ca="1" si="456"/>
        <v>5.083000000000002</v>
      </c>
      <c r="T969" s="304">
        <f t="shared" ca="1" si="436"/>
        <v>49.86423000000002</v>
      </c>
      <c r="U969" s="311">
        <f t="shared" ca="1" si="437"/>
        <v>0</v>
      </c>
      <c r="V969" s="306">
        <f t="shared" ca="1" si="438"/>
        <v>1.2260382076116829</v>
      </c>
      <c r="W969" s="304">
        <f t="shared" ca="1" si="439"/>
        <v>43.258781255732472</v>
      </c>
      <c r="Y969" s="314" t="str">
        <f t="shared" ca="1" si="457"/>
        <v/>
      </c>
      <c r="Z969" s="315" t="str">
        <f t="shared" ca="1" si="458"/>
        <v/>
      </c>
      <c r="AA969" s="316" t="str">
        <f t="shared" ca="1" si="459"/>
        <v/>
      </c>
      <c r="AC969" s="310" t="e">
        <f t="shared" ca="1" si="460"/>
        <v>#N/A</v>
      </c>
      <c r="AD969" s="323" t="e">
        <f t="shared" ca="1" si="461"/>
        <v>#N/A</v>
      </c>
      <c r="AE969" s="324" t="e">
        <f t="shared" ca="1" si="440"/>
        <v>#N/A</v>
      </c>
      <c r="AG969" s="306">
        <f t="shared" ca="1" si="462"/>
        <v>1.2633693278082774</v>
      </c>
      <c r="AH969" s="304">
        <f t="shared" ca="1" si="463"/>
        <v>-8.5104530965404397</v>
      </c>
    </row>
    <row r="970" spans="1:34" x14ac:dyDescent="0.2">
      <c r="A970" s="347">
        <f t="shared" ca="1" si="441"/>
        <v>1E-4</v>
      </c>
      <c r="B970" s="304">
        <f t="shared" ca="1" si="442"/>
        <v>29.258400000000012</v>
      </c>
      <c r="D970" s="306">
        <f t="shared" ca="1" si="443"/>
        <v>-0.73021317473948544</v>
      </c>
      <c r="E970" s="307">
        <f t="shared" ca="1" si="444"/>
        <v>-1.330902360709457</v>
      </c>
      <c r="F970" s="304">
        <f t="shared" ca="1" si="445"/>
        <v>1.5180620456045675</v>
      </c>
      <c r="G970" s="306">
        <f t="shared" ca="1" si="446"/>
        <v>9.1976200437257187</v>
      </c>
      <c r="H970" s="307">
        <f t="shared" ca="1" si="447"/>
        <v>-106.8020099292156</v>
      </c>
      <c r="I970" s="304">
        <f t="shared" ca="1" si="448"/>
        <v>107.19732057933636</v>
      </c>
      <c r="J970" s="306">
        <f t="shared" ca="1" si="449"/>
        <v>746.86410190403069</v>
      </c>
      <c r="K970" s="307">
        <f t="shared" ca="1" si="450"/>
        <v>-8.4822544721983775</v>
      </c>
      <c r="L970" s="304">
        <f t="shared" ca="1" si="435"/>
        <v>746.91226750793533</v>
      </c>
      <c r="M970" s="306">
        <f t="shared" ca="1" si="451"/>
        <v>-1.484889862969919</v>
      </c>
      <c r="N970" s="304">
        <f t="shared" ca="1" si="452"/>
        <v>-85.077922189935506</v>
      </c>
      <c r="P970" s="310">
        <f t="shared" ca="1" si="453"/>
        <v>23</v>
      </c>
      <c r="Q970" s="304">
        <f t="shared" ca="1" si="454"/>
        <v>0</v>
      </c>
      <c r="R970" s="306">
        <f t="shared" ca="1" si="455"/>
        <v>0</v>
      </c>
      <c r="S970" s="307">
        <f t="shared" ca="1" si="456"/>
        <v>5.083000000000002</v>
      </c>
      <c r="T970" s="304">
        <f t="shared" ca="1" si="436"/>
        <v>49.86423000000002</v>
      </c>
      <c r="U970" s="311">
        <f t="shared" ca="1" si="437"/>
        <v>0</v>
      </c>
      <c r="V970" s="306">
        <f t="shared" ca="1" si="438"/>
        <v>1.2260395170452496</v>
      </c>
      <c r="W970" s="304">
        <f t="shared" ca="1" si="439"/>
        <v>43.258929419895516</v>
      </c>
      <c r="Y970" s="314" t="str">
        <f t="shared" ca="1" si="457"/>
        <v/>
      </c>
      <c r="Z970" s="315" t="str">
        <f t="shared" ca="1" si="458"/>
        <v/>
      </c>
      <c r="AA970" s="316" t="str">
        <f t="shared" ca="1" si="459"/>
        <v/>
      </c>
      <c r="AC970" s="310" t="e">
        <f t="shared" ca="1" si="460"/>
        <v>#N/A</v>
      </c>
      <c r="AD970" s="323" t="e">
        <f t="shared" ca="1" si="461"/>
        <v>#N/A</v>
      </c>
      <c r="AE970" s="324" t="e">
        <f t="shared" ca="1" si="440"/>
        <v>#N/A</v>
      </c>
      <c r="AG970" s="306">
        <f t="shared" ca="1" si="462"/>
        <v>1.26334083940759</v>
      </c>
      <c r="AH970" s="304">
        <f t="shared" ca="1" si="463"/>
        <v>-8.5104822458651306</v>
      </c>
    </row>
    <row r="971" spans="1:34" x14ac:dyDescent="0.2">
      <c r="A971" s="347">
        <f t="shared" ca="1" si="441"/>
        <v>1E-4</v>
      </c>
      <c r="B971" s="304">
        <f t="shared" ca="1" si="442"/>
        <v>29.258500000000012</v>
      </c>
      <c r="D971" s="306">
        <f t="shared" ca="1" si="443"/>
        <v>-0.73020901795270565</v>
      </c>
      <c r="E971" s="307">
        <f t="shared" ca="1" si="444"/>
        <v>-1.3308727458808143</v>
      </c>
      <c r="F971" s="304">
        <f t="shared" ca="1" si="445"/>
        <v>1.5180340824987408</v>
      </c>
      <c r="G971" s="306">
        <f t="shared" ca="1" si="446"/>
        <v>9.1975470228239242</v>
      </c>
      <c r="H971" s="307">
        <f t="shared" ca="1" si="447"/>
        <v>-106.80214301649019</v>
      </c>
      <c r="I971" s="304">
        <f t="shared" ca="1" si="448"/>
        <v>107.19744691060455</v>
      </c>
      <c r="J971" s="306">
        <f t="shared" ca="1" si="449"/>
        <v>746.86410190403069</v>
      </c>
      <c r="K971" s="307">
        <f t="shared" ca="1" si="450"/>
        <v>-8.4929346798456624</v>
      </c>
      <c r="L971" s="304">
        <f t="shared" ca="1" si="435"/>
        <v>746.91238887328041</v>
      </c>
      <c r="M971" s="306">
        <f t="shared" ca="1" si="451"/>
        <v>-1.4848906481623418</v>
      </c>
      <c r="N971" s="304">
        <f t="shared" ca="1" si="452"/>
        <v>-85.077967178147432</v>
      </c>
      <c r="P971" s="310">
        <f t="shared" ca="1" si="453"/>
        <v>23</v>
      </c>
      <c r="Q971" s="304">
        <f t="shared" ca="1" si="454"/>
        <v>0</v>
      </c>
      <c r="R971" s="306">
        <f t="shared" ca="1" si="455"/>
        <v>0</v>
      </c>
      <c r="S971" s="307">
        <f t="shared" ca="1" si="456"/>
        <v>5.083000000000002</v>
      </c>
      <c r="T971" s="304">
        <f t="shared" ca="1" si="436"/>
        <v>49.86423000000002</v>
      </c>
      <c r="U971" s="311">
        <f t="shared" ca="1" si="437"/>
        <v>0</v>
      </c>
      <c r="V971" s="306">
        <f t="shared" ca="1" si="438"/>
        <v>1.2260408264818472</v>
      </c>
      <c r="W971" s="304">
        <f t="shared" ca="1" si="439"/>
        <v>43.259077582204235</v>
      </c>
      <c r="Y971" s="314" t="str">
        <f t="shared" ca="1" si="457"/>
        <v/>
      </c>
      <c r="Z971" s="315" t="str">
        <f t="shared" ca="1" si="458"/>
        <v/>
      </c>
      <c r="AA971" s="316" t="str">
        <f t="shared" ca="1" si="459"/>
        <v/>
      </c>
      <c r="AC971" s="310" t="e">
        <f t="shared" ca="1" si="460"/>
        <v>#N/A</v>
      </c>
      <c r="AD971" s="323" t="e">
        <f t="shared" ca="1" si="461"/>
        <v>#N/A</v>
      </c>
      <c r="AE971" s="324" t="e">
        <f t="shared" ca="1" si="440"/>
        <v>#N/A</v>
      </c>
      <c r="AG971" s="306">
        <f t="shared" ca="1" si="462"/>
        <v>1.2633123513588878</v>
      </c>
      <c r="AH971" s="304">
        <f t="shared" ca="1" si="463"/>
        <v>-8.510511394825004</v>
      </c>
    </row>
    <row r="972" spans="1:34" x14ac:dyDescent="0.2">
      <c r="A972" s="347">
        <f t="shared" ca="1" si="441"/>
        <v>1E-4</v>
      </c>
      <c r="B972" s="304">
        <f t="shared" ca="1" si="442"/>
        <v>29.258600000000012</v>
      </c>
      <c r="D972" s="306">
        <f t="shared" ca="1" si="443"/>
        <v>-0.73020486115711758</v>
      </c>
      <c r="E972" s="307">
        <f t="shared" ca="1" si="444"/>
        <v>-1.3308431314228351</v>
      </c>
      <c r="F972" s="304">
        <f t="shared" ca="1" si="445"/>
        <v>1.5180061197876715</v>
      </c>
      <c r="G972" s="306">
        <f t="shared" ca="1" si="446"/>
        <v>9.1974740023378079</v>
      </c>
      <c r="H972" s="307">
        <f t="shared" ca="1" si="447"/>
        <v>-106.80227610080334</v>
      </c>
      <c r="I972" s="304">
        <f t="shared" ca="1" si="448"/>
        <v>107.19757323902397</v>
      </c>
      <c r="J972" s="306">
        <f t="shared" ca="1" si="449"/>
        <v>746.86410190403069</v>
      </c>
      <c r="K972" s="307">
        <f t="shared" ca="1" si="450"/>
        <v>-8.5036149008015265</v>
      </c>
      <c r="L972" s="304">
        <f t="shared" ca="1" si="435"/>
        <v>746.91251039147517</v>
      </c>
      <c r="M972" s="306">
        <f t="shared" ca="1" si="451"/>
        <v>-1.4848914333466801</v>
      </c>
      <c r="N972" s="304">
        <f t="shared" ca="1" si="452"/>
        <v>-85.078012165896155</v>
      </c>
      <c r="P972" s="310">
        <f t="shared" ca="1" si="453"/>
        <v>23</v>
      </c>
      <c r="Q972" s="304">
        <f t="shared" ca="1" si="454"/>
        <v>0</v>
      </c>
      <c r="R972" s="306">
        <f t="shared" ca="1" si="455"/>
        <v>0</v>
      </c>
      <c r="S972" s="307">
        <f t="shared" ca="1" si="456"/>
        <v>5.083000000000002</v>
      </c>
      <c r="T972" s="304">
        <f t="shared" ca="1" si="436"/>
        <v>49.86423000000002</v>
      </c>
      <c r="U972" s="311">
        <f t="shared" ca="1" si="437"/>
        <v>0</v>
      </c>
      <c r="V972" s="306">
        <f t="shared" ca="1" si="438"/>
        <v>1.2260421359214757</v>
      </c>
      <c r="W972" s="304">
        <f t="shared" ca="1" si="439"/>
        <v>43.259225742658614</v>
      </c>
      <c r="Y972" s="314" t="str">
        <f t="shared" ca="1" si="457"/>
        <v/>
      </c>
      <c r="Z972" s="315" t="str">
        <f t="shared" ca="1" si="458"/>
        <v/>
      </c>
      <c r="AA972" s="316" t="str">
        <f t="shared" ca="1" si="459"/>
        <v/>
      </c>
      <c r="AC972" s="310" t="e">
        <f t="shared" ca="1" si="460"/>
        <v>#N/A</v>
      </c>
      <c r="AD972" s="323" t="e">
        <f t="shared" ca="1" si="461"/>
        <v>#N/A</v>
      </c>
      <c r="AE972" s="324" t="e">
        <f t="shared" ca="1" si="440"/>
        <v>#N/A</v>
      </c>
      <c r="AG972" s="306">
        <f t="shared" ca="1" si="462"/>
        <v>1.2632838636621635</v>
      </c>
      <c r="AH972" s="304">
        <f t="shared" ca="1" si="463"/>
        <v>-8.5105405434200705</v>
      </c>
    </row>
    <row r="973" spans="1:34" x14ac:dyDescent="0.2">
      <c r="A973" s="347">
        <f t="shared" ca="1" si="441"/>
        <v>1E-4</v>
      </c>
      <c r="B973" s="304">
        <f t="shared" ca="1" si="442"/>
        <v>29.258700000000012</v>
      </c>
      <c r="D973" s="306">
        <f t="shared" ca="1" si="443"/>
        <v>-0.73020070435272411</v>
      </c>
      <c r="E973" s="307">
        <f t="shared" ca="1" si="444"/>
        <v>-1.3308135173355282</v>
      </c>
      <c r="F973" s="304">
        <f t="shared" ca="1" si="445"/>
        <v>1.5179781574713698</v>
      </c>
      <c r="G973" s="306">
        <f t="shared" ca="1" si="446"/>
        <v>9.1974009822673732</v>
      </c>
      <c r="H973" s="307">
        <f t="shared" ca="1" si="447"/>
        <v>-106.80240918215507</v>
      </c>
      <c r="I973" s="304">
        <f t="shared" ca="1" si="448"/>
        <v>107.19769956459464</v>
      </c>
      <c r="J973" s="306">
        <f t="shared" ca="1" si="449"/>
        <v>746.86410190403069</v>
      </c>
      <c r="K973" s="307">
        <f t="shared" ca="1" si="450"/>
        <v>-8.5142951350656748</v>
      </c>
      <c r="L973" s="304">
        <f t="shared" ca="1" si="435"/>
        <v>746.91263206251995</v>
      </c>
      <c r="M973" s="306">
        <f t="shared" ca="1" si="451"/>
        <v>-1.4848922185229343</v>
      </c>
      <c r="N973" s="304">
        <f t="shared" ca="1" si="452"/>
        <v>-85.078057153181703</v>
      </c>
      <c r="P973" s="310">
        <f t="shared" ca="1" si="453"/>
        <v>23</v>
      </c>
      <c r="Q973" s="304">
        <f t="shared" ca="1" si="454"/>
        <v>0</v>
      </c>
      <c r="R973" s="306">
        <f t="shared" ca="1" si="455"/>
        <v>0</v>
      </c>
      <c r="S973" s="307">
        <f t="shared" ca="1" si="456"/>
        <v>5.083000000000002</v>
      </c>
      <c r="T973" s="304">
        <f t="shared" ca="1" si="436"/>
        <v>49.86423000000002</v>
      </c>
      <c r="U973" s="311">
        <f t="shared" ca="1" si="437"/>
        <v>0</v>
      </c>
      <c r="V973" s="306">
        <f t="shared" ca="1" si="438"/>
        <v>1.2260434453641349</v>
      </c>
      <c r="W973" s="304">
        <f t="shared" ca="1" si="439"/>
        <v>43.259373901258662</v>
      </c>
      <c r="Y973" s="314" t="str">
        <f t="shared" ca="1" si="457"/>
        <v/>
      </c>
      <c r="Z973" s="315" t="str">
        <f t="shared" ca="1" si="458"/>
        <v/>
      </c>
      <c r="AA973" s="316" t="str">
        <f t="shared" ca="1" si="459"/>
        <v/>
      </c>
      <c r="AC973" s="310" t="e">
        <f t="shared" ca="1" si="460"/>
        <v>#N/A</v>
      </c>
      <c r="AD973" s="323" t="e">
        <f t="shared" ca="1" si="461"/>
        <v>#N/A</v>
      </c>
      <c r="AE973" s="324" t="e">
        <f t="shared" ca="1" si="440"/>
        <v>#N/A</v>
      </c>
      <c r="AG973" s="306">
        <f t="shared" ca="1" si="462"/>
        <v>1.2632553763174208</v>
      </c>
      <c r="AH973" s="304">
        <f t="shared" ca="1" si="463"/>
        <v>-8.5105696916503248</v>
      </c>
    </row>
    <row r="974" spans="1:34" x14ac:dyDescent="0.2">
      <c r="A974" s="347">
        <f t="shared" ca="1" si="441"/>
        <v>1E-4</v>
      </c>
      <c r="B974" s="304">
        <f t="shared" ca="1" si="442"/>
        <v>29.258800000000011</v>
      </c>
      <c r="D974" s="306">
        <f t="shared" ca="1" si="443"/>
        <v>-0.73019654753952135</v>
      </c>
      <c r="E974" s="307">
        <f t="shared" ca="1" si="444"/>
        <v>-1.330783903618892</v>
      </c>
      <c r="F974" s="304">
        <f t="shared" ca="1" si="445"/>
        <v>1.5179501955498318</v>
      </c>
      <c r="G974" s="306">
        <f t="shared" ca="1" si="446"/>
        <v>9.1973279626126185</v>
      </c>
      <c r="H974" s="307">
        <f t="shared" ca="1" si="447"/>
        <v>-106.80254226054544</v>
      </c>
      <c r="I974" s="304">
        <f t="shared" ca="1" si="448"/>
        <v>107.19782588731663</v>
      </c>
      <c r="J974" s="306">
        <f t="shared" ca="1" si="449"/>
        <v>746.86410190403069</v>
      </c>
      <c r="K974" s="307">
        <f t="shared" ca="1" si="450"/>
        <v>-8.524975382637809</v>
      </c>
      <c r="L974" s="304">
        <f t="shared" ca="1" si="435"/>
        <v>746.91275388641543</v>
      </c>
      <c r="M974" s="306">
        <f t="shared" ca="1" si="451"/>
        <v>-1.4848930036911043</v>
      </c>
      <c r="N974" s="304">
        <f t="shared" ca="1" si="452"/>
        <v>-85.078102140004049</v>
      </c>
      <c r="P974" s="310">
        <f t="shared" ca="1" si="453"/>
        <v>23</v>
      </c>
      <c r="Q974" s="304">
        <f t="shared" ca="1" si="454"/>
        <v>0</v>
      </c>
      <c r="R974" s="306">
        <f t="shared" ca="1" si="455"/>
        <v>0</v>
      </c>
      <c r="S974" s="307">
        <f t="shared" ca="1" si="456"/>
        <v>5.083000000000002</v>
      </c>
      <c r="T974" s="304">
        <f t="shared" ca="1" si="436"/>
        <v>49.86423000000002</v>
      </c>
      <c r="U974" s="311">
        <f t="shared" ca="1" si="437"/>
        <v>0</v>
      </c>
      <c r="V974" s="306">
        <f t="shared" ca="1" si="438"/>
        <v>1.2260447548098252</v>
      </c>
      <c r="W974" s="304">
        <f t="shared" ca="1" si="439"/>
        <v>43.259522058004428</v>
      </c>
      <c r="Y974" s="314" t="str">
        <f t="shared" ca="1" si="457"/>
        <v/>
      </c>
      <c r="Z974" s="315" t="str">
        <f t="shared" ca="1" si="458"/>
        <v/>
      </c>
      <c r="AA974" s="316" t="str">
        <f t="shared" ca="1" si="459"/>
        <v/>
      </c>
      <c r="AC974" s="310" t="e">
        <f t="shared" ca="1" si="460"/>
        <v>#N/A</v>
      </c>
      <c r="AD974" s="323" t="e">
        <f t="shared" ca="1" si="461"/>
        <v>#N/A</v>
      </c>
      <c r="AE974" s="324" t="e">
        <f t="shared" ca="1" si="440"/>
        <v>#N/A</v>
      </c>
      <c r="AG974" s="306">
        <f t="shared" ca="1" si="462"/>
        <v>1.2632268893246597</v>
      </c>
      <c r="AH974" s="304">
        <f t="shared" ca="1" si="463"/>
        <v>-8.510598839515767</v>
      </c>
    </row>
    <row r="975" spans="1:34" x14ac:dyDescent="0.2">
      <c r="A975" s="347">
        <f t="shared" ca="1" si="441"/>
        <v>1E-4</v>
      </c>
      <c r="B975" s="304">
        <f t="shared" ca="1" si="442"/>
        <v>29.258900000000011</v>
      </c>
      <c r="D975" s="306">
        <f t="shared" ca="1" si="443"/>
        <v>-0.73019239071751363</v>
      </c>
      <c r="E975" s="307">
        <f t="shared" ca="1" si="444"/>
        <v>-1.3307542902729121</v>
      </c>
      <c r="F975" s="304">
        <f t="shared" ca="1" si="445"/>
        <v>1.5179222340230478</v>
      </c>
      <c r="G975" s="306">
        <f t="shared" ca="1" si="446"/>
        <v>9.1972549433735473</v>
      </c>
      <c r="H975" s="307">
        <f t="shared" ca="1" si="447"/>
        <v>-106.80267533597447</v>
      </c>
      <c r="I975" s="304">
        <f t="shared" ca="1" si="448"/>
        <v>107.19795220718994</v>
      </c>
      <c r="J975" s="306">
        <f t="shared" ca="1" si="449"/>
        <v>746.86410190403069</v>
      </c>
      <c r="K975" s="307">
        <f t="shared" ca="1" si="450"/>
        <v>-8.5356556435176358</v>
      </c>
      <c r="L975" s="304">
        <f t="shared" ca="1" si="435"/>
        <v>746.91287586316184</v>
      </c>
      <c r="M975" s="306">
        <f t="shared" ca="1" si="451"/>
        <v>-1.4848937888511902</v>
      </c>
      <c r="N975" s="304">
        <f t="shared" ca="1" si="452"/>
        <v>-85.078147126363206</v>
      </c>
      <c r="P975" s="310">
        <f t="shared" ca="1" si="453"/>
        <v>23</v>
      </c>
      <c r="Q975" s="304">
        <f t="shared" ca="1" si="454"/>
        <v>0</v>
      </c>
      <c r="R975" s="306">
        <f t="shared" ca="1" si="455"/>
        <v>0</v>
      </c>
      <c r="S975" s="307">
        <f t="shared" ca="1" si="456"/>
        <v>5.083000000000002</v>
      </c>
      <c r="T975" s="304">
        <f t="shared" ca="1" si="436"/>
        <v>49.86423000000002</v>
      </c>
      <c r="U975" s="311">
        <f t="shared" ca="1" si="437"/>
        <v>0</v>
      </c>
      <c r="V975" s="306">
        <f t="shared" ca="1" si="438"/>
        <v>1.2260460642585458</v>
      </c>
      <c r="W975" s="304">
        <f t="shared" ca="1" si="439"/>
        <v>43.259670212895877</v>
      </c>
      <c r="Y975" s="314" t="str">
        <f t="shared" ca="1" si="457"/>
        <v/>
      </c>
      <c r="Z975" s="315" t="str">
        <f t="shared" ca="1" si="458"/>
        <v/>
      </c>
      <c r="AA975" s="316" t="str">
        <f t="shared" ca="1" si="459"/>
        <v/>
      </c>
      <c r="AC975" s="310" t="e">
        <f t="shared" ca="1" si="460"/>
        <v>#N/A</v>
      </c>
      <c r="AD975" s="323" t="e">
        <f t="shared" ca="1" si="461"/>
        <v>#N/A</v>
      </c>
      <c r="AE975" s="324" t="e">
        <f t="shared" ca="1" si="440"/>
        <v>#N/A</v>
      </c>
      <c r="AG975" s="306">
        <f t="shared" ca="1" si="462"/>
        <v>1.2631984026838676</v>
      </c>
      <c r="AH975" s="304">
        <f t="shared" ca="1" si="463"/>
        <v>-8.5106279870164094</v>
      </c>
    </row>
    <row r="976" spans="1:34" x14ac:dyDescent="0.2">
      <c r="A976" s="347">
        <f t="shared" ca="1" si="441"/>
        <v>1E-4</v>
      </c>
      <c r="B976" s="304">
        <f t="shared" ca="1" si="442"/>
        <v>29.259000000000011</v>
      </c>
      <c r="D976" s="306">
        <f t="shared" ca="1" si="443"/>
        <v>-0.73018823388670206</v>
      </c>
      <c r="E976" s="307">
        <f t="shared" ca="1" si="444"/>
        <v>-1.3307246772975994</v>
      </c>
      <c r="F976" s="304">
        <f t="shared" ca="1" si="445"/>
        <v>1.5178942728910274</v>
      </c>
      <c r="G976" s="306">
        <f t="shared" ca="1" si="446"/>
        <v>9.1971819245501578</v>
      </c>
      <c r="H976" s="307">
        <f t="shared" ca="1" si="447"/>
        <v>-106.8028084084422</v>
      </c>
      <c r="I976" s="304">
        <f t="shared" ca="1" si="448"/>
        <v>107.19807852421462</v>
      </c>
      <c r="J976" s="306">
        <f t="shared" ca="1" si="449"/>
        <v>746.86410190403069</v>
      </c>
      <c r="K976" s="307">
        <f t="shared" ca="1" si="450"/>
        <v>-8.546335917704857</v>
      </c>
      <c r="L976" s="304">
        <f t="shared" ca="1" si="435"/>
        <v>746.91299799275987</v>
      </c>
      <c r="M976" s="306">
        <f t="shared" ca="1" si="451"/>
        <v>-1.4848945740031922</v>
      </c>
      <c r="N976" s="304">
        <f t="shared" ca="1" si="452"/>
        <v>-85.078192112259202</v>
      </c>
      <c r="P976" s="310">
        <f t="shared" ca="1" si="453"/>
        <v>23</v>
      </c>
      <c r="Q976" s="304">
        <f t="shared" ca="1" si="454"/>
        <v>0</v>
      </c>
      <c r="R976" s="306">
        <f t="shared" ca="1" si="455"/>
        <v>0</v>
      </c>
      <c r="S976" s="307">
        <f t="shared" ca="1" si="456"/>
        <v>5.083000000000002</v>
      </c>
      <c r="T976" s="304">
        <f t="shared" ca="1" si="436"/>
        <v>49.86423000000002</v>
      </c>
      <c r="U976" s="311">
        <f t="shared" ca="1" si="437"/>
        <v>0</v>
      </c>
      <c r="V976" s="306">
        <f t="shared" ca="1" si="438"/>
        <v>1.226047373710297</v>
      </c>
      <c r="W976" s="304">
        <f t="shared" ca="1" si="439"/>
        <v>43.259818365933043</v>
      </c>
      <c r="Y976" s="314" t="str">
        <f t="shared" ca="1" si="457"/>
        <v/>
      </c>
      <c r="Z976" s="315" t="str">
        <f t="shared" ca="1" si="458"/>
        <v/>
      </c>
      <c r="AA976" s="316" t="str">
        <f t="shared" ca="1" si="459"/>
        <v/>
      </c>
      <c r="AC976" s="310" t="e">
        <f t="shared" ca="1" si="460"/>
        <v>#N/A</v>
      </c>
      <c r="AD976" s="323" t="e">
        <f t="shared" ca="1" si="461"/>
        <v>#N/A</v>
      </c>
      <c r="AE976" s="324" t="e">
        <f t="shared" ca="1" si="440"/>
        <v>#N/A</v>
      </c>
      <c r="AG976" s="306">
        <f t="shared" ca="1" si="462"/>
        <v>1.2631699163950554</v>
      </c>
      <c r="AH976" s="304">
        <f t="shared" ca="1" si="463"/>
        <v>-8.510657134152245</v>
      </c>
    </row>
    <row r="977" spans="1:34" x14ac:dyDescent="0.2">
      <c r="A977" s="347">
        <f t="shared" ca="1" si="441"/>
        <v>1E-4</v>
      </c>
      <c r="B977" s="304">
        <f t="shared" ca="1" si="442"/>
        <v>29.259100000000011</v>
      </c>
      <c r="D977" s="306">
        <f t="shared" ca="1" si="443"/>
        <v>-0.73018407704708477</v>
      </c>
      <c r="E977" s="307">
        <f t="shared" ca="1" si="444"/>
        <v>-1.330695064692943</v>
      </c>
      <c r="F977" s="304">
        <f t="shared" ca="1" si="445"/>
        <v>1.517866312153761</v>
      </c>
      <c r="G977" s="306">
        <f t="shared" ca="1" si="446"/>
        <v>9.1971089061424536</v>
      </c>
      <c r="H977" s="307">
        <f t="shared" ca="1" si="447"/>
        <v>-106.80294147794868</v>
      </c>
      <c r="I977" s="304">
        <f t="shared" ca="1" si="448"/>
        <v>107.19820483839072</v>
      </c>
      <c r="J977" s="306">
        <f t="shared" ca="1" si="449"/>
        <v>746.86410190403069</v>
      </c>
      <c r="K977" s="307">
        <f t="shared" ca="1" si="450"/>
        <v>-8.5570162051991758</v>
      </c>
      <c r="L977" s="304">
        <f t="shared" ca="1" si="435"/>
        <v>746.91312027521008</v>
      </c>
      <c r="M977" s="306">
        <f t="shared" ca="1" si="451"/>
        <v>-1.4848953591471103</v>
      </c>
      <c r="N977" s="304">
        <f t="shared" ca="1" si="452"/>
        <v>-85.078237097692025</v>
      </c>
      <c r="P977" s="310">
        <f t="shared" ca="1" si="453"/>
        <v>23</v>
      </c>
      <c r="Q977" s="304">
        <f t="shared" ca="1" si="454"/>
        <v>0</v>
      </c>
      <c r="R977" s="306">
        <f t="shared" ca="1" si="455"/>
        <v>0</v>
      </c>
      <c r="S977" s="307">
        <f t="shared" ca="1" si="456"/>
        <v>5.083000000000002</v>
      </c>
      <c r="T977" s="304">
        <f t="shared" ca="1" si="436"/>
        <v>49.86423000000002</v>
      </c>
      <c r="U977" s="311">
        <f t="shared" ca="1" si="437"/>
        <v>0</v>
      </c>
      <c r="V977" s="306">
        <f t="shared" ca="1" si="438"/>
        <v>1.2260486831650788</v>
      </c>
      <c r="W977" s="304">
        <f t="shared" ca="1" si="439"/>
        <v>43.259966517115949</v>
      </c>
      <c r="Y977" s="314" t="str">
        <f t="shared" ca="1" si="457"/>
        <v/>
      </c>
      <c r="Z977" s="315" t="str">
        <f t="shared" ca="1" si="458"/>
        <v/>
      </c>
      <c r="AA977" s="316" t="str">
        <f t="shared" ca="1" si="459"/>
        <v/>
      </c>
      <c r="AC977" s="310" t="e">
        <f t="shared" ca="1" si="460"/>
        <v>#N/A</v>
      </c>
      <c r="AD977" s="323" t="e">
        <f t="shared" ca="1" si="461"/>
        <v>#N/A</v>
      </c>
      <c r="AE977" s="324" t="e">
        <f t="shared" ca="1" si="440"/>
        <v>#N/A</v>
      </c>
      <c r="AG977" s="306">
        <f t="shared" ca="1" si="462"/>
        <v>1.2631414304582123</v>
      </c>
      <c r="AH977" s="304">
        <f t="shared" ca="1" si="463"/>
        <v>-8.5106862809232791</v>
      </c>
    </row>
    <row r="978" spans="1:34" x14ac:dyDescent="0.2">
      <c r="A978" s="347">
        <f t="shared" ca="1" si="441"/>
        <v>1E-4</v>
      </c>
      <c r="B978" s="304">
        <f t="shared" ca="1" si="442"/>
        <v>29.259200000000011</v>
      </c>
      <c r="D978" s="306">
        <f t="shared" ca="1" si="443"/>
        <v>-0.73017992019866584</v>
      </c>
      <c r="E978" s="307">
        <f t="shared" ca="1" si="444"/>
        <v>-1.330665452458943</v>
      </c>
      <c r="F978" s="304">
        <f t="shared" ca="1" si="445"/>
        <v>1.5178383518112506</v>
      </c>
      <c r="G978" s="306">
        <f t="shared" ca="1" si="446"/>
        <v>9.1970358881504328</v>
      </c>
      <c r="H978" s="307">
        <f t="shared" ca="1" si="447"/>
        <v>-106.80307454449392</v>
      </c>
      <c r="I978" s="304">
        <f t="shared" ca="1" si="448"/>
        <v>107.19833114971824</v>
      </c>
      <c r="J978" s="306">
        <f t="shared" ca="1" si="449"/>
        <v>746.86410190403069</v>
      </c>
      <c r="K978" s="307">
        <f t="shared" ca="1" si="450"/>
        <v>-8.5676965060002974</v>
      </c>
      <c r="L978" s="304">
        <f t="shared" ca="1" si="435"/>
        <v>746.91324271051269</v>
      </c>
      <c r="M978" s="306">
        <f t="shared" ca="1" si="451"/>
        <v>-1.4848961442829449</v>
      </c>
      <c r="N978" s="304">
        <f t="shared" ca="1" si="452"/>
        <v>-85.078282082661687</v>
      </c>
      <c r="P978" s="310">
        <f t="shared" ca="1" si="453"/>
        <v>23</v>
      </c>
      <c r="Q978" s="304">
        <f t="shared" ca="1" si="454"/>
        <v>0</v>
      </c>
      <c r="R978" s="306">
        <f t="shared" ca="1" si="455"/>
        <v>0</v>
      </c>
      <c r="S978" s="307">
        <f t="shared" ca="1" si="456"/>
        <v>5.083000000000002</v>
      </c>
      <c r="T978" s="304">
        <f t="shared" ca="1" si="436"/>
        <v>49.86423000000002</v>
      </c>
      <c r="U978" s="311">
        <f t="shared" ca="1" si="437"/>
        <v>0</v>
      </c>
      <c r="V978" s="306">
        <f t="shared" ca="1" si="438"/>
        <v>1.2260499926228916</v>
      </c>
      <c r="W978" s="304">
        <f t="shared" ca="1" si="439"/>
        <v>43.260114666444593</v>
      </c>
      <c r="Y978" s="314" t="str">
        <f t="shared" ca="1" si="457"/>
        <v/>
      </c>
      <c r="Z978" s="315" t="str">
        <f t="shared" ca="1" si="458"/>
        <v/>
      </c>
      <c r="AA978" s="316" t="str">
        <f t="shared" ca="1" si="459"/>
        <v/>
      </c>
      <c r="AC978" s="310" t="e">
        <f t="shared" ca="1" si="460"/>
        <v>#N/A</v>
      </c>
      <c r="AD978" s="323" t="e">
        <f t="shared" ca="1" si="461"/>
        <v>#N/A</v>
      </c>
      <c r="AE978" s="324" t="e">
        <f t="shared" ca="1" si="440"/>
        <v>#N/A</v>
      </c>
      <c r="AG978" s="306">
        <f t="shared" ca="1" si="462"/>
        <v>1.2631129448733383</v>
      </c>
      <c r="AH978" s="304">
        <f t="shared" ca="1" si="463"/>
        <v>-8.5107154273295169</v>
      </c>
    </row>
    <row r="979" spans="1:34" x14ac:dyDescent="0.2">
      <c r="A979" s="347">
        <f t="shared" ca="1" si="441"/>
        <v>1E-4</v>
      </c>
      <c r="B979" s="304">
        <f t="shared" ca="1" si="442"/>
        <v>29.25930000000001</v>
      </c>
      <c r="D979" s="306">
        <f t="shared" ca="1" si="443"/>
        <v>-0.73017576334144285</v>
      </c>
      <c r="E979" s="307">
        <f t="shared" ca="1" si="444"/>
        <v>-1.3306358405955976</v>
      </c>
      <c r="F979" s="304">
        <f t="shared" ca="1" si="445"/>
        <v>1.5178103918634933</v>
      </c>
      <c r="G979" s="306">
        <f t="shared" ca="1" si="446"/>
        <v>9.1969628705740991</v>
      </c>
      <c r="H979" s="307">
        <f t="shared" ca="1" si="447"/>
        <v>-106.80320760807798</v>
      </c>
      <c r="I979" s="304">
        <f t="shared" ca="1" si="448"/>
        <v>107.19845745819725</v>
      </c>
      <c r="J979" s="306">
        <f t="shared" ca="1" si="449"/>
        <v>746.86410190403069</v>
      </c>
      <c r="K979" s="307">
        <f t="shared" ca="1" si="450"/>
        <v>-8.5783768201079251</v>
      </c>
      <c r="L979" s="304">
        <f t="shared" ca="1" si="435"/>
        <v>746.9133652986684</v>
      </c>
      <c r="M979" s="306">
        <f t="shared" ca="1" si="451"/>
        <v>-1.484896929410696</v>
      </c>
      <c r="N979" s="304">
        <f t="shared" ca="1" si="452"/>
        <v>-85.078327067168203</v>
      </c>
      <c r="P979" s="310">
        <f t="shared" ca="1" si="453"/>
        <v>23</v>
      </c>
      <c r="Q979" s="304">
        <f t="shared" ca="1" si="454"/>
        <v>0</v>
      </c>
      <c r="R979" s="306">
        <f t="shared" ca="1" si="455"/>
        <v>0</v>
      </c>
      <c r="S979" s="307">
        <f t="shared" ca="1" si="456"/>
        <v>5.083000000000002</v>
      </c>
      <c r="T979" s="304">
        <f t="shared" ca="1" si="436"/>
        <v>49.86423000000002</v>
      </c>
      <c r="U979" s="311">
        <f t="shared" ca="1" si="437"/>
        <v>0</v>
      </c>
      <c r="V979" s="306">
        <f t="shared" ca="1" si="438"/>
        <v>1.2260513020837345</v>
      </c>
      <c r="W979" s="304">
        <f t="shared" ca="1" si="439"/>
        <v>43.260262813918985</v>
      </c>
      <c r="Y979" s="314" t="str">
        <f t="shared" ca="1" si="457"/>
        <v/>
      </c>
      <c r="Z979" s="315" t="str">
        <f t="shared" ca="1" si="458"/>
        <v/>
      </c>
      <c r="AA979" s="316" t="str">
        <f t="shared" ca="1" si="459"/>
        <v/>
      </c>
      <c r="AC979" s="310" t="e">
        <f t="shared" ca="1" si="460"/>
        <v>#N/A</v>
      </c>
      <c r="AD979" s="323" t="e">
        <f t="shared" ca="1" si="461"/>
        <v>#N/A</v>
      </c>
      <c r="AE979" s="324" t="e">
        <f t="shared" ca="1" si="440"/>
        <v>#N/A</v>
      </c>
      <c r="AG979" s="306">
        <f t="shared" ca="1" si="462"/>
        <v>1.2630844596404316</v>
      </c>
      <c r="AH979" s="304">
        <f t="shared" ca="1" si="463"/>
        <v>-8.5107445733709568</v>
      </c>
    </row>
    <row r="980" spans="1:34" x14ac:dyDescent="0.2">
      <c r="A980" s="347">
        <f t="shared" ca="1" si="441"/>
        <v>1E-4</v>
      </c>
      <c r="B980" s="304">
        <f t="shared" ca="1" si="442"/>
        <v>29.25940000000001</v>
      </c>
      <c r="D980" s="306">
        <f t="shared" ca="1" si="443"/>
        <v>-0.73017160647541779</v>
      </c>
      <c r="E980" s="307">
        <f t="shared" ca="1" si="444"/>
        <v>-1.3306062291029033</v>
      </c>
      <c r="F980" s="304">
        <f t="shared" ca="1" si="445"/>
        <v>1.5177824323104876</v>
      </c>
      <c r="G980" s="306">
        <f t="shared" ca="1" si="446"/>
        <v>9.1968898534134524</v>
      </c>
      <c r="H980" s="307">
        <f t="shared" ca="1" si="447"/>
        <v>-106.8033406687009</v>
      </c>
      <c r="I980" s="304">
        <f t="shared" ca="1" si="448"/>
        <v>107.19858376382777</v>
      </c>
      <c r="J980" s="306">
        <f t="shared" ca="1" si="449"/>
        <v>746.86410190403069</v>
      </c>
      <c r="K980" s="307">
        <f t="shared" ca="1" si="450"/>
        <v>-8.5890571475217641</v>
      </c>
      <c r="L980" s="304">
        <f t="shared" ca="1" si="435"/>
        <v>746.91348803967765</v>
      </c>
      <c r="M980" s="306">
        <f t="shared" ca="1" si="451"/>
        <v>-1.4848977145303635</v>
      </c>
      <c r="N980" s="304">
        <f t="shared" ca="1" si="452"/>
        <v>-85.078372051211559</v>
      </c>
      <c r="P980" s="310">
        <f t="shared" ca="1" si="453"/>
        <v>23</v>
      </c>
      <c r="Q980" s="304">
        <f t="shared" ca="1" si="454"/>
        <v>0</v>
      </c>
      <c r="R980" s="306">
        <f t="shared" ca="1" si="455"/>
        <v>0</v>
      </c>
      <c r="S980" s="307">
        <f t="shared" ca="1" si="456"/>
        <v>5.083000000000002</v>
      </c>
      <c r="T980" s="304">
        <f t="shared" ca="1" si="436"/>
        <v>49.86423000000002</v>
      </c>
      <c r="U980" s="311">
        <f t="shared" ca="1" si="437"/>
        <v>0</v>
      </c>
      <c r="V980" s="306">
        <f t="shared" ca="1" si="438"/>
        <v>1.2260526115476083</v>
      </c>
      <c r="W980" s="304">
        <f t="shared" ca="1" si="439"/>
        <v>43.260410959539165</v>
      </c>
      <c r="Y980" s="314" t="str">
        <f t="shared" ca="1" si="457"/>
        <v/>
      </c>
      <c r="Z980" s="315" t="str">
        <f t="shared" ca="1" si="458"/>
        <v/>
      </c>
      <c r="AA980" s="316" t="str">
        <f t="shared" ca="1" si="459"/>
        <v/>
      </c>
      <c r="AC980" s="310" t="e">
        <f t="shared" ca="1" si="460"/>
        <v>#N/A</v>
      </c>
      <c r="AD980" s="323" t="e">
        <f t="shared" ca="1" si="461"/>
        <v>#N/A</v>
      </c>
      <c r="AE980" s="324" t="e">
        <f t="shared" ca="1" si="440"/>
        <v>#N/A</v>
      </c>
      <c r="AG980" s="306">
        <f t="shared" ca="1" si="462"/>
        <v>1.2630559747594923</v>
      </c>
      <c r="AH980" s="304">
        <f t="shared" ca="1" si="463"/>
        <v>-8.510773719047604</v>
      </c>
    </row>
    <row r="981" spans="1:34" x14ac:dyDescent="0.2">
      <c r="A981" s="347">
        <f t="shared" ca="1" si="441"/>
        <v>1E-4</v>
      </c>
      <c r="B981" s="304">
        <f t="shared" ca="1" si="442"/>
        <v>29.25950000000001</v>
      </c>
      <c r="D981" s="306">
        <f t="shared" ca="1" si="443"/>
        <v>-0.73016744960059254</v>
      </c>
      <c r="E981" s="307">
        <f t="shared" ca="1" si="444"/>
        <v>-1.3305766179808547</v>
      </c>
      <c r="F981" s="304">
        <f t="shared" ca="1" si="445"/>
        <v>1.5177544731522299</v>
      </c>
      <c r="G981" s="306">
        <f t="shared" ca="1" si="446"/>
        <v>9.1968168366684928</v>
      </c>
      <c r="H981" s="307">
        <f t="shared" ca="1" si="447"/>
        <v>-106.8034737263627</v>
      </c>
      <c r="I981" s="304">
        <f t="shared" ca="1" si="448"/>
        <v>107.19871006660983</v>
      </c>
      <c r="J981" s="306">
        <f t="shared" ca="1" si="449"/>
        <v>746.86410190403069</v>
      </c>
      <c r="K981" s="307">
        <f t="shared" ca="1" si="450"/>
        <v>-8.5997374882415176</v>
      </c>
      <c r="L981" s="304">
        <f t="shared" ca="1" si="435"/>
        <v>746.91361093354089</v>
      </c>
      <c r="M981" s="306">
        <f t="shared" ca="1" si="451"/>
        <v>-1.4848984996419474</v>
      </c>
      <c r="N981" s="304">
        <f t="shared" ca="1" si="452"/>
        <v>-85.078417034791769</v>
      </c>
      <c r="P981" s="310">
        <f t="shared" ca="1" si="453"/>
        <v>23</v>
      </c>
      <c r="Q981" s="304">
        <f t="shared" ca="1" si="454"/>
        <v>0</v>
      </c>
      <c r="R981" s="306">
        <f t="shared" ca="1" si="455"/>
        <v>0</v>
      </c>
      <c r="S981" s="307">
        <f t="shared" ca="1" si="456"/>
        <v>5.083000000000002</v>
      </c>
      <c r="T981" s="304">
        <f t="shared" ca="1" si="436"/>
        <v>49.86423000000002</v>
      </c>
      <c r="U981" s="311">
        <f t="shared" ca="1" si="437"/>
        <v>0</v>
      </c>
      <c r="V981" s="306">
        <f t="shared" ca="1" si="438"/>
        <v>1.2260539210145127</v>
      </c>
      <c r="W981" s="304">
        <f t="shared" ca="1" si="439"/>
        <v>43.260559103305134</v>
      </c>
      <c r="Y981" s="314" t="str">
        <f t="shared" ca="1" si="457"/>
        <v/>
      </c>
      <c r="Z981" s="315" t="str">
        <f t="shared" ca="1" si="458"/>
        <v/>
      </c>
      <c r="AA981" s="316" t="str">
        <f t="shared" ca="1" si="459"/>
        <v/>
      </c>
      <c r="AC981" s="310" t="e">
        <f t="shared" ca="1" si="460"/>
        <v>#N/A</v>
      </c>
      <c r="AD981" s="323" t="e">
        <f t="shared" ca="1" si="461"/>
        <v>#N/A</v>
      </c>
      <c r="AE981" s="324" t="e">
        <f t="shared" ca="1" si="440"/>
        <v>#N/A</v>
      </c>
      <c r="AG981" s="306">
        <f t="shared" ca="1" si="462"/>
        <v>1.2630274902305132</v>
      </c>
      <c r="AH981" s="304">
        <f t="shared" ca="1" si="463"/>
        <v>-8.5108028643594622</v>
      </c>
    </row>
    <row r="982" spans="1:34" x14ac:dyDescent="0.2">
      <c r="A982" s="347">
        <f t="shared" ca="1" si="441"/>
        <v>1E-4</v>
      </c>
      <c r="B982" s="304">
        <f t="shared" ca="1" si="442"/>
        <v>29.25960000000001</v>
      </c>
      <c r="D982" s="306">
        <f t="shared" ca="1" si="443"/>
        <v>-0.73016329271696889</v>
      </c>
      <c r="E982" s="307">
        <f t="shared" ca="1" si="444"/>
        <v>-1.3305470072294519</v>
      </c>
      <c r="F982" s="304">
        <f t="shared" ca="1" si="445"/>
        <v>1.5177265143887213</v>
      </c>
      <c r="G982" s="306">
        <f t="shared" ca="1" si="446"/>
        <v>9.196743820339222</v>
      </c>
      <c r="H982" s="307">
        <f t="shared" ca="1" si="447"/>
        <v>-106.80360678106342</v>
      </c>
      <c r="I982" s="304">
        <f t="shared" ca="1" si="448"/>
        <v>107.19883636654347</v>
      </c>
      <c r="J982" s="306">
        <f t="shared" ca="1" si="449"/>
        <v>746.86410190403069</v>
      </c>
      <c r="K982" s="307">
        <f t="shared" ca="1" si="450"/>
        <v>-8.6104178422668891</v>
      </c>
      <c r="L982" s="304">
        <f t="shared" ca="1" si="435"/>
        <v>746.91373398025871</v>
      </c>
      <c r="M982" s="306">
        <f t="shared" ca="1" si="451"/>
        <v>-1.4848992847454483</v>
      </c>
      <c r="N982" s="304">
        <f t="shared" ca="1" si="452"/>
        <v>-85.078462017908848</v>
      </c>
      <c r="P982" s="310">
        <f t="shared" ca="1" si="453"/>
        <v>23</v>
      </c>
      <c r="Q982" s="304">
        <f t="shared" ca="1" si="454"/>
        <v>0</v>
      </c>
      <c r="R982" s="306">
        <f t="shared" ca="1" si="455"/>
        <v>0</v>
      </c>
      <c r="S982" s="307">
        <f t="shared" ca="1" si="456"/>
        <v>5.083000000000002</v>
      </c>
      <c r="T982" s="304">
        <f t="shared" ca="1" si="436"/>
        <v>49.86423000000002</v>
      </c>
      <c r="U982" s="311">
        <f t="shared" ca="1" si="437"/>
        <v>0</v>
      </c>
      <c r="V982" s="306">
        <f t="shared" ca="1" si="438"/>
        <v>1.2260552304844476</v>
      </c>
      <c r="W982" s="304">
        <f t="shared" ca="1" si="439"/>
        <v>43.260707245216885</v>
      </c>
      <c r="Y982" s="314" t="str">
        <f t="shared" ca="1" si="457"/>
        <v/>
      </c>
      <c r="Z982" s="315" t="str">
        <f t="shared" ca="1" si="458"/>
        <v/>
      </c>
      <c r="AA982" s="316" t="str">
        <f t="shared" ca="1" si="459"/>
        <v/>
      </c>
      <c r="AC982" s="310" t="e">
        <f t="shared" ca="1" si="460"/>
        <v>#N/A</v>
      </c>
      <c r="AD982" s="323" t="e">
        <f t="shared" ca="1" si="461"/>
        <v>#N/A</v>
      </c>
      <c r="AE982" s="324" t="e">
        <f t="shared" ca="1" si="440"/>
        <v>#N/A</v>
      </c>
      <c r="AG982" s="306">
        <f t="shared" ca="1" si="462"/>
        <v>1.2629990060534908</v>
      </c>
      <c r="AH982" s="304">
        <f t="shared" ca="1" si="463"/>
        <v>-8.5108320093065348</v>
      </c>
    </row>
    <row r="983" spans="1:34" x14ac:dyDescent="0.2">
      <c r="A983" s="347">
        <f t="shared" ca="1" si="441"/>
        <v>1E-4</v>
      </c>
      <c r="B983" s="304">
        <f t="shared" ca="1" si="442"/>
        <v>29.259700000000009</v>
      </c>
      <c r="D983" s="306">
        <f t="shared" ca="1" si="443"/>
        <v>-0.73015913582454484</v>
      </c>
      <c r="E983" s="307">
        <f t="shared" ca="1" si="444"/>
        <v>-1.3305173968486912</v>
      </c>
      <c r="F983" s="304">
        <f t="shared" ca="1" si="445"/>
        <v>1.5176985560199574</v>
      </c>
      <c r="G983" s="306">
        <f t="shared" ca="1" si="446"/>
        <v>9.19667080442564</v>
      </c>
      <c r="H983" s="307">
        <f t="shared" ca="1" si="447"/>
        <v>-106.8037398328031</v>
      </c>
      <c r="I983" s="304">
        <f t="shared" ca="1" si="448"/>
        <v>107.19896266362873</v>
      </c>
      <c r="J983" s="306">
        <f t="shared" ca="1" si="449"/>
        <v>746.86410190403069</v>
      </c>
      <c r="K983" s="307">
        <f t="shared" ca="1" si="450"/>
        <v>-8.6210982095975819</v>
      </c>
      <c r="L983" s="304">
        <f t="shared" ca="1" si="435"/>
        <v>746.91385717983155</v>
      </c>
      <c r="M983" s="306">
        <f t="shared" ca="1" si="451"/>
        <v>-1.4849000698408661</v>
      </c>
      <c r="N983" s="304">
        <f t="shared" ca="1" si="452"/>
        <v>-85.078507000562809</v>
      </c>
      <c r="P983" s="310">
        <f t="shared" ca="1" si="453"/>
        <v>23</v>
      </c>
      <c r="Q983" s="304">
        <f t="shared" ca="1" si="454"/>
        <v>0</v>
      </c>
      <c r="R983" s="306">
        <f t="shared" ca="1" si="455"/>
        <v>0</v>
      </c>
      <c r="S983" s="307">
        <f t="shared" ca="1" si="456"/>
        <v>5.083000000000002</v>
      </c>
      <c r="T983" s="304">
        <f t="shared" ca="1" si="436"/>
        <v>49.86423000000002</v>
      </c>
      <c r="U983" s="311">
        <f t="shared" ca="1" si="437"/>
        <v>0</v>
      </c>
      <c r="V983" s="306">
        <f t="shared" ca="1" si="438"/>
        <v>1.2260565399574126</v>
      </c>
      <c r="W983" s="304">
        <f t="shared" ca="1" si="439"/>
        <v>43.260855385274432</v>
      </c>
      <c r="Y983" s="314" t="str">
        <f t="shared" ca="1" si="457"/>
        <v/>
      </c>
      <c r="Z983" s="315" t="str">
        <f t="shared" ca="1" si="458"/>
        <v/>
      </c>
      <c r="AA983" s="316" t="str">
        <f t="shared" ca="1" si="459"/>
        <v/>
      </c>
      <c r="AC983" s="310" t="e">
        <f t="shared" ca="1" si="460"/>
        <v>#N/A</v>
      </c>
      <c r="AD983" s="323" t="e">
        <f t="shared" ca="1" si="461"/>
        <v>#N/A</v>
      </c>
      <c r="AE983" s="324" t="e">
        <f t="shared" ca="1" si="440"/>
        <v>#N/A</v>
      </c>
      <c r="AG983" s="306">
        <f t="shared" ca="1" si="462"/>
        <v>1.2629705222284286</v>
      </c>
      <c r="AH983" s="304">
        <f t="shared" ca="1" si="463"/>
        <v>-8.5108611538888201</v>
      </c>
    </row>
    <row r="984" spans="1:34" x14ac:dyDescent="0.2">
      <c r="A984" s="347">
        <f t="shared" ca="1" si="441"/>
        <v>1E-4</v>
      </c>
      <c r="B984" s="304">
        <f t="shared" ca="1" si="442"/>
        <v>29.259800000000009</v>
      </c>
      <c r="D984" s="306">
        <f t="shared" ca="1" si="443"/>
        <v>-0.7301549789233216</v>
      </c>
      <c r="E984" s="307">
        <f t="shared" ca="1" si="444"/>
        <v>-1.330487786838578</v>
      </c>
      <c r="F984" s="304">
        <f t="shared" ca="1" si="445"/>
        <v>1.5176705980459442</v>
      </c>
      <c r="G984" s="306">
        <f t="shared" ca="1" si="446"/>
        <v>9.1965977889277468</v>
      </c>
      <c r="H984" s="307">
        <f t="shared" ca="1" si="447"/>
        <v>-106.80387288158178</v>
      </c>
      <c r="I984" s="304">
        <f t="shared" ca="1" si="448"/>
        <v>107.19908895786564</v>
      </c>
      <c r="J984" s="306">
        <f t="shared" ca="1" si="449"/>
        <v>746.86410190403069</v>
      </c>
      <c r="K984" s="307">
        <f t="shared" ca="1" si="450"/>
        <v>-8.6317785902333011</v>
      </c>
      <c r="L984" s="304">
        <f t="shared" ca="1" si="435"/>
        <v>746.91398053225987</v>
      </c>
      <c r="M984" s="306">
        <f t="shared" ca="1" si="451"/>
        <v>-1.4849008549282008</v>
      </c>
      <c r="N984" s="304">
        <f t="shared" ca="1" si="452"/>
        <v>-85.078551982753638</v>
      </c>
      <c r="P984" s="310">
        <f t="shared" ca="1" si="453"/>
        <v>23</v>
      </c>
      <c r="Q984" s="304">
        <f t="shared" ca="1" si="454"/>
        <v>0</v>
      </c>
      <c r="R984" s="306">
        <f t="shared" ca="1" si="455"/>
        <v>0</v>
      </c>
      <c r="S984" s="307">
        <f t="shared" ca="1" si="456"/>
        <v>5.083000000000002</v>
      </c>
      <c r="T984" s="304">
        <f t="shared" ca="1" si="436"/>
        <v>49.86423000000002</v>
      </c>
      <c r="U984" s="311">
        <f t="shared" ca="1" si="437"/>
        <v>0</v>
      </c>
      <c r="V984" s="306">
        <f t="shared" ca="1" si="438"/>
        <v>1.226057849433408</v>
      </c>
      <c r="W984" s="304">
        <f t="shared" ca="1" si="439"/>
        <v>43.261003523477804</v>
      </c>
      <c r="Y984" s="314" t="str">
        <f t="shared" ca="1" si="457"/>
        <v/>
      </c>
      <c r="Z984" s="315" t="str">
        <f t="shared" ca="1" si="458"/>
        <v/>
      </c>
      <c r="AA984" s="316" t="str">
        <f t="shared" ca="1" si="459"/>
        <v/>
      </c>
      <c r="AC984" s="310" t="e">
        <f t="shared" ca="1" si="460"/>
        <v>#N/A</v>
      </c>
      <c r="AD984" s="323" t="e">
        <f t="shared" ca="1" si="461"/>
        <v>#N/A</v>
      </c>
      <c r="AE984" s="324" t="e">
        <f t="shared" ca="1" si="440"/>
        <v>#N/A</v>
      </c>
      <c r="AG984" s="306">
        <f t="shared" ca="1" si="462"/>
        <v>1.262942038755325</v>
      </c>
      <c r="AH984" s="304">
        <f t="shared" ca="1" si="463"/>
        <v>-8.5108902981063181</v>
      </c>
    </row>
    <row r="985" spans="1:34" x14ac:dyDescent="0.2">
      <c r="A985" s="347">
        <f t="shared" ca="1" si="441"/>
        <v>1E-4</v>
      </c>
      <c r="B985" s="304">
        <f t="shared" ca="1" si="442"/>
        <v>29.259900000000009</v>
      </c>
      <c r="D985" s="306">
        <f t="shared" ca="1" si="443"/>
        <v>-0.73015082201330173</v>
      </c>
      <c r="E985" s="307">
        <f t="shared" ca="1" si="444"/>
        <v>-1.3304581771990982</v>
      </c>
      <c r="F985" s="304">
        <f t="shared" ca="1" si="445"/>
        <v>1.5176426404666703</v>
      </c>
      <c r="G985" s="306">
        <f t="shared" ca="1" si="446"/>
        <v>9.196524773845546</v>
      </c>
      <c r="H985" s="307">
        <f t="shared" ca="1" si="447"/>
        <v>-106.8040059273995</v>
      </c>
      <c r="I985" s="304">
        <f t="shared" ca="1" si="448"/>
        <v>107.19921524925425</v>
      </c>
      <c r="J985" s="306">
        <f t="shared" ca="1" si="449"/>
        <v>746.86410190403069</v>
      </c>
      <c r="K985" s="307">
        <f t="shared" ca="1" si="450"/>
        <v>-8.64245898417375</v>
      </c>
      <c r="L985" s="304">
        <f t="shared" ca="1" si="435"/>
        <v>746.91410403754423</v>
      </c>
      <c r="M985" s="306">
        <f t="shared" ca="1" si="451"/>
        <v>-1.4849016400074526</v>
      </c>
      <c r="N985" s="304">
        <f t="shared" ca="1" si="452"/>
        <v>-85.078596964481349</v>
      </c>
      <c r="P985" s="310">
        <f t="shared" ca="1" si="453"/>
        <v>23</v>
      </c>
      <c r="Q985" s="304">
        <f t="shared" ca="1" si="454"/>
        <v>0</v>
      </c>
      <c r="R985" s="306">
        <f t="shared" ca="1" si="455"/>
        <v>0</v>
      </c>
      <c r="S985" s="307">
        <f t="shared" ca="1" si="456"/>
        <v>5.083000000000002</v>
      </c>
      <c r="T985" s="304">
        <f t="shared" ca="1" si="436"/>
        <v>49.86423000000002</v>
      </c>
      <c r="U985" s="311">
        <f t="shared" ca="1" si="437"/>
        <v>0</v>
      </c>
      <c r="V985" s="306">
        <f t="shared" ca="1" si="438"/>
        <v>1.2260591589124343</v>
      </c>
      <c r="W985" s="304">
        <f t="shared" ca="1" si="439"/>
        <v>43.26115165982705</v>
      </c>
      <c r="Y985" s="314" t="str">
        <f t="shared" ca="1" si="457"/>
        <v/>
      </c>
      <c r="Z985" s="315" t="str">
        <f t="shared" ca="1" si="458"/>
        <v/>
      </c>
      <c r="AA985" s="316" t="str">
        <f t="shared" ca="1" si="459"/>
        <v/>
      </c>
      <c r="AC985" s="310" t="e">
        <f t="shared" ca="1" si="460"/>
        <v>#N/A</v>
      </c>
      <c r="AD985" s="323" t="e">
        <f t="shared" ca="1" si="461"/>
        <v>#N/A</v>
      </c>
      <c r="AE985" s="324" t="e">
        <f t="shared" ca="1" si="440"/>
        <v>#N/A</v>
      </c>
      <c r="AG985" s="306">
        <f t="shared" ca="1" si="462"/>
        <v>1.2629135556341726</v>
      </c>
      <c r="AH985" s="304">
        <f t="shared" ca="1" si="463"/>
        <v>-8.5109194419590377</v>
      </c>
    </row>
    <row r="986" spans="1:34" x14ac:dyDescent="0.2">
      <c r="A986" s="347">
        <f t="shared" ca="1" si="441"/>
        <v>1E-4</v>
      </c>
      <c r="B986" s="304">
        <f t="shared" ca="1" si="442"/>
        <v>29.260000000000009</v>
      </c>
      <c r="D986" s="306">
        <f t="shared" ca="1" si="443"/>
        <v>-0.73014666509448545</v>
      </c>
      <c r="E986" s="307">
        <f t="shared" ca="1" si="444"/>
        <v>-1.3304285679302481</v>
      </c>
      <c r="F986" s="304">
        <f t="shared" ca="1" si="445"/>
        <v>1.5176146832821331</v>
      </c>
      <c r="G986" s="306">
        <f t="shared" ca="1" si="446"/>
        <v>9.1964517591790358</v>
      </c>
      <c r="H986" s="307">
        <f t="shared" ca="1" si="447"/>
        <v>-106.80413897025629</v>
      </c>
      <c r="I986" s="304">
        <f t="shared" ca="1" si="448"/>
        <v>107.19934153779455</v>
      </c>
      <c r="J986" s="306">
        <f t="shared" ca="1" si="449"/>
        <v>746.86410190403069</v>
      </c>
      <c r="K986" s="307">
        <f t="shared" ca="1" si="450"/>
        <v>-8.6531393914186321</v>
      </c>
      <c r="L986" s="304">
        <f t="shared" ca="1" si="435"/>
        <v>746.9142276956851</v>
      </c>
      <c r="M986" s="306">
        <f t="shared" ca="1" si="451"/>
        <v>-1.4849024250786216</v>
      </c>
      <c r="N986" s="304">
        <f t="shared" ca="1" si="452"/>
        <v>-85.078641945745943</v>
      </c>
      <c r="P986" s="310">
        <f t="shared" ca="1" si="453"/>
        <v>23</v>
      </c>
      <c r="Q986" s="304">
        <f t="shared" ca="1" si="454"/>
        <v>0</v>
      </c>
      <c r="R986" s="306">
        <f t="shared" ca="1" si="455"/>
        <v>0</v>
      </c>
      <c r="S986" s="307">
        <f t="shared" ca="1" si="456"/>
        <v>5.083000000000002</v>
      </c>
      <c r="T986" s="304">
        <f t="shared" ca="1" si="436"/>
        <v>49.86423000000002</v>
      </c>
      <c r="U986" s="311">
        <f t="shared" ca="1" si="437"/>
        <v>0</v>
      </c>
      <c r="V986" s="306">
        <f t="shared" ca="1" si="438"/>
        <v>1.2260604683944907</v>
      </c>
      <c r="W986" s="304">
        <f t="shared" ca="1" si="439"/>
        <v>43.261299794322092</v>
      </c>
      <c r="Y986" s="314" t="str">
        <f t="shared" ca="1" si="457"/>
        <v/>
      </c>
      <c r="Z986" s="315" t="str">
        <f t="shared" ca="1" si="458"/>
        <v/>
      </c>
      <c r="AA986" s="316" t="str">
        <f t="shared" ca="1" si="459"/>
        <v/>
      </c>
      <c r="AC986" s="310" t="e">
        <f t="shared" ca="1" si="460"/>
        <v>#N/A</v>
      </c>
      <c r="AD986" s="323" t="e">
        <f t="shared" ca="1" si="461"/>
        <v>#N/A</v>
      </c>
      <c r="AE986" s="324" t="e">
        <f t="shared" ca="1" si="440"/>
        <v>#N/A</v>
      </c>
      <c r="AG986" s="306">
        <f t="shared" ca="1" si="462"/>
        <v>1.2628850728649681</v>
      </c>
      <c r="AH986" s="304">
        <f t="shared" ca="1" si="463"/>
        <v>-8.510948585446986</v>
      </c>
    </row>
    <row r="987" spans="1:34" x14ac:dyDescent="0.2">
      <c r="A987" s="347">
        <f t="shared" ca="1" si="441"/>
        <v>1E-4</v>
      </c>
      <c r="B987" s="304">
        <f t="shared" ca="1" si="442"/>
        <v>29.260100000000008</v>
      </c>
      <c r="D987" s="306">
        <f t="shared" ca="1" si="443"/>
        <v>-0.73014250816687309</v>
      </c>
      <c r="E987" s="307">
        <f t="shared" ca="1" si="444"/>
        <v>-1.3303989590320402</v>
      </c>
      <c r="F987" s="304">
        <f t="shared" ca="1" si="445"/>
        <v>1.5175867264923439</v>
      </c>
      <c r="G987" s="306">
        <f t="shared" ca="1" si="446"/>
        <v>9.1963787449282197</v>
      </c>
      <c r="H987" s="307">
        <f t="shared" ca="1" si="447"/>
        <v>-106.80427201015219</v>
      </c>
      <c r="I987" s="304">
        <f t="shared" ca="1" si="448"/>
        <v>107.19946782348663</v>
      </c>
      <c r="J987" s="306">
        <f t="shared" ca="1" si="449"/>
        <v>746.86410190403069</v>
      </c>
      <c r="K987" s="307">
        <f t="shared" ca="1" si="450"/>
        <v>-8.6638198119676524</v>
      </c>
      <c r="L987" s="304">
        <f t="shared" ca="1" si="435"/>
        <v>746.91435150668281</v>
      </c>
      <c r="M987" s="306">
        <f t="shared" ca="1" si="451"/>
        <v>-1.4849032101417079</v>
      </c>
      <c r="N987" s="304">
        <f t="shared" ca="1" si="452"/>
        <v>-85.078686926547448</v>
      </c>
      <c r="P987" s="310">
        <f t="shared" ca="1" si="453"/>
        <v>23</v>
      </c>
      <c r="Q987" s="304">
        <f t="shared" ca="1" si="454"/>
        <v>0</v>
      </c>
      <c r="R987" s="306">
        <f t="shared" ca="1" si="455"/>
        <v>0</v>
      </c>
      <c r="S987" s="307">
        <f t="shared" ca="1" si="456"/>
        <v>5.083000000000002</v>
      </c>
      <c r="T987" s="304">
        <f t="shared" ca="1" si="436"/>
        <v>49.86423000000002</v>
      </c>
      <c r="U987" s="311">
        <f t="shared" ca="1" si="437"/>
        <v>0</v>
      </c>
      <c r="V987" s="306">
        <f t="shared" ca="1" si="438"/>
        <v>1.2260617778795777</v>
      </c>
      <c r="W987" s="304">
        <f t="shared" ca="1" si="439"/>
        <v>43.261447926963029</v>
      </c>
      <c r="Y987" s="314" t="str">
        <f t="shared" ca="1" si="457"/>
        <v/>
      </c>
      <c r="Z987" s="315" t="str">
        <f t="shared" ca="1" si="458"/>
        <v/>
      </c>
      <c r="AA987" s="316" t="str">
        <f t="shared" ca="1" si="459"/>
        <v/>
      </c>
      <c r="AC987" s="310" t="e">
        <f t="shared" ca="1" si="460"/>
        <v>#N/A</v>
      </c>
      <c r="AD987" s="323" t="e">
        <f t="shared" ca="1" si="461"/>
        <v>#N/A</v>
      </c>
      <c r="AE987" s="324" t="e">
        <f t="shared" ca="1" si="440"/>
        <v>#N/A</v>
      </c>
      <c r="AG987" s="306">
        <f t="shared" ca="1" si="462"/>
        <v>1.2628565904477185</v>
      </c>
      <c r="AH987" s="304">
        <f t="shared" ca="1" si="463"/>
        <v>-8.5109777285701504</v>
      </c>
    </row>
    <row r="988" spans="1:34" x14ac:dyDescent="0.2">
      <c r="A988" s="347">
        <f t="shared" ca="1" si="441"/>
        <v>1E-4</v>
      </c>
      <c r="B988" s="304">
        <f t="shared" ca="1" si="442"/>
        <v>29.260200000000008</v>
      </c>
      <c r="D988" s="306">
        <f t="shared" ca="1" si="443"/>
        <v>-0.73013835123046611</v>
      </c>
      <c r="E988" s="307">
        <f t="shared" ca="1" si="444"/>
        <v>-1.3303693505044567</v>
      </c>
      <c r="F988" s="304">
        <f t="shared" ca="1" si="445"/>
        <v>1.5175587700972879</v>
      </c>
      <c r="G988" s="306">
        <f t="shared" ca="1" si="446"/>
        <v>9.196305731093096</v>
      </c>
      <c r="H988" s="307">
        <f t="shared" ca="1" si="447"/>
        <v>-106.80440504708724</v>
      </c>
      <c r="I988" s="304">
        <f t="shared" ca="1" si="448"/>
        <v>107.19959410633051</v>
      </c>
      <c r="J988" s="306">
        <f t="shared" ca="1" si="449"/>
        <v>746.86410190403069</v>
      </c>
      <c r="K988" s="307">
        <f t="shared" ca="1" si="450"/>
        <v>-8.6745002458205143</v>
      </c>
      <c r="L988" s="304">
        <f t="shared" ca="1" si="435"/>
        <v>746.91447547053815</v>
      </c>
      <c r="M988" s="306">
        <f t="shared" ca="1" si="451"/>
        <v>-1.4849039951967118</v>
      </c>
      <c r="N988" s="304">
        <f t="shared" ca="1" si="452"/>
        <v>-85.078731906885849</v>
      </c>
      <c r="P988" s="310">
        <f t="shared" ca="1" si="453"/>
        <v>23</v>
      </c>
      <c r="Q988" s="304">
        <f t="shared" ca="1" si="454"/>
        <v>0</v>
      </c>
      <c r="R988" s="306">
        <f t="shared" ca="1" si="455"/>
        <v>0</v>
      </c>
      <c r="S988" s="307">
        <f t="shared" ca="1" si="456"/>
        <v>5.083000000000002</v>
      </c>
      <c r="T988" s="304">
        <f t="shared" ca="1" si="436"/>
        <v>49.86423000000002</v>
      </c>
      <c r="U988" s="311">
        <f t="shared" ca="1" si="437"/>
        <v>0</v>
      </c>
      <c r="V988" s="306">
        <f t="shared" ca="1" si="438"/>
        <v>1.2260630873676945</v>
      </c>
      <c r="W988" s="304">
        <f t="shared" ca="1" si="439"/>
        <v>43.261596057749834</v>
      </c>
      <c r="Y988" s="314" t="str">
        <f t="shared" ca="1" si="457"/>
        <v/>
      </c>
      <c r="Z988" s="315" t="str">
        <f t="shared" ca="1" si="458"/>
        <v/>
      </c>
      <c r="AA988" s="316" t="str">
        <f t="shared" ca="1" si="459"/>
        <v/>
      </c>
      <c r="AC988" s="310" t="e">
        <f t="shared" ca="1" si="460"/>
        <v>#N/A</v>
      </c>
      <c r="AD988" s="323" t="e">
        <f t="shared" ca="1" si="461"/>
        <v>#N/A</v>
      </c>
      <c r="AE988" s="324" t="e">
        <f t="shared" ca="1" si="440"/>
        <v>#N/A</v>
      </c>
      <c r="AG988" s="306">
        <f t="shared" ca="1" si="462"/>
        <v>1.2628281083824096</v>
      </c>
      <c r="AH988" s="304">
        <f t="shared" ca="1" si="463"/>
        <v>-8.5110068713285489</v>
      </c>
    </row>
    <row r="989" spans="1:34" x14ac:dyDescent="0.2">
      <c r="A989" s="347">
        <f t="shared" ca="1" si="441"/>
        <v>1E-4</v>
      </c>
      <c r="B989" s="304">
        <f t="shared" ca="1" si="442"/>
        <v>29.260300000000008</v>
      </c>
      <c r="D989" s="306">
        <f t="shared" ca="1" si="443"/>
        <v>-0.73013419428526372</v>
      </c>
      <c r="E989" s="307">
        <f t="shared" ca="1" si="444"/>
        <v>-1.3303397423474994</v>
      </c>
      <c r="F989" s="304">
        <f t="shared" ca="1" si="445"/>
        <v>1.5175308140969666</v>
      </c>
      <c r="G989" s="306">
        <f t="shared" ca="1" si="446"/>
        <v>9.1962327176736682</v>
      </c>
      <c r="H989" s="307">
        <f t="shared" ca="1" si="447"/>
        <v>-106.80453808106148</v>
      </c>
      <c r="I989" s="304">
        <f t="shared" ca="1" si="448"/>
        <v>107.19972038632621</v>
      </c>
      <c r="J989" s="306">
        <f t="shared" ca="1" si="449"/>
        <v>746.86410190403069</v>
      </c>
      <c r="K989" s="307">
        <f t="shared" ca="1" si="450"/>
        <v>-8.6851806929769211</v>
      </c>
      <c r="L989" s="304">
        <f t="shared" ca="1" si="435"/>
        <v>746.91459958725125</v>
      </c>
      <c r="M989" s="306">
        <f t="shared" ca="1" si="451"/>
        <v>-1.484904780243633</v>
      </c>
      <c r="N989" s="304">
        <f t="shared" ca="1" si="452"/>
        <v>-85.078776886761162</v>
      </c>
      <c r="P989" s="310">
        <f t="shared" ca="1" si="453"/>
        <v>23</v>
      </c>
      <c r="Q989" s="304">
        <f t="shared" ca="1" si="454"/>
        <v>0</v>
      </c>
      <c r="R989" s="306">
        <f t="shared" ca="1" si="455"/>
        <v>0</v>
      </c>
      <c r="S989" s="307">
        <f t="shared" ca="1" si="456"/>
        <v>5.083000000000002</v>
      </c>
      <c r="T989" s="304">
        <f t="shared" ca="1" si="436"/>
        <v>49.86423000000002</v>
      </c>
      <c r="U989" s="311">
        <f t="shared" ca="1" si="437"/>
        <v>0</v>
      </c>
      <c r="V989" s="306">
        <f t="shared" ca="1" si="438"/>
        <v>1.2260643968588423</v>
      </c>
      <c r="W989" s="304">
        <f t="shared" ca="1" si="439"/>
        <v>43.261744186682535</v>
      </c>
      <c r="Y989" s="314" t="str">
        <f t="shared" ca="1" si="457"/>
        <v/>
      </c>
      <c r="Z989" s="315" t="str">
        <f t="shared" ca="1" si="458"/>
        <v/>
      </c>
      <c r="AA989" s="316" t="str">
        <f t="shared" ca="1" si="459"/>
        <v/>
      </c>
      <c r="AC989" s="310" t="e">
        <f t="shared" ca="1" si="460"/>
        <v>#N/A</v>
      </c>
      <c r="AD989" s="323" t="e">
        <f t="shared" ca="1" si="461"/>
        <v>#N/A</v>
      </c>
      <c r="AE989" s="324" t="e">
        <f t="shared" ca="1" si="440"/>
        <v>#N/A</v>
      </c>
      <c r="AG989" s="306">
        <f t="shared" ca="1" si="462"/>
        <v>1.2627996266690467</v>
      </c>
      <c r="AH989" s="304">
        <f t="shared" ca="1" si="463"/>
        <v>-8.5110360137221761</v>
      </c>
    </row>
    <row r="990" spans="1:34" x14ac:dyDescent="0.2">
      <c r="A990" s="347">
        <f t="shared" ca="1" si="441"/>
        <v>1E-4</v>
      </c>
      <c r="B990" s="304">
        <f t="shared" ca="1" si="442"/>
        <v>29.260400000000008</v>
      </c>
      <c r="D990" s="306">
        <f t="shared" ca="1" si="443"/>
        <v>-0.73013003733126958</v>
      </c>
      <c r="E990" s="307">
        <f t="shared" ca="1" si="444"/>
        <v>-1.3303101345611683</v>
      </c>
      <c r="F990" s="304">
        <f t="shared" ca="1" si="445"/>
        <v>1.5175028584913819</v>
      </c>
      <c r="G990" s="306">
        <f t="shared" ca="1" si="446"/>
        <v>9.1961597046699346</v>
      </c>
      <c r="H990" s="307">
        <f t="shared" ca="1" si="447"/>
        <v>-106.80467111207494</v>
      </c>
      <c r="I990" s="304">
        <f t="shared" ca="1" si="448"/>
        <v>107.19984666347378</v>
      </c>
      <c r="J990" s="306">
        <f t="shared" ca="1" si="449"/>
        <v>746.86410190403069</v>
      </c>
      <c r="K990" s="307">
        <f t="shared" ca="1" si="450"/>
        <v>-8.695861153436578</v>
      </c>
      <c r="L990" s="304">
        <f t="shared" ca="1" si="435"/>
        <v>746.914723856823</v>
      </c>
      <c r="M990" s="306">
        <f t="shared" ca="1" si="451"/>
        <v>-1.4849055652824721</v>
      </c>
      <c r="N990" s="304">
        <f t="shared" ca="1" si="452"/>
        <v>-85.078821866173385</v>
      </c>
      <c r="P990" s="310">
        <f t="shared" ca="1" si="453"/>
        <v>23</v>
      </c>
      <c r="Q990" s="304">
        <f t="shared" ca="1" si="454"/>
        <v>0</v>
      </c>
      <c r="R990" s="306">
        <f t="shared" ca="1" si="455"/>
        <v>0</v>
      </c>
      <c r="S990" s="307">
        <f t="shared" ca="1" si="456"/>
        <v>5.083000000000002</v>
      </c>
      <c r="T990" s="304">
        <f t="shared" ca="1" si="436"/>
        <v>49.86423000000002</v>
      </c>
      <c r="U990" s="311">
        <f t="shared" ca="1" si="437"/>
        <v>0</v>
      </c>
      <c r="V990" s="306">
        <f t="shared" ca="1" si="438"/>
        <v>1.2260657063530198</v>
      </c>
      <c r="W990" s="304">
        <f t="shared" ca="1" si="439"/>
        <v>43.26189231376113</v>
      </c>
      <c r="Y990" s="314" t="str">
        <f t="shared" ca="1" si="457"/>
        <v/>
      </c>
      <c r="Z990" s="315" t="str">
        <f t="shared" ca="1" si="458"/>
        <v/>
      </c>
      <c r="AA990" s="316" t="str">
        <f t="shared" ca="1" si="459"/>
        <v/>
      </c>
      <c r="AC990" s="310" t="e">
        <f t="shared" ca="1" si="460"/>
        <v>#N/A</v>
      </c>
      <c r="AD990" s="323" t="e">
        <f t="shared" ca="1" si="461"/>
        <v>#N/A</v>
      </c>
      <c r="AE990" s="324" t="e">
        <f t="shared" ca="1" si="440"/>
        <v>#N/A</v>
      </c>
      <c r="AG990" s="306">
        <f t="shared" ca="1" si="462"/>
        <v>1.2627711453076245</v>
      </c>
      <c r="AH990" s="304">
        <f t="shared" ca="1" si="463"/>
        <v>-8.5110651557510355</v>
      </c>
    </row>
    <row r="991" spans="1:34" x14ac:dyDescent="0.2">
      <c r="A991" s="347">
        <f t="shared" ca="1" si="441"/>
        <v>1E-4</v>
      </c>
      <c r="B991" s="304">
        <f t="shared" ca="1" si="442"/>
        <v>29.260500000000008</v>
      </c>
      <c r="D991" s="306">
        <f t="shared" ca="1" si="443"/>
        <v>-0.73012588036848192</v>
      </c>
      <c r="E991" s="307">
        <f t="shared" ca="1" si="444"/>
        <v>-1.3302805271454581</v>
      </c>
      <c r="F991" s="304">
        <f t="shared" ca="1" si="445"/>
        <v>1.5174749032805281</v>
      </c>
      <c r="G991" s="306">
        <f t="shared" ca="1" si="446"/>
        <v>9.1960866920818969</v>
      </c>
      <c r="H991" s="307">
        <f t="shared" ca="1" si="447"/>
        <v>-106.80480414012766</v>
      </c>
      <c r="I991" s="304">
        <f t="shared" ca="1" si="448"/>
        <v>107.19997293777324</v>
      </c>
      <c r="J991" s="306">
        <f t="shared" ca="1" si="449"/>
        <v>746.86410190403069</v>
      </c>
      <c r="K991" s="307">
        <f t="shared" ca="1" si="450"/>
        <v>-8.7065416271991882</v>
      </c>
      <c r="L991" s="304">
        <f t="shared" ca="1" si="435"/>
        <v>746.91484827925365</v>
      </c>
      <c r="M991" s="306">
        <f t="shared" ca="1" si="451"/>
        <v>-1.4849063503132289</v>
      </c>
      <c r="N991" s="304">
        <f t="shared" ca="1" si="452"/>
        <v>-85.078866845122548</v>
      </c>
      <c r="P991" s="310">
        <f t="shared" ca="1" si="453"/>
        <v>23</v>
      </c>
      <c r="Q991" s="304">
        <f t="shared" ca="1" si="454"/>
        <v>0</v>
      </c>
      <c r="R991" s="306">
        <f t="shared" ca="1" si="455"/>
        <v>0</v>
      </c>
      <c r="S991" s="307">
        <f t="shared" ca="1" si="456"/>
        <v>5.083000000000002</v>
      </c>
      <c r="T991" s="304">
        <f t="shared" ca="1" si="436"/>
        <v>49.86423000000002</v>
      </c>
      <c r="U991" s="311">
        <f t="shared" ca="1" si="437"/>
        <v>0</v>
      </c>
      <c r="V991" s="306">
        <f t="shared" ca="1" si="438"/>
        <v>1.2260670158502278</v>
      </c>
      <c r="W991" s="304">
        <f t="shared" ca="1" si="439"/>
        <v>43.262040438985643</v>
      </c>
      <c r="Y991" s="314" t="str">
        <f t="shared" ca="1" si="457"/>
        <v/>
      </c>
      <c r="Z991" s="315" t="str">
        <f t="shared" ca="1" si="458"/>
        <v/>
      </c>
      <c r="AA991" s="316" t="str">
        <f t="shared" ca="1" si="459"/>
        <v/>
      </c>
      <c r="AC991" s="310" t="e">
        <f t="shared" ca="1" si="460"/>
        <v>#N/A</v>
      </c>
      <c r="AD991" s="323" t="e">
        <f t="shared" ca="1" si="461"/>
        <v>#N/A</v>
      </c>
      <c r="AE991" s="324" t="e">
        <f t="shared" ca="1" si="440"/>
        <v>#N/A</v>
      </c>
      <c r="AG991" s="306">
        <f t="shared" ca="1" si="462"/>
        <v>1.2627426642981412</v>
      </c>
      <c r="AH991" s="304">
        <f t="shared" ca="1" si="463"/>
        <v>-8.5110942974151307</v>
      </c>
    </row>
    <row r="992" spans="1:34" x14ac:dyDescent="0.2">
      <c r="A992" s="347">
        <f t="shared" ca="1" si="441"/>
        <v>1E-4</v>
      </c>
      <c r="B992" s="304">
        <f t="shared" ca="1" si="442"/>
        <v>29.260600000000007</v>
      </c>
      <c r="D992" s="306">
        <f t="shared" ca="1" si="443"/>
        <v>-0.7301217233969024</v>
      </c>
      <c r="E992" s="307">
        <f t="shared" ca="1" si="444"/>
        <v>-1.3302509201003669</v>
      </c>
      <c r="F992" s="304">
        <f t="shared" ca="1" si="445"/>
        <v>1.5174469484644053</v>
      </c>
      <c r="G992" s="306">
        <f t="shared" ca="1" si="446"/>
        <v>9.1960136799095569</v>
      </c>
      <c r="H992" s="307">
        <f t="shared" ca="1" si="447"/>
        <v>-106.80493716521967</v>
      </c>
      <c r="I992" s="304">
        <f t="shared" ca="1" si="448"/>
        <v>107.20009920922465</v>
      </c>
      <c r="J992" s="306">
        <f t="shared" ca="1" si="449"/>
        <v>746.86410190403069</v>
      </c>
      <c r="K992" s="307">
        <f t="shared" ca="1" si="450"/>
        <v>-8.7172221142644553</v>
      </c>
      <c r="L992" s="304">
        <f t="shared" ca="1" si="435"/>
        <v>746.91497285454375</v>
      </c>
      <c r="M992" s="306">
        <f t="shared" ca="1" si="451"/>
        <v>-1.4849071353359036</v>
      </c>
      <c r="N992" s="304">
        <f t="shared" ca="1" si="452"/>
        <v>-85.078911823608621</v>
      </c>
      <c r="P992" s="310">
        <f t="shared" ca="1" si="453"/>
        <v>23</v>
      </c>
      <c r="Q992" s="304">
        <f t="shared" ca="1" si="454"/>
        <v>0</v>
      </c>
      <c r="R992" s="306">
        <f t="shared" ca="1" si="455"/>
        <v>0</v>
      </c>
      <c r="S992" s="307">
        <f t="shared" ca="1" si="456"/>
        <v>5.083000000000002</v>
      </c>
      <c r="T992" s="304">
        <f t="shared" ca="1" si="436"/>
        <v>49.86423000000002</v>
      </c>
      <c r="U992" s="311">
        <f t="shared" ca="1" si="437"/>
        <v>0</v>
      </c>
      <c r="V992" s="306">
        <f t="shared" ca="1" si="438"/>
        <v>1.2260683253504661</v>
      </c>
      <c r="W992" s="304">
        <f t="shared" ca="1" si="439"/>
        <v>43.262188562356087</v>
      </c>
      <c r="Y992" s="314" t="str">
        <f t="shared" ca="1" si="457"/>
        <v/>
      </c>
      <c r="Z992" s="315" t="str">
        <f t="shared" ca="1" si="458"/>
        <v/>
      </c>
      <c r="AA992" s="316" t="str">
        <f t="shared" ca="1" si="459"/>
        <v/>
      </c>
      <c r="AC992" s="310" t="e">
        <f t="shared" ca="1" si="460"/>
        <v>#N/A</v>
      </c>
      <c r="AD992" s="323" t="e">
        <f t="shared" ca="1" si="461"/>
        <v>#N/A</v>
      </c>
      <c r="AE992" s="324" t="e">
        <f t="shared" ca="1" si="440"/>
        <v>#N/A</v>
      </c>
      <c r="AG992" s="306">
        <f t="shared" ca="1" si="462"/>
        <v>1.2627141836405933</v>
      </c>
      <c r="AH992" s="304">
        <f t="shared" ca="1" si="463"/>
        <v>-8.5111234387144652</v>
      </c>
    </row>
    <row r="993" spans="1:34" x14ac:dyDescent="0.2">
      <c r="A993" s="347">
        <f t="shared" ca="1" si="441"/>
        <v>1E-4</v>
      </c>
      <c r="B993" s="304">
        <f t="shared" ca="1" si="442"/>
        <v>29.260700000000007</v>
      </c>
      <c r="D993" s="306">
        <f t="shared" ca="1" si="443"/>
        <v>-0.73011756641653314</v>
      </c>
      <c r="E993" s="307">
        <f t="shared" ca="1" si="444"/>
        <v>-1.3302213134258913</v>
      </c>
      <c r="F993" s="304">
        <f t="shared" ca="1" si="445"/>
        <v>1.5174189940430112</v>
      </c>
      <c r="G993" s="306">
        <f t="shared" ca="1" si="446"/>
        <v>9.1959406681529146</v>
      </c>
      <c r="H993" s="307">
        <f t="shared" ca="1" si="447"/>
        <v>-106.80507018735101</v>
      </c>
      <c r="I993" s="304">
        <f t="shared" ca="1" si="448"/>
        <v>107.200225477828</v>
      </c>
      <c r="J993" s="306">
        <f t="shared" ca="1" si="449"/>
        <v>746.86410190403069</v>
      </c>
      <c r="K993" s="307">
        <f t="shared" ca="1" si="450"/>
        <v>-8.7279026146320842</v>
      </c>
      <c r="L993" s="304">
        <f t="shared" ca="1" si="435"/>
        <v>746.91509758269365</v>
      </c>
      <c r="M993" s="306">
        <f t="shared" ca="1" si="451"/>
        <v>-1.4849079203504962</v>
      </c>
      <c r="N993" s="304">
        <f t="shared" ca="1" si="452"/>
        <v>-85.078956801631634</v>
      </c>
      <c r="P993" s="310">
        <f t="shared" ca="1" si="453"/>
        <v>23</v>
      </c>
      <c r="Q993" s="304">
        <f t="shared" ca="1" si="454"/>
        <v>0</v>
      </c>
      <c r="R993" s="306">
        <f t="shared" ca="1" si="455"/>
        <v>0</v>
      </c>
      <c r="S993" s="307">
        <f t="shared" ca="1" si="456"/>
        <v>5.083000000000002</v>
      </c>
      <c r="T993" s="304">
        <f t="shared" ca="1" si="436"/>
        <v>49.86423000000002</v>
      </c>
      <c r="U993" s="311">
        <f t="shared" ca="1" si="437"/>
        <v>0</v>
      </c>
      <c r="V993" s="306">
        <f t="shared" ca="1" si="438"/>
        <v>1.2260696348537343</v>
      </c>
      <c r="W993" s="304">
        <f t="shared" ca="1" si="439"/>
        <v>43.262336683872448</v>
      </c>
      <c r="Y993" s="314" t="str">
        <f t="shared" ca="1" si="457"/>
        <v/>
      </c>
      <c r="Z993" s="315" t="str">
        <f t="shared" ca="1" si="458"/>
        <v/>
      </c>
      <c r="AA993" s="316" t="str">
        <f t="shared" ca="1" si="459"/>
        <v/>
      </c>
      <c r="AC993" s="310" t="e">
        <f t="shared" ca="1" si="460"/>
        <v>#N/A</v>
      </c>
      <c r="AD993" s="323" t="e">
        <f t="shared" ca="1" si="461"/>
        <v>#N/A</v>
      </c>
      <c r="AE993" s="324" t="e">
        <f t="shared" ca="1" si="440"/>
        <v>#N/A</v>
      </c>
      <c r="AG993" s="306">
        <f t="shared" ca="1" si="462"/>
        <v>1.2626857033349808</v>
      </c>
      <c r="AH993" s="304">
        <f t="shared" ca="1" si="463"/>
        <v>-8.5111525796490408</v>
      </c>
    </row>
    <row r="994" spans="1:34" x14ac:dyDescent="0.2">
      <c r="A994" s="347">
        <f t="shared" ca="1" si="441"/>
        <v>1E-4</v>
      </c>
      <c r="B994" s="304">
        <f t="shared" ca="1" si="442"/>
        <v>29.260800000000007</v>
      </c>
      <c r="D994" s="306">
        <f t="shared" ca="1" si="443"/>
        <v>-0.73011340942737302</v>
      </c>
      <c r="E994" s="307">
        <f t="shared" ca="1" si="444"/>
        <v>-1.3301917071220348</v>
      </c>
      <c r="F994" s="304">
        <f t="shared" ca="1" si="445"/>
        <v>1.5173910400163486</v>
      </c>
      <c r="G994" s="306">
        <f t="shared" ca="1" si="446"/>
        <v>9.1958676568119717</v>
      </c>
      <c r="H994" s="307">
        <f t="shared" ca="1" si="447"/>
        <v>-106.80520320652172</v>
      </c>
      <c r="I994" s="304">
        <f t="shared" ca="1" si="448"/>
        <v>107.20035174358338</v>
      </c>
      <c r="J994" s="306">
        <f t="shared" ca="1" si="449"/>
        <v>746.86410190403069</v>
      </c>
      <c r="K994" s="307">
        <f t="shared" ca="1" si="450"/>
        <v>-8.7385831283017783</v>
      </c>
      <c r="L994" s="304">
        <f t="shared" ca="1" si="435"/>
        <v>746.91522246370414</v>
      </c>
      <c r="M994" s="306">
        <f t="shared" ca="1" si="451"/>
        <v>-1.4849087053570069</v>
      </c>
      <c r="N994" s="304">
        <f t="shared" ca="1" si="452"/>
        <v>-85.079001779191586</v>
      </c>
      <c r="P994" s="310">
        <f t="shared" ca="1" si="453"/>
        <v>23</v>
      </c>
      <c r="Q994" s="304">
        <f t="shared" ca="1" si="454"/>
        <v>0</v>
      </c>
      <c r="R994" s="306">
        <f t="shared" ca="1" si="455"/>
        <v>0</v>
      </c>
      <c r="S994" s="307">
        <f t="shared" ca="1" si="456"/>
        <v>5.083000000000002</v>
      </c>
      <c r="T994" s="304">
        <f t="shared" ca="1" si="436"/>
        <v>49.86423000000002</v>
      </c>
      <c r="U994" s="311">
        <f t="shared" ca="1" si="437"/>
        <v>0</v>
      </c>
      <c r="V994" s="306">
        <f t="shared" ca="1" si="438"/>
        <v>1.2260709443600328</v>
      </c>
      <c r="W994" s="304">
        <f t="shared" ca="1" si="439"/>
        <v>43.262484803534797</v>
      </c>
      <c r="Y994" s="314" t="str">
        <f t="shared" ca="1" si="457"/>
        <v/>
      </c>
      <c r="Z994" s="315" t="str">
        <f t="shared" ca="1" si="458"/>
        <v/>
      </c>
      <c r="AA994" s="316" t="str">
        <f t="shared" ca="1" si="459"/>
        <v/>
      </c>
      <c r="AC994" s="310" t="e">
        <f t="shared" ca="1" si="460"/>
        <v>#N/A</v>
      </c>
      <c r="AD994" s="323" t="e">
        <f t="shared" ca="1" si="461"/>
        <v>#N/A</v>
      </c>
      <c r="AE994" s="324" t="e">
        <f t="shared" ca="1" si="440"/>
        <v>#N/A</v>
      </c>
      <c r="AG994" s="306">
        <f t="shared" ca="1" si="462"/>
        <v>1.2626572233813071</v>
      </c>
      <c r="AH994" s="304">
        <f t="shared" ca="1" si="463"/>
        <v>-8.511181720218854</v>
      </c>
    </row>
    <row r="995" spans="1:34" x14ac:dyDescent="0.2">
      <c r="A995" s="347">
        <f t="shared" ca="1" si="441"/>
        <v>1E-4</v>
      </c>
      <c r="B995" s="304">
        <f t="shared" ca="1" si="442"/>
        <v>29.260900000000007</v>
      </c>
      <c r="D995" s="306">
        <f t="shared" ca="1" si="443"/>
        <v>-0.73010925242942526</v>
      </c>
      <c r="E995" s="307">
        <f t="shared" ca="1" si="444"/>
        <v>-1.330162101188785</v>
      </c>
      <c r="F995" s="304">
        <f t="shared" ca="1" si="445"/>
        <v>1.5173630863844083</v>
      </c>
      <c r="G995" s="306">
        <f t="shared" ca="1" si="446"/>
        <v>9.1957946458867283</v>
      </c>
      <c r="H995" s="307">
        <f t="shared" ca="1" si="447"/>
        <v>-106.80533622273184</v>
      </c>
      <c r="I995" s="304">
        <f t="shared" ca="1" si="448"/>
        <v>107.20047800649077</v>
      </c>
      <c r="J995" s="306">
        <f t="shared" ca="1" si="449"/>
        <v>746.86410190403069</v>
      </c>
      <c r="K995" s="307">
        <f t="shared" ca="1" si="450"/>
        <v>-8.749263655273241</v>
      </c>
      <c r="L995" s="304">
        <f t="shared" ca="1" si="435"/>
        <v>746.91534749757534</v>
      </c>
      <c r="M995" s="306">
        <f t="shared" ca="1" si="451"/>
        <v>-1.4849094903554358</v>
      </c>
      <c r="N995" s="304">
        <f t="shared" ca="1" si="452"/>
        <v>-85.079046756288491</v>
      </c>
      <c r="P995" s="310">
        <f t="shared" ca="1" si="453"/>
        <v>23</v>
      </c>
      <c r="Q995" s="304">
        <f t="shared" ca="1" si="454"/>
        <v>0</v>
      </c>
      <c r="R995" s="306">
        <f t="shared" ca="1" si="455"/>
        <v>0</v>
      </c>
      <c r="S995" s="307">
        <f t="shared" ca="1" si="456"/>
        <v>5.083000000000002</v>
      </c>
      <c r="T995" s="304">
        <f t="shared" ca="1" si="436"/>
        <v>49.86423000000002</v>
      </c>
      <c r="U995" s="311">
        <f t="shared" ca="1" si="437"/>
        <v>0</v>
      </c>
      <c r="V995" s="306">
        <f t="shared" ca="1" si="438"/>
        <v>1.2260722538693616</v>
      </c>
      <c r="W995" s="304">
        <f t="shared" ca="1" si="439"/>
        <v>43.262632921343076</v>
      </c>
      <c r="Y995" s="314" t="str">
        <f t="shared" ca="1" si="457"/>
        <v/>
      </c>
      <c r="Z995" s="315" t="str">
        <f t="shared" ca="1" si="458"/>
        <v/>
      </c>
      <c r="AA995" s="316" t="str">
        <f t="shared" ca="1" si="459"/>
        <v/>
      </c>
      <c r="AC995" s="310" t="e">
        <f t="shared" ca="1" si="460"/>
        <v>#N/A</v>
      </c>
      <c r="AD995" s="323" t="e">
        <f t="shared" ca="1" si="461"/>
        <v>#N/A</v>
      </c>
      <c r="AE995" s="324" t="e">
        <f t="shared" ca="1" si="440"/>
        <v>#N/A</v>
      </c>
      <c r="AG995" s="306">
        <f t="shared" ca="1" si="462"/>
        <v>1.2626287437795547</v>
      </c>
      <c r="AH995" s="304">
        <f t="shared" ca="1" si="463"/>
        <v>-8.5112108604239189</v>
      </c>
    </row>
    <row r="996" spans="1:34" x14ac:dyDescent="0.2">
      <c r="A996" s="347">
        <f t="shared" ca="1" si="441"/>
        <v>1E-4</v>
      </c>
      <c r="B996" s="304">
        <f t="shared" ca="1" si="442"/>
        <v>29.261000000000006</v>
      </c>
      <c r="D996" s="306">
        <f t="shared" ca="1" si="443"/>
        <v>-0.73010509542268831</v>
      </c>
      <c r="E996" s="307">
        <f t="shared" ca="1" si="444"/>
        <v>-1.3301324956261507</v>
      </c>
      <c r="F996" s="304">
        <f t="shared" ca="1" si="445"/>
        <v>1.5173351331471978</v>
      </c>
      <c r="G996" s="306">
        <f t="shared" ca="1" si="446"/>
        <v>9.1957216353771862</v>
      </c>
      <c r="H996" s="307">
        <f t="shared" ca="1" si="447"/>
        <v>-106.80546923598141</v>
      </c>
      <c r="I996" s="304">
        <f t="shared" ca="1" si="448"/>
        <v>107.20060426655027</v>
      </c>
      <c r="J996" s="306">
        <f t="shared" ca="1" si="449"/>
        <v>746.86410190403069</v>
      </c>
      <c r="K996" s="307">
        <f t="shared" ca="1" si="450"/>
        <v>-8.7599441955461774</v>
      </c>
      <c r="L996" s="304">
        <f t="shared" ca="1" si="435"/>
        <v>746.91547268430804</v>
      </c>
      <c r="M996" s="306">
        <f t="shared" ca="1" si="451"/>
        <v>-1.4849102753457832</v>
      </c>
      <c r="N996" s="304">
        <f t="shared" ca="1" si="452"/>
        <v>-85.079091732922365</v>
      </c>
      <c r="P996" s="310">
        <f t="shared" ca="1" si="453"/>
        <v>23</v>
      </c>
      <c r="Q996" s="304">
        <f t="shared" ca="1" si="454"/>
        <v>0</v>
      </c>
      <c r="R996" s="306">
        <f t="shared" ca="1" si="455"/>
        <v>0</v>
      </c>
      <c r="S996" s="307">
        <f t="shared" ca="1" si="456"/>
        <v>5.083000000000002</v>
      </c>
      <c r="T996" s="304">
        <f t="shared" ca="1" si="436"/>
        <v>49.86423000000002</v>
      </c>
      <c r="U996" s="311">
        <f t="shared" ca="1" si="437"/>
        <v>0</v>
      </c>
      <c r="V996" s="306">
        <f t="shared" ca="1" si="438"/>
        <v>1.2260735633817204</v>
      </c>
      <c r="W996" s="304">
        <f t="shared" ca="1" si="439"/>
        <v>43.262781037297366</v>
      </c>
      <c r="Y996" s="314" t="str">
        <f t="shared" ca="1" si="457"/>
        <v/>
      </c>
      <c r="Z996" s="315" t="str">
        <f t="shared" ca="1" si="458"/>
        <v/>
      </c>
      <c r="AA996" s="316" t="str">
        <f t="shared" ca="1" si="459"/>
        <v/>
      </c>
      <c r="AC996" s="310" t="e">
        <f t="shared" ca="1" si="460"/>
        <v>#N/A</v>
      </c>
      <c r="AD996" s="323" t="e">
        <f t="shared" ca="1" si="461"/>
        <v>#N/A</v>
      </c>
      <c r="AE996" s="324" t="e">
        <f t="shared" ca="1" si="440"/>
        <v>#N/A</v>
      </c>
      <c r="AG996" s="306">
        <f t="shared" ca="1" si="462"/>
        <v>1.2626002645297394</v>
      </c>
      <c r="AH996" s="304">
        <f t="shared" ca="1" si="463"/>
        <v>-8.511240000264225</v>
      </c>
    </row>
    <row r="997" spans="1:34" x14ac:dyDescent="0.2">
      <c r="A997" s="347">
        <f t="shared" ca="1" si="441"/>
        <v>1E-4</v>
      </c>
      <c r="B997" s="304">
        <f t="shared" ca="1" si="442"/>
        <v>29.261100000000006</v>
      </c>
      <c r="D997" s="306">
        <f t="shared" ca="1" si="443"/>
        <v>-0.73010093840716372</v>
      </c>
      <c r="E997" s="307">
        <f t="shared" ca="1" si="444"/>
        <v>-1.3301028904341141</v>
      </c>
      <c r="F997" s="304">
        <f t="shared" ca="1" si="445"/>
        <v>1.5173071803047022</v>
      </c>
      <c r="G997" s="306">
        <f t="shared" ca="1" si="446"/>
        <v>9.1956486252833454</v>
      </c>
      <c r="H997" s="307">
        <f t="shared" ca="1" si="447"/>
        <v>-106.80560224627045</v>
      </c>
      <c r="I997" s="304">
        <f t="shared" ca="1" si="448"/>
        <v>107.20073052376186</v>
      </c>
      <c r="J997" s="306">
        <f t="shared" ca="1" si="449"/>
        <v>746.86410190403069</v>
      </c>
      <c r="K997" s="307">
        <f t="shared" ca="1" si="450"/>
        <v>-8.7706247491202909</v>
      </c>
      <c r="L997" s="304">
        <f t="shared" ca="1" si="435"/>
        <v>746.9155980239027</v>
      </c>
      <c r="M997" s="306">
        <f t="shared" ca="1" si="451"/>
        <v>-1.4849110603280491</v>
      </c>
      <c r="N997" s="304">
        <f t="shared" ca="1" si="452"/>
        <v>-85.079136709093191</v>
      </c>
      <c r="P997" s="310">
        <f t="shared" ca="1" si="453"/>
        <v>23</v>
      </c>
      <c r="Q997" s="304">
        <f t="shared" ca="1" si="454"/>
        <v>0</v>
      </c>
      <c r="R997" s="306">
        <f t="shared" ca="1" si="455"/>
        <v>0</v>
      </c>
      <c r="S997" s="307">
        <f t="shared" ca="1" si="456"/>
        <v>5.083000000000002</v>
      </c>
      <c r="T997" s="304">
        <f t="shared" ca="1" si="436"/>
        <v>49.86423000000002</v>
      </c>
      <c r="U997" s="311">
        <f t="shared" ca="1" si="437"/>
        <v>0</v>
      </c>
      <c r="V997" s="306">
        <f t="shared" ca="1" si="438"/>
        <v>1.2260748728971087</v>
      </c>
      <c r="W997" s="304">
        <f t="shared" ca="1" si="439"/>
        <v>43.262929151397621</v>
      </c>
      <c r="Y997" s="314" t="str">
        <f t="shared" ca="1" si="457"/>
        <v/>
      </c>
      <c r="Z997" s="315" t="str">
        <f t="shared" ca="1" si="458"/>
        <v/>
      </c>
      <c r="AA997" s="316" t="str">
        <f t="shared" ca="1" si="459"/>
        <v/>
      </c>
      <c r="AC997" s="310" t="e">
        <f t="shared" ca="1" si="460"/>
        <v>#N/A</v>
      </c>
      <c r="AD997" s="323" t="e">
        <f t="shared" ca="1" si="461"/>
        <v>#N/A</v>
      </c>
      <c r="AE997" s="324" t="e">
        <f t="shared" ca="1" si="440"/>
        <v>#N/A</v>
      </c>
      <c r="AG997" s="306">
        <f t="shared" ca="1" si="462"/>
        <v>1.2625717856318417</v>
      </c>
      <c r="AH997" s="304">
        <f t="shared" ca="1" si="463"/>
        <v>-8.5112691397397899</v>
      </c>
    </row>
    <row r="998" spans="1:34" x14ac:dyDescent="0.2">
      <c r="A998" s="347">
        <f t="shared" ca="1" si="441"/>
        <v>1E-4</v>
      </c>
      <c r="B998" s="304">
        <f t="shared" ca="1" si="442"/>
        <v>29.261200000000006</v>
      </c>
      <c r="D998" s="306">
        <f t="shared" ca="1" si="443"/>
        <v>-0.73009678138285172</v>
      </c>
      <c r="E998" s="307">
        <f t="shared" ca="1" si="444"/>
        <v>-1.3300732856126878</v>
      </c>
      <c r="F998" s="304">
        <f t="shared" ca="1" si="445"/>
        <v>1.5172792278569327</v>
      </c>
      <c r="G998" s="306">
        <f t="shared" ca="1" si="446"/>
        <v>9.1955756156052075</v>
      </c>
      <c r="H998" s="307">
        <f t="shared" ca="1" si="447"/>
        <v>-106.80573525359901</v>
      </c>
      <c r="I998" s="304">
        <f t="shared" ca="1" si="448"/>
        <v>107.2008567781256</v>
      </c>
      <c r="J998" s="306">
        <f t="shared" ca="1" si="449"/>
        <v>746.86410190403069</v>
      </c>
      <c r="K998" s="307">
        <f t="shared" ca="1" si="450"/>
        <v>-8.7813053159952847</v>
      </c>
      <c r="L998" s="304">
        <f t="shared" ca="1" si="435"/>
        <v>746.91572351635966</v>
      </c>
      <c r="M998" s="306">
        <f t="shared" ca="1" si="451"/>
        <v>-1.4849118453022334</v>
      </c>
      <c r="N998" s="304">
        <f t="shared" ca="1" si="452"/>
        <v>-85.079181684800972</v>
      </c>
      <c r="P998" s="310">
        <f t="shared" ca="1" si="453"/>
        <v>23</v>
      </c>
      <c r="Q998" s="304">
        <f t="shared" ca="1" si="454"/>
        <v>0</v>
      </c>
      <c r="R998" s="306">
        <f t="shared" ca="1" si="455"/>
        <v>0</v>
      </c>
      <c r="S998" s="307">
        <f t="shared" ca="1" si="456"/>
        <v>5.083000000000002</v>
      </c>
      <c r="T998" s="304">
        <f t="shared" ca="1" si="436"/>
        <v>49.86423000000002</v>
      </c>
      <c r="U998" s="311">
        <f t="shared" ca="1" si="437"/>
        <v>0</v>
      </c>
      <c r="V998" s="306">
        <f t="shared" ca="1" si="438"/>
        <v>1.2260761824155277</v>
      </c>
      <c r="W998" s="304">
        <f t="shared" ca="1" si="439"/>
        <v>43.2630772636439</v>
      </c>
      <c r="Y998" s="314" t="str">
        <f t="shared" ca="1" si="457"/>
        <v/>
      </c>
      <c r="Z998" s="315" t="str">
        <f t="shared" ca="1" si="458"/>
        <v/>
      </c>
      <c r="AA998" s="316" t="str">
        <f t="shared" ca="1" si="459"/>
        <v/>
      </c>
      <c r="AC998" s="310" t="e">
        <f t="shared" ca="1" si="460"/>
        <v>#N/A</v>
      </c>
      <c r="AD998" s="323" t="e">
        <f t="shared" ca="1" si="461"/>
        <v>#N/A</v>
      </c>
      <c r="AE998" s="324" t="e">
        <f t="shared" ca="1" si="440"/>
        <v>#N/A</v>
      </c>
      <c r="AG998" s="306">
        <f t="shared" ca="1" si="462"/>
        <v>1.2625433070858723</v>
      </c>
      <c r="AH998" s="304">
        <f t="shared" ca="1" si="463"/>
        <v>-8.5112982788506013</v>
      </c>
    </row>
    <row r="999" spans="1:34" x14ac:dyDescent="0.2">
      <c r="A999" s="347">
        <f t="shared" ca="1" si="441"/>
        <v>1E-4</v>
      </c>
      <c r="B999" s="304">
        <f t="shared" ca="1" si="442"/>
        <v>29.261300000000006</v>
      </c>
      <c r="D999" s="306">
        <f t="shared" ca="1" si="443"/>
        <v>-0.73009262434975508</v>
      </c>
      <c r="E999" s="307">
        <f t="shared" ca="1" si="444"/>
        <v>-1.3300436811618592</v>
      </c>
      <c r="F999" s="304">
        <f t="shared" ca="1" si="445"/>
        <v>1.5172512758038801</v>
      </c>
      <c r="G999" s="306">
        <f t="shared" ca="1" si="446"/>
        <v>9.1955026063427727</v>
      </c>
      <c r="H999" s="307">
        <f t="shared" ca="1" si="447"/>
        <v>-106.80586825796712</v>
      </c>
      <c r="I999" s="304">
        <f t="shared" ca="1" si="448"/>
        <v>107.20098302964151</v>
      </c>
      <c r="J999" s="306">
        <f t="shared" ca="1" si="449"/>
        <v>746.86410190403069</v>
      </c>
      <c r="K999" s="307">
        <f t="shared" ca="1" si="450"/>
        <v>-8.7919858961708623</v>
      </c>
      <c r="L999" s="304">
        <f t="shared" ca="1" si="435"/>
        <v>746.91584916167949</v>
      </c>
      <c r="M999" s="306">
        <f t="shared" ca="1" si="451"/>
        <v>-1.4849126302683364</v>
      </c>
      <c r="N999" s="304">
        <f t="shared" ca="1" si="452"/>
        <v>-85.079226660045734</v>
      </c>
      <c r="P999" s="310">
        <f t="shared" ca="1" si="453"/>
        <v>23</v>
      </c>
      <c r="Q999" s="304">
        <f t="shared" ca="1" si="454"/>
        <v>0</v>
      </c>
      <c r="R999" s="306">
        <f t="shared" ca="1" si="455"/>
        <v>0</v>
      </c>
      <c r="S999" s="307">
        <f t="shared" ca="1" si="456"/>
        <v>5.083000000000002</v>
      </c>
      <c r="T999" s="304">
        <f t="shared" ca="1" si="436"/>
        <v>49.86423000000002</v>
      </c>
      <c r="U999" s="311">
        <f t="shared" ca="1" si="437"/>
        <v>0</v>
      </c>
      <c r="V999" s="306">
        <f t="shared" ca="1" si="438"/>
        <v>1.2260774919369768</v>
      </c>
      <c r="W999" s="304">
        <f t="shared" ca="1" si="439"/>
        <v>43.263225374036196</v>
      </c>
      <c r="Y999" s="314" t="str">
        <f t="shared" ca="1" si="457"/>
        <v/>
      </c>
      <c r="Z999" s="315" t="str">
        <f t="shared" ca="1" si="458"/>
        <v/>
      </c>
      <c r="AA999" s="316" t="str">
        <f t="shared" ca="1" si="459"/>
        <v/>
      </c>
      <c r="AC999" s="310" t="e">
        <f t="shared" ca="1" si="460"/>
        <v>#N/A</v>
      </c>
      <c r="AD999" s="323" t="e">
        <f t="shared" ca="1" si="461"/>
        <v>#N/A</v>
      </c>
      <c r="AE999" s="324" t="e">
        <f t="shared" ca="1" si="440"/>
        <v>#N/A</v>
      </c>
      <c r="AG999" s="306">
        <f t="shared" ca="1" si="462"/>
        <v>1.2625148288918222</v>
      </c>
      <c r="AH999" s="304">
        <f t="shared" ca="1" si="463"/>
        <v>-8.5113274175966716</v>
      </c>
    </row>
    <row r="1000" spans="1:34" x14ac:dyDescent="0.2">
      <c r="A1000" s="347">
        <f t="shared" ca="1" si="441"/>
        <v>1E-4</v>
      </c>
      <c r="B1000" s="304">
        <f t="shared" ca="1" si="442"/>
        <v>29.261400000000005</v>
      </c>
      <c r="D1000" s="306">
        <f t="shared" ca="1" si="443"/>
        <v>-0.73008846730787347</v>
      </c>
      <c r="E1000" s="307">
        <f t="shared" ca="1" si="444"/>
        <v>-1.3300140770816302</v>
      </c>
      <c r="F1000" s="304">
        <f t="shared" ca="1" si="445"/>
        <v>1.5172233241455459</v>
      </c>
      <c r="G1000" s="306">
        <f t="shared" ca="1" si="446"/>
        <v>9.1954295974960427</v>
      </c>
      <c r="H1000" s="307">
        <f t="shared" ca="1" si="447"/>
        <v>-106.80600125937482</v>
      </c>
      <c r="I1000" s="304">
        <f t="shared" ca="1" si="448"/>
        <v>107.20110927830963</v>
      </c>
      <c r="J1000" s="306">
        <f t="shared" ca="1" si="449"/>
        <v>746.86410190403069</v>
      </c>
      <c r="K1000" s="307">
        <f t="shared" ca="1" si="450"/>
        <v>-8.8026664896467288</v>
      </c>
      <c r="L1000" s="304">
        <f t="shared" ca="1" si="435"/>
        <v>746.91597495986264</v>
      </c>
      <c r="M1000" s="306">
        <f t="shared" ca="1" si="451"/>
        <v>-1.4849134152263581</v>
      </c>
      <c r="N1000" s="304">
        <f t="shared" ca="1" si="452"/>
        <v>-85.079271634827478</v>
      </c>
      <c r="P1000" s="310">
        <f t="shared" ca="1" si="453"/>
        <v>23</v>
      </c>
      <c r="Q1000" s="304">
        <f t="shared" ca="1" si="454"/>
        <v>0</v>
      </c>
      <c r="R1000" s="306">
        <f t="shared" ca="1" si="455"/>
        <v>0</v>
      </c>
      <c r="S1000" s="307">
        <f t="shared" ca="1" si="456"/>
        <v>5.083000000000002</v>
      </c>
      <c r="T1000" s="304">
        <f t="shared" ca="1" si="436"/>
        <v>49.86423000000002</v>
      </c>
      <c r="U1000" s="311">
        <f t="shared" ca="1" si="437"/>
        <v>0</v>
      </c>
      <c r="V1000" s="306">
        <f t="shared" ca="1" si="438"/>
        <v>1.2260788014614554</v>
      </c>
      <c r="W1000" s="304">
        <f t="shared" ca="1" si="439"/>
        <v>43.263373482574487</v>
      </c>
      <c r="Y1000" s="314" t="str">
        <f t="shared" ca="1" si="457"/>
        <v/>
      </c>
      <c r="Z1000" s="315" t="str">
        <f t="shared" ca="1" si="458"/>
        <v/>
      </c>
      <c r="AA1000" s="316" t="str">
        <f t="shared" ca="1" si="459"/>
        <v/>
      </c>
      <c r="AC1000" s="310" t="e">
        <f t="shared" ca="1" si="460"/>
        <v>#N/A</v>
      </c>
      <c r="AD1000" s="323" t="e">
        <f t="shared" ca="1" si="461"/>
        <v>#N/A</v>
      </c>
      <c r="AE1000" s="324" t="e">
        <f t="shared" ca="1" si="440"/>
        <v>#N/A</v>
      </c>
      <c r="AG1000" s="306">
        <f t="shared" ca="1" si="462"/>
        <v>1.2624863510496898</v>
      </c>
      <c r="AH1000" s="304">
        <f t="shared" ca="1" si="463"/>
        <v>-8.5113565559780007</v>
      </c>
    </row>
    <row r="1001" spans="1:34" x14ac:dyDescent="0.2">
      <c r="A1001" s="347">
        <f t="shared" ca="1" si="441"/>
        <v>1E-4</v>
      </c>
      <c r="B1001" s="304">
        <f t="shared" ca="1" si="442"/>
        <v>29.261500000000005</v>
      </c>
      <c r="D1001" s="306">
        <f t="shared" ca="1" si="443"/>
        <v>-0.73008431025720788</v>
      </c>
      <c r="E1001" s="307">
        <f t="shared" ca="1" si="444"/>
        <v>-1.3299844733720025</v>
      </c>
      <c r="F1001" s="304">
        <f t="shared" ca="1" si="445"/>
        <v>1.5171953728819325</v>
      </c>
      <c r="G1001" s="306">
        <f t="shared" ca="1" si="446"/>
        <v>9.1953565890650175</v>
      </c>
      <c r="H1001" s="307">
        <f t="shared" ca="1" si="447"/>
        <v>-106.80613425782217</v>
      </c>
      <c r="I1001" s="304">
        <f t="shared" ca="1" si="448"/>
        <v>107.20123552413001</v>
      </c>
      <c r="J1001" s="306">
        <f t="shared" ca="1" si="449"/>
        <v>746.86410190403069</v>
      </c>
      <c r="K1001" s="307">
        <f t="shared" ca="1" si="450"/>
        <v>-8.8133470964225893</v>
      </c>
      <c r="L1001" s="304">
        <f t="shared" ca="1" si="435"/>
        <v>746.91610091090979</v>
      </c>
      <c r="M1001" s="306">
        <f t="shared" ca="1" si="451"/>
        <v>-1.4849142001762989</v>
      </c>
      <c r="N1001" s="304">
        <f t="shared" ca="1" si="452"/>
        <v>-85.079316609146218</v>
      </c>
      <c r="P1001" s="310">
        <f t="shared" ca="1" si="453"/>
        <v>23</v>
      </c>
      <c r="Q1001" s="304">
        <f t="shared" ca="1" si="454"/>
        <v>0</v>
      </c>
      <c r="R1001" s="306">
        <f t="shared" ca="1" si="455"/>
        <v>0</v>
      </c>
      <c r="S1001" s="307">
        <f t="shared" ca="1" si="456"/>
        <v>5.083000000000002</v>
      </c>
      <c r="T1001" s="304">
        <f t="shared" ca="1" si="436"/>
        <v>49.86423000000002</v>
      </c>
      <c r="U1001" s="311">
        <f t="shared" ca="1" si="437"/>
        <v>0</v>
      </c>
      <c r="V1001" s="306">
        <f t="shared" ca="1" si="438"/>
        <v>1.2260801109889645</v>
      </c>
      <c r="W1001" s="304">
        <f t="shared" ca="1" si="439"/>
        <v>43.263521589258879</v>
      </c>
      <c r="Y1001" s="314" t="str">
        <f t="shared" ca="1" si="457"/>
        <v/>
      </c>
      <c r="Z1001" s="315" t="str">
        <f t="shared" ca="1" si="458"/>
        <v/>
      </c>
      <c r="AA1001" s="316" t="str">
        <f t="shared" ca="1" si="459"/>
        <v/>
      </c>
      <c r="AC1001" s="310" t="e">
        <f t="shared" ca="1" si="460"/>
        <v>#N/A</v>
      </c>
      <c r="AD1001" s="323" t="e">
        <f t="shared" ca="1" si="461"/>
        <v>#N/A</v>
      </c>
      <c r="AE1001" s="324" t="e">
        <f t="shared" ca="1" si="440"/>
        <v>#N/A</v>
      </c>
      <c r="AG1001" s="306">
        <f t="shared" ca="1" si="462"/>
        <v>1.262457873559482</v>
      </c>
      <c r="AH1001" s="304">
        <f t="shared" ca="1" si="463"/>
        <v>-8.5113856939945833</v>
      </c>
    </row>
    <row r="1002" spans="1:34" x14ac:dyDescent="0.2">
      <c r="A1002" s="347">
        <f t="shared" ca="1" si="441"/>
        <v>1E-4</v>
      </c>
      <c r="B1002" s="304">
        <f t="shared" ca="1" si="442"/>
        <v>29.261600000000005</v>
      </c>
      <c r="D1002" s="306">
        <f t="shared" ca="1" si="443"/>
        <v>-0.7300801531977581</v>
      </c>
      <c r="E1002" s="307">
        <f t="shared" ca="1" si="444"/>
        <v>-1.3299548700329584</v>
      </c>
      <c r="F1002" s="304">
        <f t="shared" ca="1" si="445"/>
        <v>1.517167422013024</v>
      </c>
      <c r="G1002" s="306">
        <f t="shared" ca="1" si="446"/>
        <v>9.1952835810496971</v>
      </c>
      <c r="H1002" s="307">
        <f t="shared" ca="1" si="447"/>
        <v>-106.80626725330917</v>
      </c>
      <c r="I1002" s="304">
        <f t="shared" ca="1" si="448"/>
        <v>107.20136176710268</v>
      </c>
      <c r="J1002" s="306">
        <f t="shared" ca="1" si="449"/>
        <v>746.86410190403069</v>
      </c>
      <c r="K1002" s="307">
        <f t="shared" ca="1" si="450"/>
        <v>-8.8240277164981453</v>
      </c>
      <c r="L1002" s="304">
        <f t="shared" ca="1" si="435"/>
        <v>746.91622701482117</v>
      </c>
      <c r="M1002" s="306">
        <f t="shared" ca="1" si="451"/>
        <v>-1.4849149851181587</v>
      </c>
      <c r="N1002" s="304">
        <f t="shared" ca="1" si="452"/>
        <v>-85.079361583001941</v>
      </c>
      <c r="P1002" s="310">
        <f t="shared" ca="1" si="453"/>
        <v>23</v>
      </c>
      <c r="Q1002" s="304">
        <f t="shared" ca="1" si="454"/>
        <v>0</v>
      </c>
      <c r="R1002" s="306">
        <f t="shared" ca="1" si="455"/>
        <v>0</v>
      </c>
      <c r="S1002" s="307">
        <f t="shared" ca="1" si="456"/>
        <v>5.083000000000002</v>
      </c>
      <c r="T1002" s="304">
        <f t="shared" ca="1" si="436"/>
        <v>49.86423000000002</v>
      </c>
      <c r="U1002" s="311">
        <f t="shared" ca="1" si="437"/>
        <v>0</v>
      </c>
      <c r="V1002" s="306">
        <f t="shared" ca="1" si="438"/>
        <v>1.226081420519503</v>
      </c>
      <c r="W1002" s="304">
        <f t="shared" ca="1" si="439"/>
        <v>43.263669694089288</v>
      </c>
      <c r="Y1002" s="314" t="str">
        <f t="shared" ca="1" si="457"/>
        <v/>
      </c>
      <c r="Z1002" s="315" t="str">
        <f t="shared" ca="1" si="458"/>
        <v/>
      </c>
      <c r="AA1002" s="316" t="str">
        <f t="shared" ca="1" si="459"/>
        <v/>
      </c>
      <c r="AC1002" s="310" t="e">
        <f t="shared" ca="1" si="460"/>
        <v>#N/A</v>
      </c>
      <c r="AD1002" s="323" t="e">
        <f t="shared" ca="1" si="461"/>
        <v>#N/A</v>
      </c>
      <c r="AE1002" s="324" t="e">
        <f t="shared" ca="1" si="440"/>
        <v>#N/A</v>
      </c>
      <c r="AG1002" s="306">
        <f t="shared" ca="1" si="462"/>
        <v>1.2624293964211777</v>
      </c>
      <c r="AH1002" s="304">
        <f t="shared" ca="1" si="463"/>
        <v>-8.5114148316464409</v>
      </c>
    </row>
    <row r="1003" spans="1:34" x14ac:dyDescent="0.2">
      <c r="A1003" s="347">
        <f t="shared" ca="1" si="441"/>
        <v>1E-4</v>
      </c>
      <c r="B1003" s="304">
        <f t="shared" ca="1" si="442"/>
        <v>29.261700000000005</v>
      </c>
      <c r="D1003" s="306">
        <f t="shared" ca="1" si="443"/>
        <v>-0.73007599612952623</v>
      </c>
      <c r="E1003" s="307">
        <f t="shared" ca="1" si="444"/>
        <v>-1.3299252670645121</v>
      </c>
      <c r="F1003" s="304">
        <f t="shared" ca="1" si="445"/>
        <v>1.5171394715388344</v>
      </c>
      <c r="G1003" s="306">
        <f t="shared" ca="1" si="446"/>
        <v>9.1952105734500833</v>
      </c>
      <c r="H1003" s="307">
        <f t="shared" ca="1" si="447"/>
        <v>-106.80640024583587</v>
      </c>
      <c r="I1003" s="304">
        <f t="shared" ca="1" si="448"/>
        <v>107.20148800722767</v>
      </c>
      <c r="J1003" s="306">
        <f t="shared" ca="1" si="449"/>
        <v>746.86410190403069</v>
      </c>
      <c r="K1003" s="307">
        <f t="shared" ca="1" si="450"/>
        <v>-8.8347083498731021</v>
      </c>
      <c r="L1003" s="304">
        <f t="shared" ca="1" si="435"/>
        <v>746.91635327159736</v>
      </c>
      <c r="M1003" s="306">
        <f t="shared" ca="1" si="451"/>
        <v>-1.4849157700519375</v>
      </c>
      <c r="N1003" s="304">
        <f t="shared" ca="1" si="452"/>
        <v>-85.079406556394659</v>
      </c>
      <c r="P1003" s="310">
        <f t="shared" ca="1" si="453"/>
        <v>23</v>
      </c>
      <c r="Q1003" s="304">
        <f t="shared" ca="1" si="454"/>
        <v>0</v>
      </c>
      <c r="R1003" s="306">
        <f t="shared" ca="1" si="455"/>
        <v>0</v>
      </c>
      <c r="S1003" s="307">
        <f t="shared" ca="1" si="456"/>
        <v>5.083000000000002</v>
      </c>
      <c r="T1003" s="304">
        <f t="shared" ca="1" si="436"/>
        <v>49.86423000000002</v>
      </c>
      <c r="U1003" s="311">
        <f t="shared" ca="1" si="437"/>
        <v>0</v>
      </c>
      <c r="V1003" s="306">
        <f ca="1">Rho_moyen*(20000-Alt_rampe-pos_z)/(20000+Alt_rampe+pos_z)</f>
        <v>1.2260827300530717</v>
      </c>
      <c r="W1003" s="304">
        <f t="shared" ca="1" si="439"/>
        <v>43.263817797065791</v>
      </c>
      <c r="Y1003" s="314" t="str">
        <f t="shared" ca="1" si="457"/>
        <v/>
      </c>
      <c r="Z1003" s="315" t="str">
        <f t="shared" ca="1" si="458"/>
        <v/>
      </c>
      <c r="AA1003" s="316" t="str">
        <f t="shared" ca="1" si="459"/>
        <v/>
      </c>
      <c r="AC1003" s="310" t="e">
        <f t="shared" ca="1" si="460"/>
        <v>#N/A</v>
      </c>
      <c r="AD1003" s="323" t="e">
        <f t="shared" ca="1" si="461"/>
        <v>#N/A</v>
      </c>
      <c r="AE1003" s="324" t="e">
        <f t="shared" ca="1" si="440"/>
        <v>#N/A</v>
      </c>
      <c r="AG1003" s="306">
        <f t="shared" ca="1" si="462"/>
        <v>1.2624009196347927</v>
      </c>
      <c r="AH1003" s="304">
        <f t="shared" ca="1" si="463"/>
        <v>-8.5114439689335573</v>
      </c>
    </row>
    <row r="1004" spans="1:34" x14ac:dyDescent="0.2">
      <c r="A1004" s="348">
        <f t="shared" ca="1" si="441"/>
        <v>1E-4</v>
      </c>
      <c r="B1004" s="305">
        <f t="shared" ca="1" si="442"/>
        <v>29.261800000000004</v>
      </c>
      <c r="D1004" s="308">
        <f t="shared" ca="1" si="443"/>
        <v>-0.73007183905251305</v>
      </c>
      <c r="E1004" s="309">
        <f t="shared" ca="1" si="444"/>
        <v>-1.3298956644666475</v>
      </c>
      <c r="F1004" s="305">
        <f t="shared" ca="1" si="445"/>
        <v>1.5171115214593502</v>
      </c>
      <c r="G1004" s="308">
        <f t="shared" ca="1" si="446"/>
        <v>9.1951375662661778</v>
      </c>
      <c r="H1004" s="309">
        <f t="shared" ca="1" si="447"/>
        <v>-106.80653323540233</v>
      </c>
      <c r="I1004" s="305">
        <f t="shared" ca="1" si="448"/>
        <v>107.20161424450501</v>
      </c>
      <c r="J1004" s="308">
        <f t="shared" ca="1" si="449"/>
        <v>746.86410190403069</v>
      </c>
      <c r="K1004" s="309">
        <f t="shared" ca="1" si="450"/>
        <v>-8.8453889965471646</v>
      </c>
      <c r="L1004" s="305">
        <f t="shared" ca="1" si="435"/>
        <v>746.91647968123891</v>
      </c>
      <c r="M1004" s="308">
        <f t="shared" ca="1" si="451"/>
        <v>-1.4849165549776357</v>
      </c>
      <c r="N1004" s="305">
        <f t="shared" ca="1" si="452"/>
        <v>-85.079451529324402</v>
      </c>
      <c r="P1004" s="312">
        <f t="shared" ca="1" si="453"/>
        <v>23</v>
      </c>
      <c r="Q1004" s="305">
        <f t="shared" ca="1" si="454"/>
        <v>0</v>
      </c>
      <c r="R1004" s="308">
        <f t="shared" ca="1" si="455"/>
        <v>0</v>
      </c>
      <c r="S1004" s="309">
        <f t="shared" ca="1" si="456"/>
        <v>5.083000000000002</v>
      </c>
      <c r="T1004" s="305">
        <f t="shared" ca="1" si="436"/>
        <v>49.86423000000002</v>
      </c>
      <c r="U1004" s="313">
        <f t="shared" ca="1" si="437"/>
        <v>0</v>
      </c>
      <c r="V1004" s="308">
        <f t="shared" ca="1" si="438"/>
        <v>1.2260840395896699</v>
      </c>
      <c r="W1004" s="305">
        <f ca="1">1/2*Rho*Sref*Cx*vit_xz^2</f>
        <v>43.26396589818836</v>
      </c>
      <c r="Y1004" s="317" t="str">
        <f ca="1">IF(AND(pos_z&lt;=0,K1003&gt;0),"Impact balistique","") &amp; IF(AND(H1005&lt;0,vit_z&gt;=0),"Apogée","") &amp; IF(AND(Poussee=0,Q1003&gt;0),"Fin de propulsion","") &amp; IF(AND(L1005&gt;L_rampe,pos_xz&lt;=L_rampe),"Sortie de rampe","")</f>
        <v/>
      </c>
      <c r="Z1004" s="318" t="str">
        <f t="shared" ca="1" si="458"/>
        <v/>
      </c>
      <c r="AA1004" s="319" t="str">
        <f t="shared" ca="1" si="459"/>
        <v/>
      </c>
      <c r="AC1004" s="312" t="e">
        <f t="shared" ca="1" si="460"/>
        <v>#N/A</v>
      </c>
      <c r="AD1004" s="325" t="e">
        <f t="shared" ca="1" si="461"/>
        <v>#N/A</v>
      </c>
      <c r="AE1004" s="326" t="e">
        <f t="shared" ca="1" si="440"/>
        <v>#N/A</v>
      </c>
      <c r="AG1004" s="308">
        <f t="shared" ca="1" si="462"/>
        <v>1.2623724432003112</v>
      </c>
      <c r="AH1004" s="305">
        <f t="shared" ca="1" si="463"/>
        <v>-8.5114731058559467</v>
      </c>
    </row>
    <row r="1005" spans="1:34" x14ac:dyDescent="0.2">
      <c r="Y1005" s="303"/>
    </row>
    <row r="1010" spans="12:12" x14ac:dyDescent="0.2">
      <c r="L1010"/>
    </row>
    <row r="1034" spans="5:25" x14ac:dyDescent="0.2">
      <c r="E1034" s="300" t="s">
        <v>254</v>
      </c>
      <c r="J1034" s="301" t="s">
        <v>246</v>
      </c>
      <c r="T1034" s="300" t="s">
        <v>245</v>
      </c>
      <c r="Y1034" s="302" t="s">
        <v>248</v>
      </c>
    </row>
    <row r="1035" spans="5:25" x14ac:dyDescent="0.2">
      <c r="E1035" s="299" t="s">
        <v>258</v>
      </c>
    </row>
    <row r="1036" spans="5:25" x14ac:dyDescent="0.2">
      <c r="E1036" s="299"/>
      <c r="T1036" s="299" t="s">
        <v>251</v>
      </c>
    </row>
    <row r="1037" spans="5:25" x14ac:dyDescent="0.2">
      <c r="E1037" s="299"/>
      <c r="T1037" s="299" t="s">
        <v>255</v>
      </c>
    </row>
    <row r="1038" spans="5:25" x14ac:dyDescent="0.2">
      <c r="E1038" s="299"/>
      <c r="T1038" s="299" t="s">
        <v>256</v>
      </c>
    </row>
    <row r="1039" spans="5:25" x14ac:dyDescent="0.2">
      <c r="E1039" s="299"/>
      <c r="T1039" s="299" t="s">
        <v>262</v>
      </c>
    </row>
    <row r="1040" spans="5:25" x14ac:dyDescent="0.2">
      <c r="E1040" s="299" t="s">
        <v>257</v>
      </c>
      <c r="T1040" s="299" t="s">
        <v>247</v>
      </c>
    </row>
    <row r="1041" spans="5:20" x14ac:dyDescent="0.2">
      <c r="E1041" s="299"/>
      <c r="T1041" s="299" t="s">
        <v>263</v>
      </c>
    </row>
    <row r="1042" spans="5:20" x14ac:dyDescent="0.2">
      <c r="E1042" s="299"/>
      <c r="R1042" s="303"/>
      <c r="T1042" s="299"/>
    </row>
    <row r="1043" spans="5:20" x14ac:dyDescent="0.2">
      <c r="E1043" s="299"/>
    </row>
    <row r="1044" spans="5:20" x14ac:dyDescent="0.2">
      <c r="E1044" s="299"/>
    </row>
    <row r="1045" spans="5:20" x14ac:dyDescent="0.2">
      <c r="E1045" s="299" t="s">
        <v>260</v>
      </c>
      <c r="R1045" s="303"/>
      <c r="T1045" s="299"/>
    </row>
    <row r="1046" spans="5:20" x14ac:dyDescent="0.2">
      <c r="E1046" s="299"/>
    </row>
    <row r="1047" spans="5:20" x14ac:dyDescent="0.2">
      <c r="E1047" s="299"/>
    </row>
    <row r="1048" spans="5:20" x14ac:dyDescent="0.2">
      <c r="E1048" s="299"/>
      <c r="T1048" s="298" t="s">
        <v>253</v>
      </c>
    </row>
    <row r="1049" spans="5:20" x14ac:dyDescent="0.2">
      <c r="E1049" s="299"/>
    </row>
    <row r="1050" spans="5:20" x14ac:dyDescent="0.2">
      <c r="E1050" s="299" t="s">
        <v>261</v>
      </c>
    </row>
    <row r="1053" spans="5:20" x14ac:dyDescent="0.2">
      <c r="T1053" s="298" t="s">
        <v>268</v>
      </c>
    </row>
    <row r="1055" spans="5:20" x14ac:dyDescent="0.2">
      <c r="E1055" s="299" t="s">
        <v>250</v>
      </c>
    </row>
    <row r="1058" spans="5:20" x14ac:dyDescent="0.2">
      <c r="T1058" s="299" t="s">
        <v>269</v>
      </c>
    </row>
    <row r="1060" spans="5:20" x14ac:dyDescent="0.2">
      <c r="E1060" s="299" t="s">
        <v>259</v>
      </c>
    </row>
    <row r="1061" spans="5:20" x14ac:dyDescent="0.2">
      <c r="E1061" s="299"/>
    </row>
    <row r="1062" spans="5:20" x14ac:dyDescent="0.2">
      <c r="E1062" s="299"/>
    </row>
    <row r="1063" spans="5:20" x14ac:dyDescent="0.2">
      <c r="E1063" s="299"/>
    </row>
    <row r="1064" spans="5:20" x14ac:dyDescent="0.2">
      <c r="E1064" s="299"/>
    </row>
    <row r="1065" spans="5:20" x14ac:dyDescent="0.2">
      <c r="E1065" s="299" t="s">
        <v>249</v>
      </c>
    </row>
    <row r="1066" spans="5:20" x14ac:dyDescent="0.2">
      <c r="E1066" s="299"/>
    </row>
    <row r="1067" spans="5:20" x14ac:dyDescent="0.2">
      <c r="E1067" s="299"/>
    </row>
    <row r="1068" spans="5:20" x14ac:dyDescent="0.2">
      <c r="E1068" s="299"/>
    </row>
    <row r="1069" spans="5:20" x14ac:dyDescent="0.2">
      <c r="E1069" s="299"/>
    </row>
    <row r="1070" spans="5:20" x14ac:dyDescent="0.2">
      <c r="E1070" s="299" t="s">
        <v>252</v>
      </c>
    </row>
    <row r="1071" spans="5:20" x14ac:dyDescent="0.2">
      <c r="E1071" s="299"/>
    </row>
    <row r="1072" spans="5:20" x14ac:dyDescent="0.2">
      <c r="E1072" s="299"/>
    </row>
    <row r="1073" spans="5:5" x14ac:dyDescent="0.2">
      <c r="E1073" s="299"/>
    </row>
    <row r="1074" spans="5:5" x14ac:dyDescent="0.2">
      <c r="E1074" s="299"/>
    </row>
    <row r="1075" spans="5:5" x14ac:dyDescent="0.2">
      <c r="E1075" s="299" t="s">
        <v>264</v>
      </c>
    </row>
  </sheetData>
  <sheetProtection password="C6AC" sheet="1"/>
  <mergeCells count="5">
    <mergeCell ref="D1:N1"/>
    <mergeCell ref="P1:W1"/>
    <mergeCell ref="AG1:AH1"/>
    <mergeCell ref="Y2:AA2"/>
    <mergeCell ref="AC1:AE1"/>
  </mergeCells>
  <phoneticPr fontId="8" type="noConversion"/>
  <conditionalFormatting sqref="A4:XFD1004">
    <cfRule type="expression" dxfId="5" priority="7" stopIfTrue="1">
      <formula>OR($Y4="Sortie de rampe",$Z4="Para")</formula>
    </cfRule>
    <cfRule type="expression" dxfId="4" priority="8" stopIfTrue="1">
      <formula>OR($Y4="Fin de propulsion",$Y4="Impact balistique",$AA4="Satellite")</formula>
    </cfRule>
    <cfRule type="expression" dxfId="3" priority="9" stopIfTrue="1">
      <formula>$Y4="Apogée"</formula>
    </cfRule>
  </conditionalFormatting>
  <hyperlinks>
    <hyperlink ref="J1034" r:id="rId1" xr:uid="{00000000-0004-0000-0400-000000000000}"/>
    <hyperlink ref="Y1034" r:id="rId2" xr:uid="{00000000-0004-0000-0400-000001000000}"/>
  </hyperlinks>
  <pageMargins left="0.39370078740157483" right="0.39370078740157483" top="0.39370078740157483" bottom="0.39370078740157483" header="0" footer="0"/>
  <pageSetup paperSize="9" scale="29" firstPageNumber="0" fitToHeight="5" orientation="portrait" horizontalDpi="300" verticalDpi="300" r:id="rId3"/>
  <headerFooter alignWithMargins="0"/>
  <drawing r:id="rId4"/>
  <legacyDrawing r:id="rId5"/>
  <oleObjects>
    <mc:AlternateContent xmlns:mc="http://schemas.openxmlformats.org/markup-compatibility/2006">
      <mc:Choice Requires="x14">
        <oleObject progId="Equation.3" shapeId="3091" r:id="rId6">
          <objectPr defaultSize="0" autoPict="0" r:id="rId7">
            <anchor moveWithCells="1">
              <from>
                <xdr:col>18</xdr:col>
                <xdr:colOff>9525</xdr:colOff>
                <xdr:row>1010</xdr:row>
                <xdr:rowOff>104775</xdr:rowOff>
              </from>
              <to>
                <xdr:col>20</xdr:col>
                <xdr:colOff>295275</xdr:colOff>
                <xdr:row>1013</xdr:row>
                <xdr:rowOff>28575</xdr:rowOff>
              </to>
            </anchor>
          </objectPr>
        </oleObject>
      </mc:Choice>
      <mc:Fallback>
        <oleObject progId="Equation.3" shapeId="3091" r:id="rId6"/>
      </mc:Fallback>
    </mc:AlternateContent>
    <mc:AlternateContent xmlns:mc="http://schemas.openxmlformats.org/markup-compatibility/2006">
      <mc:Choice Requires="x14">
        <oleObject progId="Equation.3" shapeId="3092" r:id="rId8">
          <objectPr defaultSize="0" autoPict="0" r:id="rId9">
            <anchor moveWithCells="1">
              <from>
                <xdr:col>21</xdr:col>
                <xdr:colOff>28575</xdr:colOff>
                <xdr:row>1024</xdr:row>
                <xdr:rowOff>161925</xdr:rowOff>
              </from>
              <to>
                <xdr:col>25</xdr:col>
                <xdr:colOff>457200</xdr:colOff>
                <xdr:row>1026</xdr:row>
                <xdr:rowOff>76200</xdr:rowOff>
              </to>
            </anchor>
          </objectPr>
        </oleObject>
      </mc:Choice>
      <mc:Fallback>
        <oleObject progId="Equation.3" shapeId="3092" r:id="rId8"/>
      </mc:Fallback>
    </mc:AlternateContent>
    <mc:AlternateContent xmlns:mc="http://schemas.openxmlformats.org/markup-compatibility/2006">
      <mc:Choice Requires="x14">
        <oleObject progId="Equation.3" shapeId="3096" r:id="rId10">
          <objectPr defaultSize="0" autoPict="0" r:id="rId11">
            <anchor moveWithCells="1">
              <from>
                <xdr:col>16</xdr:col>
                <xdr:colOff>257175</xdr:colOff>
                <xdr:row>1006</xdr:row>
                <xdr:rowOff>28575</xdr:rowOff>
              </from>
              <to>
                <xdr:col>24</xdr:col>
                <xdr:colOff>152400</xdr:colOff>
                <xdr:row>1007</xdr:row>
                <xdr:rowOff>104775</xdr:rowOff>
              </to>
            </anchor>
          </objectPr>
        </oleObject>
      </mc:Choice>
      <mc:Fallback>
        <oleObject progId="Equation.3" shapeId="3096" r:id="rId10"/>
      </mc:Fallback>
    </mc:AlternateContent>
    <mc:AlternateContent xmlns:mc="http://schemas.openxmlformats.org/markup-compatibility/2006">
      <mc:Choice Requires="x14">
        <oleObject progId="Equation.3" shapeId="3112" r:id="rId12">
          <objectPr defaultSize="0" autoPict="0" r:id="rId13">
            <anchor moveWithCells="1">
              <from>
                <xdr:col>7</xdr:col>
                <xdr:colOff>9525</xdr:colOff>
                <xdr:row>1017</xdr:row>
                <xdr:rowOff>161925</xdr:rowOff>
              </from>
              <to>
                <xdr:col>10</xdr:col>
                <xdr:colOff>581025</xdr:colOff>
                <xdr:row>1019</xdr:row>
                <xdr:rowOff>142875</xdr:rowOff>
              </to>
            </anchor>
          </objectPr>
        </oleObject>
      </mc:Choice>
      <mc:Fallback>
        <oleObject progId="Equation.3" shapeId="3112" r:id="rId12"/>
      </mc:Fallback>
    </mc:AlternateContent>
    <mc:AlternateContent xmlns:mc="http://schemas.openxmlformats.org/markup-compatibility/2006">
      <mc:Choice Requires="x14">
        <oleObject progId="Equation.3" shapeId="3114" r:id="rId14">
          <objectPr defaultSize="0" autoPict="0" r:id="rId15">
            <anchor moveWithCells="1">
              <from>
                <xdr:col>7</xdr:col>
                <xdr:colOff>9525</xdr:colOff>
                <xdr:row>1014</xdr:row>
                <xdr:rowOff>180975</xdr:rowOff>
              </from>
              <to>
                <xdr:col>11</xdr:col>
                <xdr:colOff>266700</xdr:colOff>
                <xdr:row>1016</xdr:row>
                <xdr:rowOff>66675</xdr:rowOff>
              </to>
            </anchor>
          </objectPr>
        </oleObject>
      </mc:Choice>
      <mc:Fallback>
        <oleObject progId="Equation.3" shapeId="3114" r:id="rId14"/>
      </mc:Fallback>
    </mc:AlternateContent>
    <mc:AlternateContent xmlns:mc="http://schemas.openxmlformats.org/markup-compatibility/2006">
      <mc:Choice Requires="x14">
        <oleObject progId="Equation.3" shapeId="3115" r:id="rId16">
          <objectPr defaultSize="0" autoPict="0" r:id="rId17">
            <anchor moveWithCells="1">
              <from>
                <xdr:col>7</xdr:col>
                <xdr:colOff>9525</xdr:colOff>
                <xdr:row>1016</xdr:row>
                <xdr:rowOff>76200</xdr:rowOff>
              </from>
              <to>
                <xdr:col>11</xdr:col>
                <xdr:colOff>238125</xdr:colOff>
                <xdr:row>1017</xdr:row>
                <xdr:rowOff>161925</xdr:rowOff>
              </to>
            </anchor>
          </objectPr>
        </oleObject>
      </mc:Choice>
      <mc:Fallback>
        <oleObject progId="Equation.3" shapeId="3115" r:id="rId16"/>
      </mc:Fallback>
    </mc:AlternateContent>
    <mc:AlternateContent xmlns:mc="http://schemas.openxmlformats.org/markup-compatibility/2006">
      <mc:Choice Requires="x14">
        <oleObject progId="Equation.3" shapeId="3119" r:id="rId18">
          <objectPr defaultSize="0" autoPict="0" r:id="rId19">
            <anchor moveWithCells="1">
              <from>
                <xdr:col>10</xdr:col>
                <xdr:colOff>0</xdr:colOff>
                <xdr:row>1022</xdr:row>
                <xdr:rowOff>66675</xdr:rowOff>
              </from>
              <to>
                <xdr:col>17</xdr:col>
                <xdr:colOff>276225</xdr:colOff>
                <xdr:row>1024</xdr:row>
                <xdr:rowOff>161925</xdr:rowOff>
              </to>
            </anchor>
          </objectPr>
        </oleObject>
      </mc:Choice>
      <mc:Fallback>
        <oleObject progId="Equation.3" shapeId="3119" r:id="rId18"/>
      </mc:Fallback>
    </mc:AlternateContent>
    <mc:AlternateContent xmlns:mc="http://schemas.openxmlformats.org/markup-compatibility/2006">
      <mc:Choice Requires="x14">
        <oleObject progId="Equation.3" shapeId="3120" r:id="rId20">
          <objectPr defaultSize="0" autoPict="0" r:id="rId21">
            <anchor moveWithCells="1">
              <from>
                <xdr:col>4</xdr:col>
                <xdr:colOff>0</xdr:colOff>
                <xdr:row>1008</xdr:row>
                <xdr:rowOff>0</xdr:rowOff>
              </from>
              <to>
                <xdr:col>11</xdr:col>
                <xdr:colOff>238125</xdr:colOff>
                <xdr:row>1010</xdr:row>
                <xdr:rowOff>85725</xdr:rowOff>
              </to>
            </anchor>
          </objectPr>
        </oleObject>
      </mc:Choice>
      <mc:Fallback>
        <oleObject progId="Equation.3" shapeId="3120" r:id="rId20"/>
      </mc:Fallback>
    </mc:AlternateContent>
    <mc:AlternateContent xmlns:mc="http://schemas.openxmlformats.org/markup-compatibility/2006">
      <mc:Choice Requires="x14">
        <oleObject progId="Equation.3" shapeId="3121" r:id="rId22">
          <objectPr defaultSize="0" autoPict="0" r:id="rId23">
            <anchor moveWithCells="1">
              <from>
                <xdr:col>4</xdr:col>
                <xdr:colOff>0</xdr:colOff>
                <xdr:row>1010</xdr:row>
                <xdr:rowOff>104775</xdr:rowOff>
              </from>
              <to>
                <xdr:col>12</xdr:col>
                <xdr:colOff>238125</xdr:colOff>
                <xdr:row>1013</xdr:row>
                <xdr:rowOff>0</xdr:rowOff>
              </to>
            </anchor>
          </objectPr>
        </oleObject>
      </mc:Choice>
      <mc:Fallback>
        <oleObject progId="Equation.3" shapeId="3121" r:id="rId22"/>
      </mc:Fallback>
    </mc:AlternateContent>
    <mc:AlternateContent xmlns:mc="http://schemas.openxmlformats.org/markup-compatibility/2006">
      <mc:Choice Requires="x14">
        <oleObject progId="Equation.3" shapeId="3122" r:id="rId24">
          <objectPr defaultSize="0" autoPict="0" r:id="rId25">
            <anchor moveWithCells="1">
              <from>
                <xdr:col>1</xdr:col>
                <xdr:colOff>9525</xdr:colOff>
                <xdr:row>1006</xdr:row>
                <xdr:rowOff>104775</xdr:rowOff>
              </from>
              <to>
                <xdr:col>3</xdr:col>
                <xdr:colOff>542925</xdr:colOff>
                <xdr:row>1007</xdr:row>
                <xdr:rowOff>180975</xdr:rowOff>
              </to>
            </anchor>
          </objectPr>
        </oleObject>
      </mc:Choice>
      <mc:Fallback>
        <oleObject progId="Equation.3" shapeId="3122" r:id="rId24"/>
      </mc:Fallback>
    </mc:AlternateContent>
    <mc:AlternateContent xmlns:mc="http://schemas.openxmlformats.org/markup-compatibility/2006">
      <mc:Choice Requires="x14">
        <oleObject progId="Equation.3" shapeId="3124" r:id="rId26">
          <objectPr defaultSize="0" autoPict="0" r:id="rId27">
            <anchor moveWithCells="1">
              <from>
                <xdr:col>10</xdr:col>
                <xdr:colOff>0</xdr:colOff>
                <xdr:row>1024</xdr:row>
                <xdr:rowOff>180975</xdr:rowOff>
              </from>
              <to>
                <xdr:col>16</xdr:col>
                <xdr:colOff>0</xdr:colOff>
                <xdr:row>1026</xdr:row>
                <xdr:rowOff>142875</xdr:rowOff>
              </to>
            </anchor>
          </objectPr>
        </oleObject>
      </mc:Choice>
      <mc:Fallback>
        <oleObject progId="Equation.3" shapeId="3124" r:id="rId26"/>
      </mc:Fallback>
    </mc:AlternateContent>
    <mc:AlternateContent xmlns:mc="http://schemas.openxmlformats.org/markup-compatibility/2006">
      <mc:Choice Requires="x14">
        <oleObject progId="Equation.3" shapeId="3125" r:id="rId28">
          <objectPr defaultSize="0" autoPict="0" r:id="rId29">
            <anchor moveWithCells="1">
              <from>
                <xdr:col>18</xdr:col>
                <xdr:colOff>9525</xdr:colOff>
                <xdr:row>1013</xdr:row>
                <xdr:rowOff>28575</xdr:rowOff>
              </from>
              <to>
                <xdr:col>21</xdr:col>
                <xdr:colOff>28575</xdr:colOff>
                <xdr:row>1014</xdr:row>
                <xdr:rowOff>114300</xdr:rowOff>
              </to>
            </anchor>
          </objectPr>
        </oleObject>
      </mc:Choice>
      <mc:Fallback>
        <oleObject progId="Equation.3" shapeId="3125" r:id="rId28"/>
      </mc:Fallback>
    </mc:AlternateContent>
    <mc:AlternateContent xmlns:mc="http://schemas.openxmlformats.org/markup-compatibility/2006">
      <mc:Choice Requires="x14">
        <oleObject progId="Equation.3" shapeId="3127" r:id="rId30">
          <objectPr defaultSize="0" autoPict="0" r:id="rId31">
            <anchor moveWithCells="1">
              <from>
                <xdr:col>1</xdr:col>
                <xdr:colOff>9525</xdr:colOff>
                <xdr:row>1005</xdr:row>
                <xdr:rowOff>9525</xdr:rowOff>
              </from>
              <to>
                <xdr:col>10</xdr:col>
                <xdr:colOff>409575</xdr:colOff>
                <xdr:row>1006</xdr:row>
                <xdr:rowOff>85725</xdr:rowOff>
              </to>
            </anchor>
          </objectPr>
        </oleObject>
      </mc:Choice>
      <mc:Fallback>
        <oleObject progId="Equation.3" shapeId="3127" r:id="rId30"/>
      </mc:Fallback>
    </mc:AlternateContent>
    <mc:AlternateContent xmlns:mc="http://schemas.openxmlformats.org/markup-compatibility/2006">
      <mc:Choice Requires="x14">
        <oleObject progId="Equation.3" shapeId="3129" r:id="rId32">
          <objectPr defaultSize="0" autoPict="0" r:id="rId33">
            <anchor moveWithCells="1">
              <from>
                <xdr:col>4</xdr:col>
                <xdr:colOff>0</xdr:colOff>
                <xdr:row>1013</xdr:row>
                <xdr:rowOff>9525</xdr:rowOff>
              </from>
              <to>
                <xdr:col>8</xdr:col>
                <xdr:colOff>190500</xdr:colOff>
                <xdr:row>1014</xdr:row>
                <xdr:rowOff>161925</xdr:rowOff>
              </to>
            </anchor>
          </objectPr>
        </oleObject>
      </mc:Choice>
      <mc:Fallback>
        <oleObject progId="Equation.3" shapeId="3129" r:id="rId32"/>
      </mc:Fallback>
    </mc:AlternateContent>
    <mc:AlternateContent xmlns:mc="http://schemas.openxmlformats.org/markup-compatibility/2006">
      <mc:Choice Requires="x14">
        <oleObject progId="Equation.3" shapeId="3131" r:id="rId34">
          <objectPr defaultSize="0" autoPict="0" r:id="rId35">
            <anchor moveWithCells="1">
              <from>
                <xdr:col>20</xdr:col>
                <xdr:colOff>9525</xdr:colOff>
                <xdr:row>1018</xdr:row>
                <xdr:rowOff>47625</xdr:rowOff>
              </from>
              <to>
                <xdr:col>24</xdr:col>
                <xdr:colOff>1076325</xdr:colOff>
                <xdr:row>1019</xdr:row>
                <xdr:rowOff>142875</xdr:rowOff>
              </to>
            </anchor>
          </objectPr>
        </oleObject>
      </mc:Choice>
      <mc:Fallback>
        <oleObject progId="Equation.3" shapeId="3131" r:id="rId34"/>
      </mc:Fallback>
    </mc:AlternateContent>
    <mc:AlternateContent xmlns:mc="http://schemas.openxmlformats.org/markup-compatibility/2006">
      <mc:Choice Requires="x14">
        <oleObject progId="Equation.3" shapeId="3134" r:id="rId36">
          <objectPr defaultSize="0" autoPict="0" r:id="rId37">
            <anchor moveWithCells="1">
              <from>
                <xdr:col>10</xdr:col>
                <xdr:colOff>0</xdr:colOff>
                <xdr:row>1019</xdr:row>
                <xdr:rowOff>142875</xdr:rowOff>
              </from>
              <to>
                <xdr:col>20</xdr:col>
                <xdr:colOff>581025</xdr:colOff>
                <xdr:row>1022</xdr:row>
                <xdr:rowOff>47625</xdr:rowOff>
              </to>
            </anchor>
          </objectPr>
        </oleObject>
      </mc:Choice>
      <mc:Fallback>
        <oleObject progId="Equation.3" shapeId="3134" r:id="rId36"/>
      </mc:Fallback>
    </mc:AlternateContent>
    <mc:AlternateContent xmlns:mc="http://schemas.openxmlformats.org/markup-compatibility/2006">
      <mc:Choice Requires="x14">
        <oleObject progId="Equation.3" shapeId="3135" r:id="rId38">
          <objectPr defaultSize="0" autoPict="0" r:id="rId39">
            <anchor moveWithCells="1">
              <from>
                <xdr:col>12</xdr:col>
                <xdr:colOff>0</xdr:colOff>
                <xdr:row>1018</xdr:row>
                <xdr:rowOff>47625</xdr:rowOff>
              </from>
              <to>
                <xdr:col>19</xdr:col>
                <xdr:colOff>180975</xdr:colOff>
                <xdr:row>1019</xdr:row>
                <xdr:rowOff>142875</xdr:rowOff>
              </to>
            </anchor>
          </objectPr>
        </oleObject>
      </mc:Choice>
      <mc:Fallback>
        <oleObject progId="Equation.3" shapeId="3135" r:id="rId38"/>
      </mc:Fallback>
    </mc:AlternateContent>
    <mc:AlternateContent xmlns:mc="http://schemas.openxmlformats.org/markup-compatibility/2006">
      <mc:Choice Requires="x14">
        <oleObject progId="Equation.3" shapeId="3141" r:id="rId40">
          <objectPr defaultSize="0" autoPict="0" r:id="rId41">
            <anchor moveWithCells="1">
              <from>
                <xdr:col>33</xdr:col>
                <xdr:colOff>9525</xdr:colOff>
                <xdr:row>1007</xdr:row>
                <xdr:rowOff>123825</xdr:rowOff>
              </from>
              <to>
                <xdr:col>37</xdr:col>
                <xdr:colOff>276225</xdr:colOff>
                <xdr:row>1010</xdr:row>
                <xdr:rowOff>76200</xdr:rowOff>
              </to>
            </anchor>
          </objectPr>
        </oleObject>
      </mc:Choice>
      <mc:Fallback>
        <oleObject progId="Equation.3" shapeId="3141" r:id="rId40"/>
      </mc:Fallback>
    </mc:AlternateContent>
    <mc:AlternateContent xmlns:mc="http://schemas.openxmlformats.org/markup-compatibility/2006">
      <mc:Choice Requires="x14">
        <oleObject progId="Equation.3" shapeId="3142" r:id="rId42">
          <objectPr defaultSize="0" autoPict="0" r:id="rId43">
            <anchor moveWithCells="1">
              <from>
                <xdr:col>33</xdr:col>
                <xdr:colOff>9525</xdr:colOff>
                <xdr:row>1010</xdr:row>
                <xdr:rowOff>85725</xdr:rowOff>
              </from>
              <to>
                <xdr:col>35</xdr:col>
                <xdr:colOff>723900</xdr:colOff>
                <xdr:row>1013</xdr:row>
                <xdr:rowOff>47625</xdr:rowOff>
              </to>
            </anchor>
          </objectPr>
        </oleObject>
      </mc:Choice>
      <mc:Fallback>
        <oleObject progId="Equation.3" shapeId="3142" r:id="rId42"/>
      </mc:Fallback>
    </mc:AlternateContent>
    <mc:AlternateContent xmlns:mc="http://schemas.openxmlformats.org/markup-compatibility/2006">
      <mc:Choice Requires="x14">
        <oleObject progId="Equation.3" shapeId="3157" r:id="rId44">
          <objectPr defaultSize="0" autoPict="0" r:id="rId45">
            <anchor moveWithCells="1">
              <from>
                <xdr:col>4</xdr:col>
                <xdr:colOff>0</xdr:colOff>
                <xdr:row>1035</xdr:row>
                <xdr:rowOff>28575</xdr:rowOff>
              </from>
              <to>
                <xdr:col>11</xdr:col>
                <xdr:colOff>561975</xdr:colOff>
                <xdr:row>1038</xdr:row>
                <xdr:rowOff>28575</xdr:rowOff>
              </to>
            </anchor>
          </objectPr>
        </oleObject>
      </mc:Choice>
      <mc:Fallback>
        <oleObject progId="Equation.3" shapeId="3157" r:id="rId44"/>
      </mc:Fallback>
    </mc:AlternateContent>
    <mc:AlternateContent xmlns:mc="http://schemas.openxmlformats.org/markup-compatibility/2006">
      <mc:Choice Requires="x14">
        <oleObject progId="Equation.3" shapeId="3158" r:id="rId46">
          <objectPr defaultSize="0" autoPict="0" r:id="rId47">
            <anchor moveWithCells="1">
              <from>
                <xdr:col>4</xdr:col>
                <xdr:colOff>0</xdr:colOff>
                <xdr:row>1040</xdr:row>
                <xdr:rowOff>28575</xdr:rowOff>
              </from>
              <to>
                <xdr:col>12</xdr:col>
                <xdr:colOff>28575</xdr:colOff>
                <xdr:row>1043</xdr:row>
                <xdr:rowOff>28575</xdr:rowOff>
              </to>
            </anchor>
          </objectPr>
        </oleObject>
      </mc:Choice>
      <mc:Fallback>
        <oleObject progId="Equation.3" shapeId="3158" r:id="rId46"/>
      </mc:Fallback>
    </mc:AlternateContent>
    <mc:AlternateContent xmlns:mc="http://schemas.openxmlformats.org/markup-compatibility/2006">
      <mc:Choice Requires="x14">
        <oleObject progId="Equation.3" shapeId="3161" r:id="rId48">
          <objectPr defaultSize="0" autoPict="0" r:id="rId49">
            <anchor moveWithCells="1">
              <from>
                <xdr:col>18</xdr:col>
                <xdr:colOff>9525</xdr:colOff>
                <xdr:row>1014</xdr:row>
                <xdr:rowOff>123825</xdr:rowOff>
              </from>
              <to>
                <xdr:col>20</xdr:col>
                <xdr:colOff>333375</xdr:colOff>
                <xdr:row>1016</xdr:row>
                <xdr:rowOff>9525</xdr:rowOff>
              </to>
            </anchor>
          </objectPr>
        </oleObject>
      </mc:Choice>
      <mc:Fallback>
        <oleObject progId="Equation.3" shapeId="3161" r:id="rId48"/>
      </mc:Fallback>
    </mc:AlternateContent>
    <mc:AlternateContent xmlns:mc="http://schemas.openxmlformats.org/markup-compatibility/2006">
      <mc:Choice Requires="x14">
        <oleObject progId="Equation.3" shapeId="3162" r:id="rId50">
          <objectPr defaultSize="0" autoPict="0" r:id="rId51">
            <anchor moveWithCells="1">
              <from>
                <xdr:col>16</xdr:col>
                <xdr:colOff>257175</xdr:colOff>
                <xdr:row>1007</xdr:row>
                <xdr:rowOff>114300</xdr:rowOff>
              </from>
              <to>
                <xdr:col>32</xdr:col>
                <xdr:colOff>161925</xdr:colOff>
                <xdr:row>1010</xdr:row>
                <xdr:rowOff>85725</xdr:rowOff>
              </to>
            </anchor>
          </objectPr>
        </oleObject>
      </mc:Choice>
      <mc:Fallback>
        <oleObject progId="Equation.3" shapeId="3162" r:id="rId50"/>
      </mc:Fallback>
    </mc:AlternateContent>
    <mc:AlternateContent xmlns:mc="http://schemas.openxmlformats.org/markup-compatibility/2006">
      <mc:Choice Requires="x14">
        <oleObject progId="Equation.3" shapeId="3167" r:id="rId52">
          <objectPr defaultSize="0" autoPict="0" r:id="rId53">
            <anchor moveWithCells="1">
              <from>
                <xdr:col>4</xdr:col>
                <xdr:colOff>0</xdr:colOff>
                <xdr:row>1055</xdr:row>
                <xdr:rowOff>28575</xdr:rowOff>
              </from>
              <to>
                <xdr:col>12</xdr:col>
                <xdr:colOff>333375</xdr:colOff>
                <xdr:row>1058</xdr:row>
                <xdr:rowOff>47625</xdr:rowOff>
              </to>
            </anchor>
          </objectPr>
        </oleObject>
      </mc:Choice>
      <mc:Fallback>
        <oleObject progId="Equation.3" shapeId="3167" r:id="rId52"/>
      </mc:Fallback>
    </mc:AlternateContent>
    <mc:AlternateContent xmlns:mc="http://schemas.openxmlformats.org/markup-compatibility/2006">
      <mc:Choice Requires="x14">
        <oleObject progId="Equation.3" shapeId="3168" r:id="rId54">
          <objectPr defaultSize="0" autoPict="0" r:id="rId55">
            <anchor moveWithCells="1">
              <from>
                <xdr:col>4</xdr:col>
                <xdr:colOff>0</xdr:colOff>
                <xdr:row>1060</xdr:row>
                <xdr:rowOff>28575</xdr:rowOff>
              </from>
              <to>
                <xdr:col>15</xdr:col>
                <xdr:colOff>47625</xdr:colOff>
                <xdr:row>1063</xdr:row>
                <xdr:rowOff>47625</xdr:rowOff>
              </to>
            </anchor>
          </objectPr>
        </oleObject>
      </mc:Choice>
      <mc:Fallback>
        <oleObject progId="Equation.3" shapeId="3168" r:id="rId54"/>
      </mc:Fallback>
    </mc:AlternateContent>
    <mc:AlternateContent xmlns:mc="http://schemas.openxmlformats.org/markup-compatibility/2006">
      <mc:Choice Requires="x14">
        <oleObject progId="Equation.3" shapeId="3169" r:id="rId56">
          <objectPr defaultSize="0" autoPict="0" r:id="rId57">
            <anchor moveWithCells="1">
              <from>
                <xdr:col>4</xdr:col>
                <xdr:colOff>0</xdr:colOff>
                <xdr:row>1065</xdr:row>
                <xdr:rowOff>28575</xdr:rowOff>
              </from>
              <to>
                <xdr:col>16</xdr:col>
                <xdr:colOff>676275</xdr:colOff>
                <xdr:row>1068</xdr:row>
                <xdr:rowOff>47625</xdr:rowOff>
              </to>
            </anchor>
          </objectPr>
        </oleObject>
      </mc:Choice>
      <mc:Fallback>
        <oleObject progId="Equation.3" shapeId="3169" r:id="rId56"/>
      </mc:Fallback>
    </mc:AlternateContent>
    <mc:AlternateContent xmlns:mc="http://schemas.openxmlformats.org/markup-compatibility/2006">
      <mc:Choice Requires="x14">
        <oleObject progId="Equation.3" shapeId="3173" r:id="rId58">
          <objectPr defaultSize="0" autoPict="0" r:id="rId59">
            <anchor moveWithCells="1">
              <from>
                <xdr:col>4</xdr:col>
                <xdr:colOff>0</xdr:colOff>
                <xdr:row>1045</xdr:row>
                <xdr:rowOff>28575</xdr:rowOff>
              </from>
              <to>
                <xdr:col>16</xdr:col>
                <xdr:colOff>104775</xdr:colOff>
                <xdr:row>1048</xdr:row>
                <xdr:rowOff>28575</xdr:rowOff>
              </to>
            </anchor>
          </objectPr>
        </oleObject>
      </mc:Choice>
      <mc:Fallback>
        <oleObject progId="Equation.3" shapeId="3173" r:id="rId58"/>
      </mc:Fallback>
    </mc:AlternateContent>
    <mc:AlternateContent xmlns:mc="http://schemas.openxmlformats.org/markup-compatibility/2006">
      <mc:Choice Requires="x14">
        <oleObject progId="Equation.3" shapeId="3174" r:id="rId60">
          <objectPr defaultSize="0" autoPict="0" r:id="rId61">
            <anchor moveWithCells="1">
              <from>
                <xdr:col>4</xdr:col>
                <xdr:colOff>0</xdr:colOff>
                <xdr:row>1050</xdr:row>
                <xdr:rowOff>28575</xdr:rowOff>
              </from>
              <to>
                <xdr:col>16</xdr:col>
                <xdr:colOff>390525</xdr:colOff>
                <xdr:row>1053</xdr:row>
                <xdr:rowOff>47625</xdr:rowOff>
              </to>
            </anchor>
          </objectPr>
        </oleObject>
      </mc:Choice>
      <mc:Fallback>
        <oleObject progId="Equation.3" shapeId="3174" r:id="rId60"/>
      </mc:Fallback>
    </mc:AlternateContent>
    <mc:AlternateContent xmlns:mc="http://schemas.openxmlformats.org/markup-compatibility/2006">
      <mc:Choice Requires="x14">
        <oleObject progId="Equation.3" shapeId="3178" r:id="rId62">
          <objectPr defaultSize="0" autoPict="0" r:id="rId63">
            <anchor moveWithCells="1">
              <from>
                <xdr:col>4</xdr:col>
                <xdr:colOff>0</xdr:colOff>
                <xdr:row>1070</xdr:row>
                <xdr:rowOff>28575</xdr:rowOff>
              </from>
              <to>
                <xdr:col>12</xdr:col>
                <xdr:colOff>409575</xdr:colOff>
                <xdr:row>1073</xdr:row>
                <xdr:rowOff>47625</xdr:rowOff>
              </to>
            </anchor>
          </objectPr>
        </oleObject>
      </mc:Choice>
      <mc:Fallback>
        <oleObject progId="Equation.3" shapeId="3178" r:id="rId62"/>
      </mc:Fallback>
    </mc:AlternateContent>
    <mc:AlternateContent xmlns:mc="http://schemas.openxmlformats.org/markup-compatibility/2006">
      <mc:Choice Requires="x14">
        <oleObject progId="Equation.3" shapeId="3188" r:id="rId64">
          <objectPr defaultSize="0" autoPict="0" r:id="rId65">
            <anchor moveWithCells="1">
              <from>
                <xdr:col>19</xdr:col>
                <xdr:colOff>0</xdr:colOff>
                <xdr:row>1053</xdr:row>
                <xdr:rowOff>28575</xdr:rowOff>
              </from>
              <to>
                <xdr:col>32</xdr:col>
                <xdr:colOff>419100</xdr:colOff>
                <xdr:row>1056</xdr:row>
                <xdr:rowOff>28575</xdr:rowOff>
              </to>
            </anchor>
          </objectPr>
        </oleObject>
      </mc:Choice>
      <mc:Fallback>
        <oleObject progId="Equation.3" shapeId="3188" r:id="rId64"/>
      </mc:Fallback>
    </mc:AlternateContent>
    <mc:AlternateContent xmlns:mc="http://schemas.openxmlformats.org/markup-compatibility/2006">
      <mc:Choice Requires="x14">
        <oleObject progId="Equation.3" shapeId="3192" r:id="rId66">
          <objectPr defaultSize="0" autoPict="0" r:id="rId67">
            <anchor moveWithCells="1">
              <from>
                <xdr:col>21</xdr:col>
                <xdr:colOff>28575</xdr:colOff>
                <xdr:row>1022</xdr:row>
                <xdr:rowOff>47625</xdr:rowOff>
              </from>
              <to>
                <xdr:col>32</xdr:col>
                <xdr:colOff>266700</xdr:colOff>
                <xdr:row>1024</xdr:row>
                <xdr:rowOff>142875</xdr:rowOff>
              </to>
            </anchor>
          </objectPr>
        </oleObject>
      </mc:Choice>
      <mc:Fallback>
        <oleObject progId="Equation.3" shapeId="3192" r:id="rId66"/>
      </mc:Fallback>
    </mc:AlternateContent>
    <mc:AlternateContent xmlns:mc="http://schemas.openxmlformats.org/markup-compatibility/2006">
      <mc:Choice Requires="x14">
        <oleObject progId="Equation.3" shapeId="3220" r:id="rId68">
          <objectPr defaultSize="0" autoPict="0" r:id="rId69">
            <anchor moveWithCells="1">
              <from>
                <xdr:col>33</xdr:col>
                <xdr:colOff>0</xdr:colOff>
                <xdr:row>1017</xdr:row>
                <xdr:rowOff>28575</xdr:rowOff>
              </from>
              <to>
                <xdr:col>36</xdr:col>
                <xdr:colOff>161925</xdr:colOff>
                <xdr:row>1020</xdr:row>
                <xdr:rowOff>28575</xdr:rowOff>
              </to>
            </anchor>
          </objectPr>
        </oleObject>
      </mc:Choice>
      <mc:Fallback>
        <oleObject progId="Equation.3" shapeId="3220" r:id="rId68"/>
      </mc:Fallback>
    </mc:AlternateContent>
    <mc:AlternateContent xmlns:mc="http://schemas.openxmlformats.org/markup-compatibility/2006">
      <mc:Choice Requires="x14">
        <oleObject progId="Equation.3" shapeId="3222" r:id="rId70">
          <objectPr defaultSize="0" autoPict="0" r:id="rId71">
            <anchor moveWithCells="1">
              <from>
                <xdr:col>33</xdr:col>
                <xdr:colOff>0</xdr:colOff>
                <xdr:row>1014</xdr:row>
                <xdr:rowOff>0</xdr:rowOff>
              </from>
              <to>
                <xdr:col>36</xdr:col>
                <xdr:colOff>695325</xdr:colOff>
                <xdr:row>1017</xdr:row>
                <xdr:rowOff>0</xdr:rowOff>
              </to>
            </anchor>
          </objectPr>
        </oleObject>
      </mc:Choice>
      <mc:Fallback>
        <oleObject progId="Equation.3" shapeId="3222" r:id="rId70"/>
      </mc:Fallback>
    </mc:AlternateContent>
    <mc:AlternateContent xmlns:mc="http://schemas.openxmlformats.org/markup-compatibility/2006">
      <mc:Choice Requires="x14">
        <oleObject progId="Equation.3" shapeId="3223" r:id="rId72">
          <objectPr defaultSize="0" autoPict="0" r:id="rId73">
            <anchor moveWithCells="1">
              <from>
                <xdr:col>33</xdr:col>
                <xdr:colOff>0</xdr:colOff>
                <xdr:row>1020</xdr:row>
                <xdr:rowOff>47625</xdr:rowOff>
              </from>
              <to>
                <xdr:col>35</xdr:col>
                <xdr:colOff>142875</xdr:colOff>
                <xdr:row>1023</xdr:row>
                <xdr:rowOff>47625</xdr:rowOff>
              </to>
            </anchor>
          </objectPr>
        </oleObject>
      </mc:Choice>
      <mc:Fallback>
        <oleObject progId="Equation.3" shapeId="3223" r:id="rId72"/>
      </mc:Fallback>
    </mc:AlternateContent>
    <mc:AlternateContent xmlns:mc="http://schemas.openxmlformats.org/markup-compatibility/2006">
      <mc:Choice Requires="x14">
        <oleObject progId="Equation.3" shapeId="3225" r:id="rId74">
          <objectPr defaultSize="0" autoPict="0" r:id="rId75">
            <anchor moveWithCells="1">
              <from>
                <xdr:col>33</xdr:col>
                <xdr:colOff>0</xdr:colOff>
                <xdr:row>1023</xdr:row>
                <xdr:rowOff>66675</xdr:rowOff>
              </from>
              <to>
                <xdr:col>36</xdr:col>
                <xdr:colOff>47625</xdr:colOff>
                <xdr:row>1026</xdr:row>
                <xdr:rowOff>66675</xdr:rowOff>
              </to>
            </anchor>
          </objectPr>
        </oleObject>
      </mc:Choice>
      <mc:Fallback>
        <oleObject progId="Equation.3" shapeId="3225" r:id="rId74"/>
      </mc:Fallback>
    </mc:AlternateContent>
    <mc:AlternateContent xmlns:mc="http://schemas.openxmlformats.org/markup-compatibility/2006">
      <mc:Choice Requires="x14">
        <oleObject progId="Equation.3" shapeId="3281" r:id="rId76">
          <objectPr defaultSize="0" autoPict="0" r:id="rId77">
            <anchor moveWithCells="1">
              <from>
                <xdr:col>19</xdr:col>
                <xdr:colOff>0</xdr:colOff>
                <xdr:row>1048</xdr:row>
                <xdr:rowOff>28575</xdr:rowOff>
              </from>
              <to>
                <xdr:col>34</xdr:col>
                <xdr:colOff>352425</xdr:colOff>
                <xdr:row>1051</xdr:row>
                <xdr:rowOff>85725</xdr:rowOff>
              </to>
            </anchor>
          </objectPr>
        </oleObject>
      </mc:Choice>
      <mc:Fallback>
        <oleObject progId="Equation.3" shapeId="3281" r:id="rId76"/>
      </mc:Fallback>
    </mc:AlternateContent>
  </oleObjec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8">
    <pageSetUpPr fitToPage="1"/>
  </sheetPr>
  <dimension ref="A1:M81"/>
  <sheetViews>
    <sheetView showGridLines="0" zoomScaleNormal="100" workbookViewId="0">
      <selection activeCell="E13" sqref="E13"/>
    </sheetView>
  </sheetViews>
  <sheetFormatPr baseColWidth="10" defaultRowHeight="12.75" x14ac:dyDescent="0.2"/>
  <cols>
    <col min="1" max="1" width="2.140625" customWidth="1"/>
    <col min="2" max="2" width="16.140625" customWidth="1"/>
    <col min="3" max="4" width="11.42578125" customWidth="1"/>
  </cols>
  <sheetData>
    <row r="1" spans="1:13" x14ac:dyDescent="0.2">
      <c r="A1" s="51"/>
      <c r="B1" s="52"/>
      <c r="C1" s="53"/>
      <c r="D1" s="52"/>
      <c r="E1" s="72"/>
      <c r="F1" s="72"/>
      <c r="G1" s="72"/>
      <c r="H1" s="72"/>
      <c r="I1" s="72"/>
      <c r="J1" s="72"/>
      <c r="K1" s="72"/>
      <c r="L1" s="72"/>
      <c r="M1" s="73"/>
    </row>
    <row r="2" spans="1:13" ht="12.75" customHeight="1" x14ac:dyDescent="0.2">
      <c r="A2" s="56"/>
      <c r="B2" s="2"/>
      <c r="C2" s="632" t="s">
        <v>281</v>
      </c>
      <c r="D2" s="632"/>
      <c r="M2" s="75"/>
    </row>
    <row r="3" spans="1:13" ht="12.75" customHeight="1" x14ac:dyDescent="0.2">
      <c r="A3" s="56"/>
      <c r="B3" s="2"/>
      <c r="C3" s="632"/>
      <c r="D3" s="632"/>
      <c r="M3" s="75"/>
    </row>
    <row r="4" spans="1:13" x14ac:dyDescent="0.2">
      <c r="A4" s="56"/>
      <c r="B4" s="2"/>
      <c r="C4" s="636" t="str">
        <f>IF(Lang="Français","Abaques de performance",IF(Lang="English","Performance charts",""))</f>
        <v>Abaques de performance</v>
      </c>
      <c r="D4" s="636"/>
      <c r="M4" s="75"/>
    </row>
    <row r="5" spans="1:13" x14ac:dyDescent="0.2">
      <c r="A5" s="56"/>
      <c r="B5" s="2"/>
      <c r="C5" s="636" t="str">
        <f>IF(Lang="Français","Calcul analytique simple",IF(Lang="English","Analytical computation",""))</f>
        <v>Calcul analytique simple</v>
      </c>
      <c r="D5" s="636"/>
      <c r="M5" s="75"/>
    </row>
    <row r="6" spans="1:13" x14ac:dyDescent="0.2">
      <c r="A6" s="56"/>
      <c r="B6" s="87"/>
      <c r="C6" s="1"/>
      <c r="D6" s="1"/>
      <c r="M6" s="75"/>
    </row>
    <row r="7" spans="1:13" x14ac:dyDescent="0.2">
      <c r="A7" s="59"/>
      <c r="B7" s="6"/>
      <c r="C7" s="612" t="str">
        <f>IF(Lang="Français","Fusée",IF(Lang="English","Rocket",""))</f>
        <v>Fusée</v>
      </c>
      <c r="D7" s="612"/>
      <c r="M7" s="75"/>
    </row>
    <row r="8" spans="1:13" ht="15.75" x14ac:dyDescent="0.25">
      <c r="A8" s="59"/>
      <c r="B8" s="140" t="str">
        <f>IF(Lang="Français","Nom",IF(Lang="English","Name",""))</f>
        <v>Nom</v>
      </c>
      <c r="C8" s="633" t="str">
        <f>Nom</f>
        <v>SP02</v>
      </c>
      <c r="D8" s="633"/>
      <c r="M8" s="75"/>
    </row>
    <row r="9" spans="1:13" ht="15.75" x14ac:dyDescent="0.25">
      <c r="A9" s="59"/>
      <c r="B9" s="140" t="s">
        <v>4</v>
      </c>
      <c r="C9" s="633" t="str">
        <f>Club</f>
        <v>L'AéroIPSA</v>
      </c>
      <c r="D9" s="633"/>
      <c r="M9" s="75"/>
    </row>
    <row r="10" spans="1:13" ht="15.75" x14ac:dyDescent="0.25">
      <c r="A10" s="59"/>
      <c r="B10" s="140" t="s">
        <v>562</v>
      </c>
      <c r="C10" s="662" t="str">
        <f>Matricule</f>
        <v>FX0</v>
      </c>
      <c r="D10" s="663"/>
      <c r="M10" s="75"/>
    </row>
    <row r="11" spans="1:13" x14ac:dyDescent="0.2">
      <c r="A11" s="59"/>
      <c r="B11" s="140" t="str">
        <f>IF(Lang="Français","Masse sans propu",IF(Lang="English","Mass without M",""))</f>
        <v>Masse sans propu</v>
      </c>
      <c r="C11" s="664">
        <f>MasseSans</f>
        <v>5.0830000000000002</v>
      </c>
      <c r="D11" s="664"/>
      <c r="M11" s="75"/>
    </row>
    <row r="12" spans="1:13" x14ac:dyDescent="0.2">
      <c r="A12" s="59"/>
      <c r="B12" s="140" t="str">
        <f>IF(Lang="Français","Masse totale",IF(Lang="English","Total mass",""))</f>
        <v>Masse totale</v>
      </c>
      <c r="C12" s="667" t="str">
        <f ca="1">MassePlein &amp; " kg ±" &amp; MasseSans &amp; " kg"</f>
        <v>5,0831 kg ±5,083 kg</v>
      </c>
      <c r="D12" s="667"/>
      <c r="M12" s="75"/>
    </row>
    <row r="13" spans="1:13" x14ac:dyDescent="0.2">
      <c r="A13" s="59"/>
      <c r="B13" s="227" t="str">
        <f>IF(Lang="Français","Propulseur",IF(Lang="English","Motor",""))</f>
        <v>Propulseur</v>
      </c>
      <c r="C13" s="610" t="str">
        <f>Propu</f>
        <v>Aucun (2e ét. inerte)</v>
      </c>
      <c r="D13" s="611"/>
      <c r="M13" s="75"/>
    </row>
    <row r="14" spans="1:13" x14ac:dyDescent="0.2">
      <c r="A14" s="59"/>
      <c r="B14" s="1"/>
      <c r="C14" s="1"/>
      <c r="D14" s="1"/>
      <c r="M14" s="75"/>
    </row>
    <row r="15" spans="1:13" x14ac:dyDescent="0.2">
      <c r="A15" s="74"/>
      <c r="C15" s="612" t="str">
        <f>IF(Lang="Français","Traînée Aérdynamique",IF(Lang="English","Drag",""))</f>
        <v>Traînée Aérdynamique</v>
      </c>
      <c r="D15" s="612"/>
      <c r="M15" s="75"/>
    </row>
    <row r="16" spans="1:13" x14ac:dyDescent="0.2">
      <c r="A16" s="74"/>
      <c r="B16" s="139" t="str">
        <f>IF(Lang="Français","Diamètre Ø",IF(Lang="English","Diameter Ø",""))</f>
        <v>Diamètre Ø</v>
      </c>
      <c r="C16" s="665">
        <f>D_ref</f>
        <v>104</v>
      </c>
      <c r="D16" s="665"/>
      <c r="M16" s="75"/>
    </row>
    <row r="17" spans="1:13" x14ac:dyDescent="0.2">
      <c r="A17" s="74"/>
      <c r="B17" s="140" t="s">
        <v>5</v>
      </c>
      <c r="C17" s="666">
        <f>Cx</f>
        <v>0.6</v>
      </c>
      <c r="D17" s="666"/>
      <c r="M17" s="75"/>
    </row>
    <row r="18" spans="1:13" x14ac:dyDescent="0.2">
      <c r="A18" s="74"/>
      <c r="M18" s="75"/>
    </row>
    <row r="19" spans="1:13" x14ac:dyDescent="0.2">
      <c r="A19" s="74"/>
      <c r="M19" s="75"/>
    </row>
    <row r="20" spans="1:13" x14ac:dyDescent="0.2">
      <c r="A20" s="74"/>
      <c r="M20" s="75"/>
    </row>
    <row r="21" spans="1:13" x14ac:dyDescent="0.2">
      <c r="A21" s="74"/>
      <c r="M21" s="75"/>
    </row>
    <row r="22" spans="1:13" x14ac:dyDescent="0.2">
      <c r="A22" s="74"/>
      <c r="M22" s="75"/>
    </row>
    <row r="23" spans="1:13" x14ac:dyDescent="0.2">
      <c r="A23" s="74"/>
      <c r="M23" s="75"/>
    </row>
    <row r="24" spans="1:13" x14ac:dyDescent="0.2">
      <c r="A24" s="74"/>
      <c r="M24" s="75"/>
    </row>
    <row r="25" spans="1:13" x14ac:dyDescent="0.2">
      <c r="A25" s="74"/>
      <c r="M25" s="75"/>
    </row>
    <row r="26" spans="1:13" x14ac:dyDescent="0.2">
      <c r="A26" s="74"/>
      <c r="M26" s="75"/>
    </row>
    <row r="27" spans="1:13" x14ac:dyDescent="0.2">
      <c r="A27" s="74"/>
      <c r="M27" s="75"/>
    </row>
    <row r="28" spans="1:13" x14ac:dyDescent="0.2">
      <c r="A28" s="74"/>
      <c r="M28" s="75"/>
    </row>
    <row r="29" spans="1:13" x14ac:dyDescent="0.2">
      <c r="A29" s="74"/>
      <c r="M29" s="75"/>
    </row>
    <row r="30" spans="1:13" x14ac:dyDescent="0.2">
      <c r="A30" s="74"/>
      <c r="M30" s="75"/>
    </row>
    <row r="31" spans="1:13" x14ac:dyDescent="0.2">
      <c r="A31" s="74"/>
      <c r="M31" s="75"/>
    </row>
    <row r="32" spans="1:13" x14ac:dyDescent="0.2">
      <c r="A32" s="74"/>
      <c r="M32" s="75"/>
    </row>
    <row r="33" spans="1:13" x14ac:dyDescent="0.2">
      <c r="A33" s="74"/>
      <c r="M33" s="75"/>
    </row>
    <row r="34" spans="1:13" x14ac:dyDescent="0.2">
      <c r="A34" s="74"/>
      <c r="M34" s="75"/>
    </row>
    <row r="35" spans="1:13" x14ac:dyDescent="0.2">
      <c r="A35" s="74"/>
      <c r="M35" s="75"/>
    </row>
    <row r="36" spans="1:13" x14ac:dyDescent="0.2">
      <c r="A36" s="74"/>
      <c r="M36" s="75"/>
    </row>
    <row r="37" spans="1:13" ht="13.5" thickBot="1" x14ac:dyDescent="0.25">
      <c r="A37" s="77"/>
      <c r="B37" s="78"/>
      <c r="C37" s="78"/>
      <c r="D37" s="78"/>
      <c r="E37" s="78"/>
      <c r="F37" s="78"/>
      <c r="G37" s="78"/>
      <c r="H37" s="78"/>
      <c r="I37" s="78"/>
      <c r="J37" s="78"/>
      <c r="K37" s="78"/>
      <c r="L37" s="78"/>
      <c r="M37" s="79"/>
    </row>
    <row r="41" spans="1:13" x14ac:dyDescent="0.2">
      <c r="B41" s="419" t="s">
        <v>61</v>
      </c>
      <c r="C41" s="170" t="s">
        <v>285</v>
      </c>
      <c r="D41" s="134" t="s">
        <v>282</v>
      </c>
      <c r="E41" s="134" t="s">
        <v>286</v>
      </c>
      <c r="F41" s="134" t="s">
        <v>287</v>
      </c>
      <c r="G41" s="134" t="s">
        <v>13</v>
      </c>
      <c r="H41" s="134" t="s">
        <v>283</v>
      </c>
      <c r="I41" s="134" t="s">
        <v>284</v>
      </c>
      <c r="J41" s="134" t="s">
        <v>299</v>
      </c>
      <c r="K41" s="134" t="s">
        <v>300</v>
      </c>
      <c r="L41" s="134" t="s">
        <v>302</v>
      </c>
      <c r="M41" s="134" t="s">
        <v>290</v>
      </c>
    </row>
    <row r="42" spans="1:13" x14ac:dyDescent="0.2">
      <c r="B42" s="420" t="s">
        <v>291</v>
      </c>
      <c r="C42" s="170" t="s">
        <v>292</v>
      </c>
      <c r="D42" s="134" t="s">
        <v>293</v>
      </c>
      <c r="E42" s="134" t="s">
        <v>294</v>
      </c>
      <c r="F42" s="134" t="s">
        <v>295</v>
      </c>
      <c r="G42" s="134" t="s">
        <v>296</v>
      </c>
      <c r="H42" s="134" t="s">
        <v>297</v>
      </c>
      <c r="I42" s="134" t="s">
        <v>298</v>
      </c>
      <c r="J42" s="134" t="s">
        <v>288</v>
      </c>
      <c r="K42" s="134" t="s">
        <v>289</v>
      </c>
      <c r="L42" s="134"/>
      <c r="M42" s="134"/>
    </row>
    <row r="43" spans="1:13" x14ac:dyDescent="0.2">
      <c r="B43" s="425">
        <f t="shared" ref="B43:B51" ca="1" si="0">MAX(D_ref*0.5, Diam_propu)</f>
        <v>52</v>
      </c>
      <c r="C43" s="403">
        <f t="shared" ref="C43:C69" ca="1" si="1">1/2*Rho_moyen*PI()*D_var^2/4*Cx/10^6</f>
        <v>7.804658629313125E-4</v>
      </c>
      <c r="D43" s="400">
        <f ca="1">MpropuPlein+0*MasseSans</f>
        <v>1E-4</v>
      </c>
      <c r="E43" s="400">
        <f t="shared" ref="E43:E69" ca="1" si="2">m_var - 0.5*m_poudre</f>
        <v>5.0000000000000002E-5</v>
      </c>
      <c r="F43" s="400">
        <f t="shared" ref="F43:F69" ca="1" si="3">m_var - m_poudre</f>
        <v>0</v>
      </c>
      <c r="G43" s="407">
        <f t="shared" ref="G43:G69" ca="1" si="4">MAX(0, (I_total/Temps_fin_propu)/m_prop-g)</f>
        <v>10.19</v>
      </c>
      <c r="H43" s="406">
        <f t="shared" ref="H43:H69" ca="1" si="5">Q_var/m_prop</f>
        <v>15.609317258626248</v>
      </c>
      <c r="I43" s="403" t="e">
        <f t="shared" ref="I43:I69" ca="1" si="6">Q_var/m_bal</f>
        <v>#DIV/0!</v>
      </c>
      <c r="J43" s="403">
        <f t="shared" ref="J43:J69" ca="1" si="7">1/(2*b_prop)*LN(  ((EXP(2*SQRT(a_prop*b_prop)*Temps_fin_propu)+1)^2)  /  (((1+1)^2)*EXP(2*SQRT(a_prop*b_prop)*Temps_fin_propu)))</f>
        <v>0.7635638288956943</v>
      </c>
      <c r="K43" s="410">
        <f t="shared" ref="K43:K69" ca="1" si="8">SQRT(a_prop/b_prop)  *  (EXP(2*SQRT(a_prop*b_prop)*Temps_fin_propu)-1)/(EXP(2*SQRT(a_prop*b_prop)*Temps_fin_propu)+1)</f>
        <v>0.80796981852254368</v>
      </c>
      <c r="L43" s="413" t="e">
        <f t="shared" ref="L43:L69" ca="1" si="9">alt_prop + 1/(2*b_bal) * LN(1+b_bal/g*V_prop^2)</f>
        <v>#DIV/0!</v>
      </c>
      <c r="M43" s="416" t="e">
        <f t="shared" ref="M43:M69" ca="1" si="10">Temps_fin_propu + ATAN(SQRT(b_bal/g)*V_prop)/SQRT(b_bal*g)</f>
        <v>#DIV/0!</v>
      </c>
    </row>
    <row r="44" spans="1:13" x14ac:dyDescent="0.2">
      <c r="B44" s="426">
        <f t="shared" ca="1" si="0"/>
        <v>52</v>
      </c>
      <c r="C44" s="404">
        <f t="shared" ca="1" si="1"/>
        <v>7.804658629313125E-4</v>
      </c>
      <c r="D44" s="401">
        <f ca="1">MpropuPlein+0.25*MasseSans</f>
        <v>1.27085</v>
      </c>
      <c r="E44" s="401">
        <f t="shared" ca="1" si="2"/>
        <v>1.2707999999999999</v>
      </c>
      <c r="F44" s="401">
        <f t="shared" ca="1" si="3"/>
        <v>1.27075</v>
      </c>
      <c r="G44" s="408">
        <f t="shared" ca="1" si="4"/>
        <v>0</v>
      </c>
      <c r="H44" s="404">
        <f t="shared" ca="1" si="5"/>
        <v>6.1415318140644671E-4</v>
      </c>
      <c r="I44" s="404">
        <f t="shared" ca="1" si="6"/>
        <v>6.1417734639489469E-4</v>
      </c>
      <c r="J44" s="404">
        <f t="shared" ca="1" si="7"/>
        <v>0</v>
      </c>
      <c r="K44" s="411">
        <f t="shared" ca="1" si="8"/>
        <v>0</v>
      </c>
      <c r="L44" s="414">
        <f t="shared" ca="1" si="9"/>
        <v>0</v>
      </c>
      <c r="M44" s="417">
        <f t="shared" ca="1" si="10"/>
        <v>1</v>
      </c>
    </row>
    <row r="45" spans="1:13" x14ac:dyDescent="0.2">
      <c r="B45" s="426">
        <f t="shared" ca="1" si="0"/>
        <v>52</v>
      </c>
      <c r="C45" s="404">
        <f t="shared" ca="1" si="1"/>
        <v>7.804658629313125E-4</v>
      </c>
      <c r="D45" s="401">
        <f ca="1">MpropuPlein+0.5*MasseSans</f>
        <v>2.5416000000000003</v>
      </c>
      <c r="E45" s="401">
        <f t="shared" ca="1" si="2"/>
        <v>2.5415500000000004</v>
      </c>
      <c r="F45" s="401">
        <f t="shared" ca="1" si="3"/>
        <v>2.5415000000000001</v>
      </c>
      <c r="G45" s="408">
        <f t="shared" ca="1" si="4"/>
        <v>0</v>
      </c>
      <c r="H45" s="404">
        <f t="shared" ca="1" si="5"/>
        <v>3.0708263183148565E-4</v>
      </c>
      <c r="I45" s="404">
        <f t="shared" ca="1" si="6"/>
        <v>3.0708867319744734E-4</v>
      </c>
      <c r="J45" s="404">
        <f t="shared" ca="1" si="7"/>
        <v>0</v>
      </c>
      <c r="K45" s="411">
        <f t="shared" ca="1" si="8"/>
        <v>0</v>
      </c>
      <c r="L45" s="414">
        <f t="shared" ca="1" si="9"/>
        <v>0</v>
      </c>
      <c r="M45" s="417">
        <f t="shared" ca="1" si="10"/>
        <v>1</v>
      </c>
    </row>
    <row r="46" spans="1:13" x14ac:dyDescent="0.2">
      <c r="B46" s="426">
        <f t="shared" ca="1" si="0"/>
        <v>52</v>
      </c>
      <c r="C46" s="404">
        <f t="shared" ca="1" si="1"/>
        <v>7.804658629313125E-4</v>
      </c>
      <c r="D46" s="401">
        <f ca="1">MpropuPlein+0.75*MasseSans</f>
        <v>3.8123500000000003</v>
      </c>
      <c r="E46" s="401">
        <f t="shared" ca="1" si="2"/>
        <v>3.8123000000000005</v>
      </c>
      <c r="F46" s="401">
        <f t="shared" ca="1" si="3"/>
        <v>3.8122500000000001</v>
      </c>
      <c r="G46" s="408">
        <f t="shared" ca="1" si="4"/>
        <v>0</v>
      </c>
      <c r="H46" s="404">
        <f t="shared" ca="1" si="5"/>
        <v>2.0472309706248522E-4</v>
      </c>
      <c r="I46" s="404">
        <f t="shared" ca="1" si="6"/>
        <v>2.0472578213163157E-4</v>
      </c>
      <c r="J46" s="404">
        <f t="shared" ca="1" si="7"/>
        <v>0</v>
      </c>
      <c r="K46" s="411">
        <f t="shared" ca="1" si="8"/>
        <v>0</v>
      </c>
      <c r="L46" s="414">
        <f t="shared" ca="1" si="9"/>
        <v>0</v>
      </c>
      <c r="M46" s="417">
        <f t="shared" ca="1" si="10"/>
        <v>1</v>
      </c>
    </row>
    <row r="47" spans="1:13" x14ac:dyDescent="0.2">
      <c r="B47" s="426">
        <f t="shared" ca="1" si="0"/>
        <v>52</v>
      </c>
      <c r="C47" s="404">
        <f t="shared" ca="1" si="1"/>
        <v>7.804658629313125E-4</v>
      </c>
      <c r="D47" s="401">
        <f ca="1">MpropuPlein+1*MasseSans</f>
        <v>5.0831</v>
      </c>
      <c r="E47" s="401">
        <f t="shared" ca="1" si="2"/>
        <v>5.0830500000000001</v>
      </c>
      <c r="F47" s="401">
        <f t="shared" ca="1" si="3"/>
        <v>5.0830000000000002</v>
      </c>
      <c r="G47" s="408">
        <f t="shared" ca="1" si="4"/>
        <v>0</v>
      </c>
      <c r="H47" s="404">
        <f t="shared" ca="1" si="5"/>
        <v>1.5354282624237663E-4</v>
      </c>
      <c r="I47" s="404">
        <f t="shared" ca="1" si="6"/>
        <v>1.5354433659872367E-4</v>
      </c>
      <c r="J47" s="404">
        <f t="shared" ca="1" si="7"/>
        <v>0</v>
      </c>
      <c r="K47" s="411">
        <f t="shared" ca="1" si="8"/>
        <v>0</v>
      </c>
      <c r="L47" s="414">
        <f t="shared" ca="1" si="9"/>
        <v>0</v>
      </c>
      <c r="M47" s="417">
        <f t="shared" ca="1" si="10"/>
        <v>1</v>
      </c>
    </row>
    <row r="48" spans="1:13" x14ac:dyDescent="0.2">
      <c r="B48" s="426">
        <f t="shared" ca="1" si="0"/>
        <v>52</v>
      </c>
      <c r="C48" s="404">
        <f t="shared" ca="1" si="1"/>
        <v>7.804658629313125E-4</v>
      </c>
      <c r="D48" s="401">
        <f ca="1">MpropuPlein+1.25*MasseSans</f>
        <v>6.3538499999999996</v>
      </c>
      <c r="E48" s="401">
        <f t="shared" ca="1" si="2"/>
        <v>6.3537999999999997</v>
      </c>
      <c r="F48" s="401">
        <f t="shared" ca="1" si="3"/>
        <v>6.3537499999999998</v>
      </c>
      <c r="G48" s="408">
        <f t="shared" ca="1" si="4"/>
        <v>0</v>
      </c>
      <c r="H48" s="404">
        <f t="shared" ca="1" si="5"/>
        <v>1.2283450264901515E-4</v>
      </c>
      <c r="I48" s="404">
        <f t="shared" ca="1" si="6"/>
        <v>1.2283546927897894E-4</v>
      </c>
      <c r="J48" s="404">
        <f t="shared" ca="1" si="7"/>
        <v>0</v>
      </c>
      <c r="K48" s="411">
        <f t="shared" ca="1" si="8"/>
        <v>0</v>
      </c>
      <c r="L48" s="414">
        <f t="shared" ca="1" si="9"/>
        <v>0</v>
      </c>
      <c r="M48" s="417">
        <f t="shared" ca="1" si="10"/>
        <v>1</v>
      </c>
    </row>
    <row r="49" spans="2:13" x14ac:dyDescent="0.2">
      <c r="B49" s="426">
        <f t="shared" ca="1" si="0"/>
        <v>52</v>
      </c>
      <c r="C49" s="404">
        <f t="shared" ca="1" si="1"/>
        <v>7.804658629313125E-4</v>
      </c>
      <c r="D49" s="401">
        <f ca="1">MpropuPlein+1.5*MasseSans</f>
        <v>7.6246</v>
      </c>
      <c r="E49" s="401">
        <f t="shared" ca="1" si="2"/>
        <v>7.6245500000000002</v>
      </c>
      <c r="F49" s="401">
        <f t="shared" ca="1" si="3"/>
        <v>7.6245000000000003</v>
      </c>
      <c r="G49" s="408">
        <f t="shared" ca="1" si="4"/>
        <v>0</v>
      </c>
      <c r="H49" s="404">
        <f t="shared" ca="1" si="5"/>
        <v>1.0236221979412719E-4</v>
      </c>
      <c r="I49" s="404">
        <f t="shared" ca="1" si="6"/>
        <v>1.0236289106581579E-4</v>
      </c>
      <c r="J49" s="404">
        <f t="shared" ca="1" si="7"/>
        <v>0</v>
      </c>
      <c r="K49" s="411">
        <f t="shared" ca="1" si="8"/>
        <v>0</v>
      </c>
      <c r="L49" s="414">
        <f t="shared" ca="1" si="9"/>
        <v>0</v>
      </c>
      <c r="M49" s="417">
        <f t="shared" ca="1" si="10"/>
        <v>1</v>
      </c>
    </row>
    <row r="50" spans="2:13" x14ac:dyDescent="0.2">
      <c r="B50" s="426">
        <f t="shared" ca="1" si="0"/>
        <v>52</v>
      </c>
      <c r="C50" s="404">
        <f t="shared" ca="1" si="1"/>
        <v>7.804658629313125E-4</v>
      </c>
      <c r="D50" s="401">
        <f ca="1">MpropuPlein+1.75*MasseSans</f>
        <v>8.8953500000000005</v>
      </c>
      <c r="E50" s="401">
        <f t="shared" ca="1" si="2"/>
        <v>8.8953000000000007</v>
      </c>
      <c r="F50" s="401">
        <f t="shared" ca="1" si="3"/>
        <v>8.8952500000000008</v>
      </c>
      <c r="G50" s="408">
        <f t="shared" ca="1" si="4"/>
        <v>0</v>
      </c>
      <c r="H50" s="404">
        <f t="shared" ca="1" si="5"/>
        <v>8.7739127733894582E-5</v>
      </c>
      <c r="I50" s="404">
        <f t="shared" ca="1" si="6"/>
        <v>8.7739620913556378E-5</v>
      </c>
      <c r="J50" s="404">
        <f t="shared" ca="1" si="7"/>
        <v>0</v>
      </c>
      <c r="K50" s="411">
        <f t="shared" ca="1" si="8"/>
        <v>0</v>
      </c>
      <c r="L50" s="414">
        <f t="shared" ca="1" si="9"/>
        <v>0</v>
      </c>
      <c r="M50" s="417">
        <f t="shared" ca="1" si="10"/>
        <v>1</v>
      </c>
    </row>
    <row r="51" spans="2:13" x14ac:dyDescent="0.2">
      <c r="B51" s="427">
        <f t="shared" ca="1" si="0"/>
        <v>52</v>
      </c>
      <c r="C51" s="405">
        <f t="shared" ca="1" si="1"/>
        <v>7.804658629313125E-4</v>
      </c>
      <c r="D51" s="402">
        <f ca="1">MpropuPlein+2*MasseSans</f>
        <v>10.1661</v>
      </c>
      <c r="E51" s="402">
        <f t="shared" ca="1" si="2"/>
        <v>10.16605</v>
      </c>
      <c r="F51" s="402">
        <f t="shared" ca="1" si="3"/>
        <v>10.166</v>
      </c>
      <c r="G51" s="409">
        <f t="shared" ca="1" si="4"/>
        <v>0</v>
      </c>
      <c r="H51" s="405">
        <f t="shared" ca="1" si="5"/>
        <v>7.6771790708417972E-5</v>
      </c>
      <c r="I51" s="405">
        <f t="shared" ca="1" si="6"/>
        <v>7.6772168299361836E-5</v>
      </c>
      <c r="J51" s="405">
        <f t="shared" ca="1" si="7"/>
        <v>0</v>
      </c>
      <c r="K51" s="412">
        <f t="shared" ca="1" si="8"/>
        <v>0</v>
      </c>
      <c r="L51" s="415">
        <f t="shared" ca="1" si="9"/>
        <v>0</v>
      </c>
      <c r="M51" s="418">
        <f t="shared" ca="1" si="10"/>
        <v>1</v>
      </c>
    </row>
    <row r="52" spans="2:13" x14ac:dyDescent="0.2">
      <c r="B52" s="425">
        <f t="shared" ref="B52:B60" si="11">D_ref</f>
        <v>104</v>
      </c>
      <c r="C52" s="403">
        <f t="shared" si="1"/>
        <v>3.12186345172525E-3</v>
      </c>
      <c r="D52" s="400">
        <f ca="1">MpropuPlein+0*MasseSans</f>
        <v>1E-4</v>
      </c>
      <c r="E52" s="400">
        <f t="shared" ca="1" si="2"/>
        <v>5.0000000000000002E-5</v>
      </c>
      <c r="F52" s="400">
        <f t="shared" ca="1" si="3"/>
        <v>0</v>
      </c>
      <c r="G52" s="407">
        <f t="shared" ca="1" si="4"/>
        <v>10.19</v>
      </c>
      <c r="H52" s="403">
        <f t="shared" ca="1" si="5"/>
        <v>62.437269034504993</v>
      </c>
      <c r="I52" s="403" t="e">
        <f t="shared" ca="1" si="6"/>
        <v>#DIV/0!</v>
      </c>
      <c r="J52" s="403">
        <f t="shared" ca="1" si="7"/>
        <v>0.39288341185886755</v>
      </c>
      <c r="K52" s="410">
        <f t="shared" ca="1" si="8"/>
        <v>0.40398490927024355</v>
      </c>
      <c r="L52" s="413" t="e">
        <f t="shared" ca="1" si="9"/>
        <v>#DIV/0!</v>
      </c>
      <c r="M52" s="416" t="e">
        <f t="shared" ca="1" si="10"/>
        <v>#DIV/0!</v>
      </c>
    </row>
    <row r="53" spans="2:13" x14ac:dyDescent="0.2">
      <c r="B53" s="426">
        <f t="shared" si="11"/>
        <v>104</v>
      </c>
      <c r="C53" s="404">
        <f t="shared" si="1"/>
        <v>3.12186345172525E-3</v>
      </c>
      <c r="D53" s="401">
        <f ca="1">MpropuPlein+0.25*MasseSans</f>
        <v>1.27085</v>
      </c>
      <c r="E53" s="401">
        <f t="shared" ca="1" si="2"/>
        <v>1.2707999999999999</v>
      </c>
      <c r="F53" s="401">
        <f t="shared" ca="1" si="3"/>
        <v>1.27075</v>
      </c>
      <c r="G53" s="408">
        <f t="shared" ca="1" si="4"/>
        <v>0</v>
      </c>
      <c r="H53" s="404">
        <f t="shared" ca="1" si="5"/>
        <v>2.4566127256257868E-3</v>
      </c>
      <c r="I53" s="404">
        <f t="shared" ca="1" si="6"/>
        <v>2.4567093855795787E-3</v>
      </c>
      <c r="J53" s="404">
        <f t="shared" ca="1" si="7"/>
        <v>0</v>
      </c>
      <c r="K53" s="411">
        <f t="shared" ca="1" si="8"/>
        <v>0</v>
      </c>
      <c r="L53" s="414">
        <f t="shared" ca="1" si="9"/>
        <v>0</v>
      </c>
      <c r="M53" s="417">
        <f t="shared" ca="1" si="10"/>
        <v>1</v>
      </c>
    </row>
    <row r="54" spans="2:13" x14ac:dyDescent="0.2">
      <c r="B54" s="426">
        <f t="shared" si="11"/>
        <v>104</v>
      </c>
      <c r="C54" s="404">
        <f t="shared" si="1"/>
        <v>3.12186345172525E-3</v>
      </c>
      <c r="D54" s="401">
        <f ca="1">MpropuPlein+0.5*MasseSans</f>
        <v>2.5416000000000003</v>
      </c>
      <c r="E54" s="401">
        <f t="shared" ca="1" si="2"/>
        <v>2.5415500000000004</v>
      </c>
      <c r="F54" s="401">
        <f t="shared" ca="1" si="3"/>
        <v>2.5415000000000001</v>
      </c>
      <c r="G54" s="408">
        <f t="shared" ca="1" si="4"/>
        <v>0</v>
      </c>
      <c r="H54" s="404">
        <f t="shared" ca="1" si="5"/>
        <v>1.2283305273259426E-3</v>
      </c>
      <c r="I54" s="404">
        <f t="shared" ca="1" si="6"/>
        <v>1.2283546927897894E-3</v>
      </c>
      <c r="J54" s="404">
        <f t="shared" ca="1" si="7"/>
        <v>0</v>
      </c>
      <c r="K54" s="411">
        <f t="shared" ca="1" si="8"/>
        <v>0</v>
      </c>
      <c r="L54" s="414">
        <f t="shared" ca="1" si="9"/>
        <v>0</v>
      </c>
      <c r="M54" s="417">
        <f t="shared" ca="1" si="10"/>
        <v>1</v>
      </c>
    </row>
    <row r="55" spans="2:13" x14ac:dyDescent="0.2">
      <c r="B55" s="426">
        <f t="shared" si="11"/>
        <v>104</v>
      </c>
      <c r="C55" s="404">
        <f t="shared" si="1"/>
        <v>3.12186345172525E-3</v>
      </c>
      <c r="D55" s="401">
        <f ca="1">MpropuPlein+0.75*MasseSans</f>
        <v>3.8123500000000003</v>
      </c>
      <c r="E55" s="401">
        <f t="shared" ca="1" si="2"/>
        <v>3.8123000000000005</v>
      </c>
      <c r="F55" s="401">
        <f t="shared" ca="1" si="3"/>
        <v>3.8122500000000001</v>
      </c>
      <c r="G55" s="408">
        <f t="shared" ca="1" si="4"/>
        <v>0</v>
      </c>
      <c r="H55" s="404">
        <f t="shared" ca="1" si="5"/>
        <v>8.1889238824994087E-4</v>
      </c>
      <c r="I55" s="404">
        <f t="shared" ca="1" si="6"/>
        <v>8.1890312852652628E-4</v>
      </c>
      <c r="J55" s="404">
        <f t="shared" ca="1" si="7"/>
        <v>0</v>
      </c>
      <c r="K55" s="411">
        <f t="shared" ca="1" si="8"/>
        <v>0</v>
      </c>
      <c r="L55" s="414">
        <f t="shared" ca="1" si="9"/>
        <v>0</v>
      </c>
      <c r="M55" s="417">
        <f t="shared" ca="1" si="10"/>
        <v>1</v>
      </c>
    </row>
    <row r="56" spans="2:13" x14ac:dyDescent="0.2">
      <c r="B56" s="426">
        <f t="shared" si="11"/>
        <v>104</v>
      </c>
      <c r="C56" s="404">
        <f t="shared" si="1"/>
        <v>3.12186345172525E-3</v>
      </c>
      <c r="D56" s="401">
        <f ca="1">MpropuPlein+1*MasseSans</f>
        <v>5.0831</v>
      </c>
      <c r="E56" s="401">
        <f t="shared" ca="1" si="2"/>
        <v>5.0830500000000001</v>
      </c>
      <c r="F56" s="401">
        <f t="shared" ca="1" si="3"/>
        <v>5.0830000000000002</v>
      </c>
      <c r="G56" s="408">
        <f t="shared" ca="1" si="4"/>
        <v>0</v>
      </c>
      <c r="H56" s="404">
        <f t="shared" ca="1" si="5"/>
        <v>6.1417130496950652E-4</v>
      </c>
      <c r="I56" s="404">
        <f t="shared" ca="1" si="6"/>
        <v>6.1417734639489469E-4</v>
      </c>
      <c r="J56" s="404">
        <f t="shared" ca="1" si="7"/>
        <v>0</v>
      </c>
      <c r="K56" s="411">
        <f t="shared" ca="1" si="8"/>
        <v>0</v>
      </c>
      <c r="L56" s="414">
        <f t="shared" ca="1" si="9"/>
        <v>0</v>
      </c>
      <c r="M56" s="417">
        <f t="shared" ca="1" si="10"/>
        <v>1</v>
      </c>
    </row>
    <row r="57" spans="2:13" x14ac:dyDescent="0.2">
      <c r="B57" s="426">
        <f t="shared" si="11"/>
        <v>104</v>
      </c>
      <c r="C57" s="404">
        <f t="shared" si="1"/>
        <v>3.12186345172525E-3</v>
      </c>
      <c r="D57" s="401">
        <f ca="1">MpropuPlein+1.25*MasseSans</f>
        <v>6.3538499999999996</v>
      </c>
      <c r="E57" s="401">
        <f t="shared" ca="1" si="2"/>
        <v>6.3537999999999997</v>
      </c>
      <c r="F57" s="401">
        <f t="shared" ca="1" si="3"/>
        <v>6.3537499999999998</v>
      </c>
      <c r="G57" s="408">
        <f t="shared" ca="1" si="4"/>
        <v>0</v>
      </c>
      <c r="H57" s="404">
        <f t="shared" ca="1" si="5"/>
        <v>4.9133801059606061E-4</v>
      </c>
      <c r="I57" s="404">
        <f t="shared" ca="1" si="6"/>
        <v>4.9134187711591577E-4</v>
      </c>
      <c r="J57" s="404">
        <f t="shared" ca="1" si="7"/>
        <v>0</v>
      </c>
      <c r="K57" s="411">
        <f t="shared" ca="1" si="8"/>
        <v>0</v>
      </c>
      <c r="L57" s="414">
        <f t="shared" ca="1" si="9"/>
        <v>0</v>
      </c>
      <c r="M57" s="417">
        <f t="shared" ca="1" si="10"/>
        <v>1</v>
      </c>
    </row>
    <row r="58" spans="2:13" x14ac:dyDescent="0.2">
      <c r="B58" s="426">
        <f t="shared" si="11"/>
        <v>104</v>
      </c>
      <c r="C58" s="404">
        <f t="shared" si="1"/>
        <v>3.12186345172525E-3</v>
      </c>
      <c r="D58" s="401">
        <f ca="1">MpropuPlein+1.5*MasseSans</f>
        <v>7.6246</v>
      </c>
      <c r="E58" s="401">
        <f t="shared" ca="1" si="2"/>
        <v>7.6245500000000002</v>
      </c>
      <c r="F58" s="401">
        <f t="shared" ca="1" si="3"/>
        <v>7.6245000000000003</v>
      </c>
      <c r="G58" s="408">
        <f t="shared" ca="1" si="4"/>
        <v>0</v>
      </c>
      <c r="H58" s="404">
        <f t="shared" ca="1" si="5"/>
        <v>4.0944887917650875E-4</v>
      </c>
      <c r="I58" s="404">
        <f t="shared" ca="1" si="6"/>
        <v>4.0945156426326314E-4</v>
      </c>
      <c r="J58" s="404">
        <f t="shared" ca="1" si="7"/>
        <v>0</v>
      </c>
      <c r="K58" s="411">
        <f t="shared" ca="1" si="8"/>
        <v>0</v>
      </c>
      <c r="L58" s="414">
        <f t="shared" ca="1" si="9"/>
        <v>0</v>
      </c>
      <c r="M58" s="417">
        <f t="shared" ca="1" si="10"/>
        <v>1</v>
      </c>
    </row>
    <row r="59" spans="2:13" x14ac:dyDescent="0.2">
      <c r="B59" s="426">
        <f t="shared" si="11"/>
        <v>104</v>
      </c>
      <c r="C59" s="404">
        <f t="shared" si="1"/>
        <v>3.12186345172525E-3</v>
      </c>
      <c r="D59" s="401">
        <f ca="1">MpropuPlein+1.75*MasseSans</f>
        <v>8.8953500000000005</v>
      </c>
      <c r="E59" s="401">
        <f t="shared" ca="1" si="2"/>
        <v>8.8953000000000007</v>
      </c>
      <c r="F59" s="401">
        <f t="shared" ca="1" si="3"/>
        <v>8.8952500000000008</v>
      </c>
      <c r="G59" s="408">
        <f t="shared" ca="1" si="4"/>
        <v>0</v>
      </c>
      <c r="H59" s="404">
        <f t="shared" ca="1" si="5"/>
        <v>3.5095651093557833E-4</v>
      </c>
      <c r="I59" s="404">
        <f t="shared" ca="1" si="6"/>
        <v>3.5095848365422551E-4</v>
      </c>
      <c r="J59" s="404">
        <f t="shared" ca="1" si="7"/>
        <v>0</v>
      </c>
      <c r="K59" s="411">
        <f t="shared" ca="1" si="8"/>
        <v>0</v>
      </c>
      <c r="L59" s="414">
        <f t="shared" ca="1" si="9"/>
        <v>0</v>
      </c>
      <c r="M59" s="417">
        <f t="shared" ca="1" si="10"/>
        <v>1</v>
      </c>
    </row>
    <row r="60" spans="2:13" x14ac:dyDescent="0.2">
      <c r="B60" s="427">
        <f t="shared" si="11"/>
        <v>104</v>
      </c>
      <c r="C60" s="405">
        <f t="shared" si="1"/>
        <v>3.12186345172525E-3</v>
      </c>
      <c r="D60" s="402">
        <f ca="1">MpropuPlein+2*MasseSans</f>
        <v>10.1661</v>
      </c>
      <c r="E60" s="402">
        <f t="shared" ca="1" si="2"/>
        <v>10.16605</v>
      </c>
      <c r="F60" s="402">
        <f t="shared" ca="1" si="3"/>
        <v>10.166</v>
      </c>
      <c r="G60" s="409">
        <f t="shared" ca="1" si="4"/>
        <v>0</v>
      </c>
      <c r="H60" s="405">
        <f t="shared" ca="1" si="5"/>
        <v>3.0708716283367189E-4</v>
      </c>
      <c r="I60" s="405">
        <f t="shared" ca="1" si="6"/>
        <v>3.0708867319744734E-4</v>
      </c>
      <c r="J60" s="405">
        <f t="shared" ca="1" si="7"/>
        <v>0</v>
      </c>
      <c r="K60" s="412">
        <f t="shared" ca="1" si="8"/>
        <v>0</v>
      </c>
      <c r="L60" s="415">
        <f t="shared" ca="1" si="9"/>
        <v>0</v>
      </c>
      <c r="M60" s="418">
        <f t="shared" ca="1" si="10"/>
        <v>1</v>
      </c>
    </row>
    <row r="61" spans="2:13" x14ac:dyDescent="0.2">
      <c r="B61" s="425">
        <f t="shared" ref="B61:B69" si="12">D_ref*1.5</f>
        <v>156</v>
      </c>
      <c r="C61" s="403">
        <f t="shared" si="1"/>
        <v>7.0241927663818107E-3</v>
      </c>
      <c r="D61" s="400">
        <f ca="1">MpropuPlein+0*MasseSans</f>
        <v>1E-4</v>
      </c>
      <c r="E61" s="400">
        <f t="shared" ca="1" si="2"/>
        <v>5.0000000000000002E-5</v>
      </c>
      <c r="F61" s="400">
        <f t="shared" ca="1" si="3"/>
        <v>0</v>
      </c>
      <c r="G61" s="407">
        <f t="shared" ca="1" si="4"/>
        <v>10.19</v>
      </c>
      <c r="H61" s="403">
        <f t="shared" ca="1" si="5"/>
        <v>140.48385532763621</v>
      </c>
      <c r="I61" s="403" t="e">
        <f t="shared" ca="1" si="6"/>
        <v>#DIV/0!</v>
      </c>
      <c r="J61" s="403">
        <f t="shared" ca="1" si="7"/>
        <v>0.26438927399732864</v>
      </c>
      <c r="K61" s="410">
        <f t="shared" ca="1" si="8"/>
        <v>0.26932327284682905</v>
      </c>
      <c r="L61" s="413" t="e">
        <f t="shared" ca="1" si="9"/>
        <v>#DIV/0!</v>
      </c>
      <c r="M61" s="416" t="e">
        <f t="shared" ca="1" si="10"/>
        <v>#DIV/0!</v>
      </c>
    </row>
    <row r="62" spans="2:13" x14ac:dyDescent="0.2">
      <c r="B62" s="426">
        <f t="shared" si="12"/>
        <v>156</v>
      </c>
      <c r="C62" s="404">
        <f t="shared" si="1"/>
        <v>7.0241927663818107E-3</v>
      </c>
      <c r="D62" s="401">
        <f ca="1">MpropuPlein+0.25*MasseSans</f>
        <v>1.27085</v>
      </c>
      <c r="E62" s="401">
        <f t="shared" ca="1" si="2"/>
        <v>1.2707999999999999</v>
      </c>
      <c r="F62" s="401">
        <f t="shared" ca="1" si="3"/>
        <v>1.27075</v>
      </c>
      <c r="G62" s="408">
        <f t="shared" ca="1" si="4"/>
        <v>0</v>
      </c>
      <c r="H62" s="404">
        <f t="shared" ca="1" si="5"/>
        <v>5.5273786326580192E-3</v>
      </c>
      <c r="I62" s="404">
        <f t="shared" ca="1" si="6"/>
        <v>5.5275961175540508E-3</v>
      </c>
      <c r="J62" s="404">
        <f t="shared" ca="1" si="7"/>
        <v>0</v>
      </c>
      <c r="K62" s="411">
        <f t="shared" ca="1" si="8"/>
        <v>0</v>
      </c>
      <c r="L62" s="414">
        <f t="shared" ca="1" si="9"/>
        <v>0</v>
      </c>
      <c r="M62" s="417">
        <f t="shared" ca="1" si="10"/>
        <v>1</v>
      </c>
    </row>
    <row r="63" spans="2:13" x14ac:dyDescent="0.2">
      <c r="B63" s="426">
        <f t="shared" si="12"/>
        <v>156</v>
      </c>
      <c r="C63" s="404">
        <f t="shared" si="1"/>
        <v>7.0241927663818107E-3</v>
      </c>
      <c r="D63" s="401">
        <f ca="1">MpropuPlein+0.5*MasseSans</f>
        <v>2.5416000000000003</v>
      </c>
      <c r="E63" s="401">
        <f t="shared" ca="1" si="2"/>
        <v>2.5415500000000004</v>
      </c>
      <c r="F63" s="401">
        <f t="shared" ca="1" si="3"/>
        <v>2.5415000000000001</v>
      </c>
      <c r="G63" s="408">
        <f t="shared" ca="1" si="4"/>
        <v>0</v>
      </c>
      <c r="H63" s="404">
        <f t="shared" ca="1" si="5"/>
        <v>2.7637436864833701E-3</v>
      </c>
      <c r="I63" s="404">
        <f t="shared" ca="1" si="6"/>
        <v>2.7637980587770254E-3</v>
      </c>
      <c r="J63" s="404">
        <f t="shared" ca="1" si="7"/>
        <v>0</v>
      </c>
      <c r="K63" s="411">
        <f t="shared" ca="1" si="8"/>
        <v>0</v>
      </c>
      <c r="L63" s="414">
        <f t="shared" ca="1" si="9"/>
        <v>0</v>
      </c>
      <c r="M63" s="417">
        <f t="shared" ca="1" si="10"/>
        <v>1</v>
      </c>
    </row>
    <row r="64" spans="2:13" x14ac:dyDescent="0.2">
      <c r="B64" s="426">
        <f t="shared" si="12"/>
        <v>156</v>
      </c>
      <c r="C64" s="404">
        <f t="shared" si="1"/>
        <v>7.0241927663818107E-3</v>
      </c>
      <c r="D64" s="401">
        <f ca="1">MpropuPlein+0.75*MasseSans</f>
        <v>3.8123500000000003</v>
      </c>
      <c r="E64" s="401">
        <f t="shared" ca="1" si="2"/>
        <v>3.8123000000000005</v>
      </c>
      <c r="F64" s="401">
        <f t="shared" ca="1" si="3"/>
        <v>3.8122500000000001</v>
      </c>
      <c r="G64" s="408">
        <f t="shared" ca="1" si="4"/>
        <v>0</v>
      </c>
      <c r="H64" s="404">
        <f t="shared" ca="1" si="5"/>
        <v>1.8425078735623665E-3</v>
      </c>
      <c r="I64" s="404">
        <f t="shared" ca="1" si="6"/>
        <v>1.8425320391846837E-3</v>
      </c>
      <c r="J64" s="404">
        <f t="shared" ca="1" si="7"/>
        <v>0</v>
      </c>
      <c r="K64" s="411">
        <f t="shared" ca="1" si="8"/>
        <v>0</v>
      </c>
      <c r="L64" s="414">
        <f t="shared" ca="1" si="9"/>
        <v>0</v>
      </c>
      <c r="M64" s="417">
        <f t="shared" ca="1" si="10"/>
        <v>1</v>
      </c>
    </row>
    <row r="65" spans="2:13" x14ac:dyDescent="0.2">
      <c r="B65" s="426">
        <f t="shared" si="12"/>
        <v>156</v>
      </c>
      <c r="C65" s="404">
        <f t="shared" si="1"/>
        <v>7.0241927663818107E-3</v>
      </c>
      <c r="D65" s="401">
        <f ca="1">MpropuPlein+1*MasseSans</f>
        <v>5.0831</v>
      </c>
      <c r="E65" s="401">
        <f t="shared" ca="1" si="2"/>
        <v>5.0830500000000001</v>
      </c>
      <c r="F65" s="401">
        <f t="shared" ca="1" si="3"/>
        <v>5.0830000000000002</v>
      </c>
      <c r="G65" s="408">
        <f t="shared" ca="1" si="4"/>
        <v>0</v>
      </c>
      <c r="H65" s="404">
        <f t="shared" ca="1" si="5"/>
        <v>1.3818854361813892E-3</v>
      </c>
      <c r="I65" s="404">
        <f t="shared" ca="1" si="6"/>
        <v>1.3818990293885127E-3</v>
      </c>
      <c r="J65" s="404">
        <f t="shared" ca="1" si="7"/>
        <v>0</v>
      </c>
      <c r="K65" s="411">
        <f t="shared" ca="1" si="8"/>
        <v>0</v>
      </c>
      <c r="L65" s="414">
        <f t="shared" ca="1" si="9"/>
        <v>0</v>
      </c>
      <c r="M65" s="417">
        <f t="shared" ca="1" si="10"/>
        <v>1</v>
      </c>
    </row>
    <row r="66" spans="2:13" x14ac:dyDescent="0.2">
      <c r="B66" s="426">
        <f t="shared" si="12"/>
        <v>156</v>
      </c>
      <c r="C66" s="404">
        <f t="shared" si="1"/>
        <v>7.0241927663818107E-3</v>
      </c>
      <c r="D66" s="401">
        <f ca="1">MpropuPlein+1.25*MasseSans</f>
        <v>6.3538499999999996</v>
      </c>
      <c r="E66" s="401">
        <f t="shared" ca="1" si="2"/>
        <v>6.3537999999999997</v>
      </c>
      <c r="F66" s="401">
        <f t="shared" ca="1" si="3"/>
        <v>6.3537499999999998</v>
      </c>
      <c r="G66" s="408">
        <f t="shared" ca="1" si="4"/>
        <v>0</v>
      </c>
      <c r="H66" s="404">
        <f t="shared" ca="1" si="5"/>
        <v>1.1055105238411361E-3</v>
      </c>
      <c r="I66" s="404">
        <f t="shared" ca="1" si="6"/>
        <v>1.1055192235108102E-3</v>
      </c>
      <c r="J66" s="404">
        <f t="shared" ca="1" si="7"/>
        <v>0</v>
      </c>
      <c r="K66" s="411">
        <f t="shared" ca="1" si="8"/>
        <v>0</v>
      </c>
      <c r="L66" s="414">
        <f t="shared" ca="1" si="9"/>
        <v>0</v>
      </c>
      <c r="M66" s="417">
        <f t="shared" ca="1" si="10"/>
        <v>1</v>
      </c>
    </row>
    <row r="67" spans="2:13" x14ac:dyDescent="0.2">
      <c r="B67" s="426">
        <f t="shared" si="12"/>
        <v>156</v>
      </c>
      <c r="C67" s="404">
        <f t="shared" si="1"/>
        <v>7.0241927663818107E-3</v>
      </c>
      <c r="D67" s="401">
        <f ca="1">MpropuPlein+1.5*MasseSans</f>
        <v>7.6246</v>
      </c>
      <c r="E67" s="401">
        <f t="shared" ca="1" si="2"/>
        <v>7.6245500000000002</v>
      </c>
      <c r="F67" s="401">
        <f t="shared" ca="1" si="3"/>
        <v>7.6245000000000003</v>
      </c>
      <c r="G67" s="408">
        <f t="shared" ca="1" si="4"/>
        <v>0</v>
      </c>
      <c r="H67" s="404">
        <f t="shared" ca="1" si="5"/>
        <v>9.2125997814714445E-4</v>
      </c>
      <c r="I67" s="404">
        <f t="shared" ca="1" si="6"/>
        <v>9.2126601959234187E-4</v>
      </c>
      <c r="J67" s="404">
        <f t="shared" ca="1" si="7"/>
        <v>0</v>
      </c>
      <c r="K67" s="411">
        <f t="shared" ca="1" si="8"/>
        <v>0</v>
      </c>
      <c r="L67" s="414">
        <f t="shared" ca="1" si="9"/>
        <v>0</v>
      </c>
      <c r="M67" s="417">
        <f t="shared" ca="1" si="10"/>
        <v>1</v>
      </c>
    </row>
    <row r="68" spans="2:13" x14ac:dyDescent="0.2">
      <c r="B68" s="426">
        <f t="shared" si="12"/>
        <v>156</v>
      </c>
      <c r="C68" s="404">
        <f t="shared" si="1"/>
        <v>7.0241927663818107E-3</v>
      </c>
      <c r="D68" s="401">
        <f ca="1">MpropuPlein+1.75*MasseSans</f>
        <v>8.8953500000000005</v>
      </c>
      <c r="E68" s="401">
        <f t="shared" ca="1" si="2"/>
        <v>8.8953000000000007</v>
      </c>
      <c r="F68" s="401">
        <f t="shared" ca="1" si="3"/>
        <v>8.8952500000000008</v>
      </c>
      <c r="G68" s="408">
        <f t="shared" ca="1" si="4"/>
        <v>0</v>
      </c>
      <c r="H68" s="404">
        <f t="shared" ca="1" si="5"/>
        <v>7.8965214960505096E-4</v>
      </c>
      <c r="I68" s="404">
        <f t="shared" ca="1" si="6"/>
        <v>7.8965658822200725E-4</v>
      </c>
      <c r="J68" s="404">
        <f t="shared" ca="1" si="7"/>
        <v>0</v>
      </c>
      <c r="K68" s="411">
        <f t="shared" ca="1" si="8"/>
        <v>0</v>
      </c>
      <c r="L68" s="414">
        <f t="shared" ca="1" si="9"/>
        <v>0</v>
      </c>
      <c r="M68" s="417">
        <f t="shared" ca="1" si="10"/>
        <v>1</v>
      </c>
    </row>
    <row r="69" spans="2:13" x14ac:dyDescent="0.2">
      <c r="B69" s="427">
        <f t="shared" si="12"/>
        <v>156</v>
      </c>
      <c r="C69" s="405">
        <f t="shared" si="1"/>
        <v>7.0241927663818107E-3</v>
      </c>
      <c r="D69" s="402">
        <f ca="1">MpropuPlein+2*MasseSans</f>
        <v>10.1661</v>
      </c>
      <c r="E69" s="402">
        <f t="shared" ca="1" si="2"/>
        <v>10.16605</v>
      </c>
      <c r="F69" s="402">
        <f t="shared" ca="1" si="3"/>
        <v>10.166</v>
      </c>
      <c r="G69" s="409">
        <f t="shared" ca="1" si="4"/>
        <v>0</v>
      </c>
      <c r="H69" s="405">
        <f t="shared" ca="1" si="5"/>
        <v>6.9094611637576157E-4</v>
      </c>
      <c r="I69" s="405">
        <f t="shared" ca="1" si="6"/>
        <v>6.9094951469425635E-4</v>
      </c>
      <c r="J69" s="405">
        <f t="shared" ca="1" si="7"/>
        <v>0</v>
      </c>
      <c r="K69" s="412">
        <f t="shared" ca="1" si="8"/>
        <v>0</v>
      </c>
      <c r="L69" s="415">
        <f t="shared" ca="1" si="9"/>
        <v>0</v>
      </c>
      <c r="M69" s="418">
        <f t="shared" ca="1" si="10"/>
        <v>1</v>
      </c>
    </row>
    <row r="73" spans="2:13" x14ac:dyDescent="0.2">
      <c r="B73" s="24" t="str">
        <f>IF(Lang="Français","Textes pour les graphiques :","Texts for graphics :")</f>
        <v>Textes pour les graphiques :</v>
      </c>
    </row>
    <row r="75" spans="2:13" x14ac:dyDescent="0.2">
      <c r="B75" t="str">
        <f>IF(Lang="Français","Masse totale",IF(Lang="English","Total Mass",""))</f>
        <v>Masse totale</v>
      </c>
    </row>
    <row r="76" spans="2:13" x14ac:dyDescent="0.2">
      <c r="B76" t="str">
        <f>IF(Lang="Français","Vitesse max",IF(Lang="English","Max Velocity",""))</f>
        <v>Vitesse max</v>
      </c>
    </row>
    <row r="77" spans="2:13" x14ac:dyDescent="0.2">
      <c r="B77" t="str">
        <f>Abaco!$B$76 &amp; " / " &amp; Abaco!$B$75</f>
        <v>Vitesse max / Masse totale</v>
      </c>
    </row>
    <row r="78" spans="2:13" x14ac:dyDescent="0.2">
      <c r="B78" t="str">
        <f>IF(Lang="Français","Altitude max",IF(Lang="English","Max Altitude",""))</f>
        <v>Altitude max</v>
      </c>
    </row>
    <row r="79" spans="2:13" x14ac:dyDescent="0.2">
      <c r="B79" t="str">
        <f>Abaco!$B$78 &amp; " / " &amp; Abaco!$B$75</f>
        <v>Altitude max / Masse totale</v>
      </c>
    </row>
    <row r="80" spans="2:13" x14ac:dyDescent="0.2">
      <c r="B80" t="str">
        <f>IF(Lang="Français","Temps de culmination",IF(Lang="English","Apogee time",""))</f>
        <v>Temps de culmination</v>
      </c>
    </row>
    <row r="81" spans="2:2" x14ac:dyDescent="0.2">
      <c r="B81" t="str">
        <f>Abaco!$B$80 &amp; " / " &amp; Abaco!$B$75</f>
        <v>Temps de culmination / Masse totale</v>
      </c>
    </row>
  </sheetData>
  <sheetProtection algorithmName="SHA-512" hashValue="+PTrTvch0rD/oo5wbJAiLSXEwsZuHYCw11E5jJpN7UFv8bqEgAVA+seu72dez5dZDB7fUdwejfBNAFZdr7g5pg==" saltValue="gnM8LKYZzdY29Fufgy5vJQ==" spinCount="100000" sheet="1"/>
  <mergeCells count="13">
    <mergeCell ref="C11:D11"/>
    <mergeCell ref="C13:D13"/>
    <mergeCell ref="C15:D15"/>
    <mergeCell ref="C16:D16"/>
    <mergeCell ref="C17:D17"/>
    <mergeCell ref="C12:D12"/>
    <mergeCell ref="C10:D10"/>
    <mergeCell ref="C9:D9"/>
    <mergeCell ref="C2:D3"/>
    <mergeCell ref="C4:D4"/>
    <mergeCell ref="C5:D5"/>
    <mergeCell ref="C7:D7"/>
    <mergeCell ref="C8:D8"/>
  </mergeCells>
  <dataValidations count="3">
    <dataValidation type="decimal" errorStyle="warning" showErrorMessage="1" errorTitle="Cx" error="Le Cx est souvent compris entre 0 et 1._x000a_Cx may be between 0 &amp; 1." sqref="C17:D17" xr:uid="{00000000-0002-0000-0500-000000000000}">
      <formula1>0</formula1>
      <formula2>1</formula2>
    </dataValidation>
    <dataValidation operator="greaterThanOrEqual" sqref="C11:D12" xr:uid="{00000000-0002-0000-0500-000001000000}"/>
    <dataValidation sqref="C13:D13" xr:uid="{00000000-0002-0000-0500-000002000000}"/>
  </dataValidations>
  <hyperlinks>
    <hyperlink ref="B13" location="Stabilito!C17" display="Stabilito!C17" xr:uid="{00000000-0004-0000-0500-000000000000}"/>
  </hyperlinks>
  <pageMargins left="0.70866141732283472" right="0.70866141732283472" top="0.74803149606299213" bottom="0.74803149606299213" header="0.31496062992125984" footer="0.31496062992125984"/>
  <pageSetup paperSize="9" scale="92" orientation="landscape" r:id="rId1"/>
  <drawing r:id="rId2"/>
  <legacyDrawing r:id="rId3"/>
  <oleObjects>
    <mc:AlternateContent xmlns:mc="http://schemas.openxmlformats.org/markup-compatibility/2006">
      <mc:Choice Requires="x14">
        <oleObject progId="Equation.3" shapeId="2604101" r:id="rId4">
          <objectPr defaultSize="0" autoPict="0" r:id="rId5">
            <anchor moveWithCells="1">
              <from>
                <xdr:col>8</xdr:col>
                <xdr:colOff>390525</xdr:colOff>
                <xdr:row>70</xdr:row>
                <xdr:rowOff>28575</xdr:rowOff>
              </from>
              <to>
                <xdr:col>12</xdr:col>
                <xdr:colOff>904875</xdr:colOff>
                <xdr:row>87</xdr:row>
                <xdr:rowOff>9525</xdr:rowOff>
              </to>
            </anchor>
          </objectPr>
        </oleObject>
      </mc:Choice>
      <mc:Fallback>
        <oleObject progId="Equation.3" shapeId="2604101" r:id="rId4"/>
      </mc:Fallback>
    </mc:AlternateContent>
  </oleObjects>
  <mc:AlternateContent xmlns:mc="http://schemas.openxmlformats.org/markup-compatibility/2006">
    <mc:Choice Requires="x14">
      <controls>
        <mc:AlternateContent xmlns:mc="http://schemas.openxmlformats.org/markup-compatibility/2006">
          <mc:Choice Requires="x14">
            <control shapeId="2604063" r:id="rId6" name="Spinner 31">
              <controlPr defaultSize="0" print="0" autoPict="0">
                <anchor moveWithCells="1" sizeWithCells="1">
                  <from>
                    <xdr:col>3</xdr:col>
                    <xdr:colOff>657225</xdr:colOff>
                    <xdr:row>9</xdr:row>
                    <xdr:rowOff>200025</xdr:rowOff>
                  </from>
                  <to>
                    <xdr:col>4</xdr:col>
                    <xdr:colOff>0</xdr:colOff>
                    <xdr:row>11</xdr:row>
                    <xdr:rowOff>0</xdr:rowOff>
                  </to>
                </anchor>
              </controlPr>
            </control>
          </mc:Choice>
        </mc:AlternateContent>
        <mc:AlternateContent xmlns:mc="http://schemas.openxmlformats.org/markup-compatibility/2006">
          <mc:Choice Requires="x14">
            <control shapeId="2604202" r:id="rId7" name="Spinner 170">
              <controlPr defaultSize="0" print="0" autoPict="0">
                <anchor moveWithCells="1" sizeWithCells="1">
                  <from>
                    <xdr:col>3</xdr:col>
                    <xdr:colOff>657225</xdr:colOff>
                    <xdr:row>11</xdr:row>
                    <xdr:rowOff>0</xdr:rowOff>
                  </from>
                  <to>
                    <xdr:col>4</xdr:col>
                    <xdr:colOff>0</xdr:colOff>
                    <xdr:row>12</xdr:row>
                    <xdr:rowOff>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euil6">
    <pageSetUpPr fitToPage="1"/>
  </sheetPr>
  <dimension ref="C2:H61"/>
  <sheetViews>
    <sheetView showGridLines="0" topLeftCell="A31" workbookViewId="0">
      <selection activeCell="G46" sqref="G46"/>
    </sheetView>
  </sheetViews>
  <sheetFormatPr baseColWidth="10" defaultRowHeight="12.75" x14ac:dyDescent="0.2"/>
  <cols>
    <col min="1" max="1" width="2.140625" customWidth="1"/>
    <col min="2" max="2" width="16.140625" customWidth="1"/>
    <col min="3" max="4" width="13.5703125" customWidth="1"/>
  </cols>
  <sheetData>
    <row r="2" spans="3:8" x14ac:dyDescent="0.2">
      <c r="C2" s="632" t="s">
        <v>178</v>
      </c>
      <c r="D2" s="632"/>
    </row>
    <row r="3" spans="3:8" x14ac:dyDescent="0.2">
      <c r="C3" s="632"/>
      <c r="D3" s="632"/>
    </row>
    <row r="5" spans="3:8" x14ac:dyDescent="0.2">
      <c r="C5" s="13" t="str">
        <f>IF(Lang="Français","Stabilité de fusée à ailerons","Stability of finned rocket")</f>
        <v>Stabilité de fusée à ailerons</v>
      </c>
    </row>
    <row r="6" spans="3:8" x14ac:dyDescent="0.2">
      <c r="C6" s="2" t="str">
        <f>IF(Lang="Français","Calculs de Stabilité basés sur les équations de Barrowman","Stability calculs are based on Barrowman equations")</f>
        <v>Calculs de Stabilité basés sur les équations de Barrowman</v>
      </c>
    </row>
    <row r="7" spans="3:8" x14ac:dyDescent="0.2">
      <c r="C7" s="13" t="str">
        <f>IF(Lang="Français","Trajectographie de fusée","Rocket Trajectography")</f>
        <v>Trajectographie de fusée</v>
      </c>
    </row>
    <row r="8" spans="3:8" x14ac:dyDescent="0.2">
      <c r="C8" s="2" t="str">
        <f>IF(Lang="Français","Trajectoire dans un plan par calcul pas à pas","Trajectory in a plane, step by step computation")</f>
        <v>Trajectoire dans un plan par calcul pas à pas</v>
      </c>
    </row>
    <row r="9" spans="3:8" x14ac:dyDescent="0.2">
      <c r="C9" s="2"/>
    </row>
    <row r="10" spans="3:8" x14ac:dyDescent="0.2">
      <c r="C10" s="14" t="str">
        <f>IF(Lang="Français","Documentation et équations :","Documentation and equations are aviable in french:")</f>
        <v>Documentation et équations :</v>
      </c>
    </row>
    <row r="11" spans="3:8" x14ac:dyDescent="0.2">
      <c r="C11" t="str">
        <f>IF(Lang="Français","voir le dossier technique Planète-Sciences ''Le Vol de la Fusée, Stabilité &amp; Trajectographie''","dossier technique Planète-Sciences ''Le Vol de la Fusée, Stabilité &amp; Trajectographie''")</f>
        <v>voir le dossier technique Planète-Sciences ''Le Vol de la Fusée, Stabilité &amp; Trajectographie''</v>
      </c>
    </row>
    <row r="12" spans="3:8" x14ac:dyDescent="0.2">
      <c r="C12" t="str">
        <f>IF(Lang="Français","Néanmoins, les équations d'intégration du mouvement utilisées sont légèrement différentes !","")</f>
        <v>Néanmoins, les équations d'intégration du mouvement utilisées sont légèrement différentes !</v>
      </c>
    </row>
    <row r="13" spans="3:8" x14ac:dyDescent="0.2">
      <c r="C13" t="str">
        <f>IF(Lang="Français","Logiciels et dossier technique téléchargeables sur :","Softwares and french documentation can be downloaded at:")</f>
        <v>Logiciels et dossier technique téléchargeables sur :</v>
      </c>
      <c r="H13" s="15" t="s">
        <v>39</v>
      </c>
    </row>
    <row r="15" spans="3:8" x14ac:dyDescent="0.2">
      <c r="C15" s="14" t="str">
        <f>IF(Lang="Français","Pour les experts :","For experts:")</f>
        <v>Pour les experts :</v>
      </c>
    </row>
    <row r="16" spans="3:8" x14ac:dyDescent="0.2">
      <c r="C16" t="str">
        <f>IF(Lang="Français","Pour les curieux et les experts, vous pouvez déprotéger les feuilles de calcul (mot de passe : anstj),","Curious people can unlock excel sheets with this password : anstj")</f>
        <v>Pour les curieux et les experts, vous pouvez déprotéger les feuilles de calcul (mot de passe : anstj),</v>
      </c>
    </row>
    <row r="17" spans="3:8" x14ac:dyDescent="0.2">
      <c r="C17" t="str">
        <f>IF(Lang="Français","et faire vos modifications personnelles (ajout de moteur...).","and do your personal modification (adding a motor...)")</f>
        <v>et faire vos modifications personnelles (ajout de moteur...).</v>
      </c>
    </row>
    <row r="18" spans="3:8" x14ac:dyDescent="0.2">
      <c r="C18" t="s">
        <v>419</v>
      </c>
    </row>
    <row r="19" spans="3:8" x14ac:dyDescent="0.2">
      <c r="C19" t="str">
        <f>IF(Lang="Français","Merci néanmoins de diffuser uniquement la version officielle protégée (fichier initial).","Please avoid distributing unlocked version.")</f>
        <v>Merci néanmoins de diffuser uniquement la version officielle protégée (fichier initial).</v>
      </c>
    </row>
    <row r="20" spans="3:8" x14ac:dyDescent="0.2">
      <c r="C20" t="str">
        <f>IF(Lang="Français","Aucune Macro. Mise en forme conditionnelle, Noms de zone.","No macro. Conditionnal formating, named zones.")</f>
        <v>Aucune Macro. Mise en forme conditionnelle, Noms de zone.</v>
      </c>
    </row>
    <row r="21" spans="3:8" x14ac:dyDescent="0.2">
      <c r="C21" s="48" t="str">
        <f>IF(Lang="Français","Pour changer les choix des menus déroulants et les restrictions des cellules jaunes, cf. Données&gt; Validations…", "To change choices menu &amp; yellow cells restrictions, go to data validation.")</f>
        <v>Pour changer les choix des menus déroulants et les restrictions des cellules jaunes, cf. Données&gt; Validations…</v>
      </c>
    </row>
    <row r="22" spans="3:8" x14ac:dyDescent="0.2">
      <c r="C22" s="48" t="str">
        <f>IF(Lang="Français","Les unités sont réglés dans le Format de la cellule.","Units are set in cell number Format")</f>
        <v>Les unités sont réglés dans le Format de la cellule.</v>
      </c>
      <c r="H22" s="15" t="s">
        <v>37</v>
      </c>
    </row>
    <row r="23" spans="3:8" x14ac:dyDescent="0.2">
      <c r="C23" t="str">
        <f>IF(Lang="Français","Vous pouvez proposer vos améliorations en envoyant votre fichier à : ","Send all remarks and improvements proposals to:")</f>
        <v xml:space="preserve">Vous pouvez proposer vos améliorations en envoyant votre fichier à : </v>
      </c>
      <c r="H23" s="15"/>
    </row>
    <row r="25" spans="3:8" x14ac:dyDescent="0.2">
      <c r="C25" s="14" t="str">
        <f>IF(Lang="Français","Licence :","License:")</f>
        <v>Licence :</v>
      </c>
      <c r="D25" s="16"/>
    </row>
    <row r="26" spans="3:8" x14ac:dyDescent="0.2">
      <c r="C26" t="str">
        <f>IF(Lang="Français","Ce logiciel est placé sous la licence Creative Commons BY-SA","This software is placed under Creative Commons licence BY-SA")</f>
        <v>Ce logiciel est placé sous la licence Creative Commons BY-SA</v>
      </c>
      <c r="H26" s="68" t="s">
        <v>122</v>
      </c>
    </row>
    <row r="28" spans="3:8" x14ac:dyDescent="0.2">
      <c r="C28" s="14" t="str">
        <f>IF(Lang="Français","Compatibilité :","Compatibility:")</f>
        <v>Compatibilité :</v>
      </c>
    </row>
    <row r="29" spans="3:8" x14ac:dyDescent="0.2">
      <c r="C29" t="s">
        <v>152</v>
      </c>
    </row>
    <row r="30" spans="3:8" x14ac:dyDescent="0.2">
      <c r="C30" t="s">
        <v>301</v>
      </c>
    </row>
    <row r="31" spans="3:8" x14ac:dyDescent="0.2">
      <c r="C31" s="49" t="s">
        <v>110</v>
      </c>
    </row>
    <row r="33" spans="3:6" x14ac:dyDescent="0.2">
      <c r="C33" s="14" t="str">
        <f>IF(Lang="Français","Historique :","History:")</f>
        <v>Historique :</v>
      </c>
    </row>
    <row r="34" spans="3:6" x14ac:dyDescent="0.2">
      <c r="C34" t="s">
        <v>102</v>
      </c>
      <c r="D34" t="s">
        <v>42</v>
      </c>
      <c r="E34" s="47" t="s">
        <v>101</v>
      </c>
      <c r="F34" t="str">
        <f>IF(Lang="Français","Essais personnels, héritage d'une feuille de calcul de Vincent Girard, ESO","Personnel tests")</f>
        <v>Essais personnels, héritage d'une feuille de calcul de Vincent Girard, ESO</v>
      </c>
    </row>
    <row r="35" spans="3:6" x14ac:dyDescent="0.2">
      <c r="C35" t="s">
        <v>103</v>
      </c>
      <c r="D35" t="s">
        <v>42</v>
      </c>
      <c r="E35" s="16">
        <v>39483</v>
      </c>
      <c r="F35" t="str">
        <f>IF(Lang="Français","Equations de Barrowman généralisées (D_ref), masquage inter-ailerons, bilingue fr-en","Generalized Barrowman equations (D_ref), fin-fin interaction, english translation")</f>
        <v>Equations de Barrowman généralisées (D_ref), masquage inter-ailerons, bilingue fr-en</v>
      </c>
    </row>
    <row r="36" spans="3:6" x14ac:dyDescent="0.2">
      <c r="C36" t="s">
        <v>104</v>
      </c>
      <c r="D36" t="s">
        <v>42</v>
      </c>
      <c r="E36" s="16">
        <v>39507</v>
      </c>
      <c r="F36" t="str">
        <f>IF(Lang="Français","Schéma de la fusée, estimation analytique de la trajecto, diagramme des critères","Rocket schematic, analytical trajecto, criterions diagram")</f>
        <v>Schéma de la fusée, estimation analytique de la trajecto, diagramme des critères</v>
      </c>
    </row>
    <row r="37" spans="3:6" x14ac:dyDescent="0.2">
      <c r="C37" t="s">
        <v>105</v>
      </c>
      <c r="D37" t="s">
        <v>42</v>
      </c>
      <c r="E37" s="16">
        <v>39694</v>
      </c>
      <c r="F37" t="str">
        <f>IF(Lang="Français","Mise en forme","Formatting")</f>
        <v>Mise en forme</v>
      </c>
    </row>
    <row r="38" spans="3:6" x14ac:dyDescent="0.2">
      <c r="C38" t="s">
        <v>106</v>
      </c>
      <c r="D38" t="s">
        <v>42</v>
      </c>
      <c r="E38" s="16">
        <v>39643</v>
      </c>
      <c r="F38" t="str">
        <f>IF(Lang="Français","Essais personnels, héritage d'une feuille de calcul de Félicien Roux, ESO","Personal tests")</f>
        <v>Essais personnels, héritage d'une feuille de calcul de Félicien Roux, ESO</v>
      </c>
    </row>
    <row r="39" spans="3:6" x14ac:dyDescent="0.2">
      <c r="C39" t="s">
        <v>107</v>
      </c>
      <c r="D39" t="s">
        <v>42</v>
      </c>
      <c r="E39" s="16">
        <v>39755</v>
      </c>
      <c r="F39" t="str">
        <f>IF(Lang="Français","Réécriture équations, traduction, érgonomie","Equations, traduction, ergonomy")</f>
        <v>Réécriture équations, traduction, érgonomie</v>
      </c>
    </row>
    <row r="40" spans="3:6" x14ac:dyDescent="0.2">
      <c r="C40" t="s">
        <v>108</v>
      </c>
      <c r="D40" t="s">
        <v>42</v>
      </c>
      <c r="E40" s="16">
        <v>39756</v>
      </c>
      <c r="F40" t="str">
        <f>IF(Lang="Français","Conditions Initiales pour vol 2e étage, 1ère publication","Initial Conditions, 1st publication")</f>
        <v>Conditions Initiales pour vol 2e étage, 1ère publication</v>
      </c>
    </row>
    <row r="41" spans="3:6" x14ac:dyDescent="0.2">
      <c r="C41" t="s">
        <v>109</v>
      </c>
      <c r="D41" t="s">
        <v>42</v>
      </c>
      <c r="E41" s="16">
        <v>40658</v>
      </c>
      <c r="F41" t="s">
        <v>52</v>
      </c>
    </row>
    <row r="42" spans="3:6" x14ac:dyDescent="0.2">
      <c r="C42" t="s">
        <v>179</v>
      </c>
      <c r="D42" t="s">
        <v>42</v>
      </c>
      <c r="E42" s="16">
        <v>40868</v>
      </c>
      <c r="F42" t="str">
        <f>IF(Lang="Français","Fusion Stabilito+Trajecto, mise en forme, Ctrl, RC, H2O, Abaco","Merge Stabilito+Trajecto, formatting, Ctrl, RC, H2O, Abaco")</f>
        <v>Fusion Stabilito+Trajecto, mise en forme, Ctrl, RC, H2O, Abaco</v>
      </c>
    </row>
    <row r="43" spans="3:6" x14ac:dyDescent="0.2">
      <c r="C43" t="s">
        <v>327</v>
      </c>
      <c r="D43" t="s">
        <v>42</v>
      </c>
      <c r="E43" s="16">
        <v>41194</v>
      </c>
      <c r="F43" t="s">
        <v>331</v>
      </c>
    </row>
    <row r="44" spans="3:6" x14ac:dyDescent="0.2">
      <c r="C44" t="s">
        <v>328</v>
      </c>
      <c r="D44" t="s">
        <v>42</v>
      </c>
      <c r="E44" s="16">
        <v>41329</v>
      </c>
      <c r="F44" t="s">
        <v>332</v>
      </c>
    </row>
    <row r="45" spans="3:6" x14ac:dyDescent="0.2">
      <c r="C45" t="s">
        <v>416</v>
      </c>
      <c r="D45" t="s">
        <v>395</v>
      </c>
      <c r="E45" s="16">
        <v>41947</v>
      </c>
      <c r="F45" t="s">
        <v>415</v>
      </c>
    </row>
    <row r="46" spans="3:6" x14ac:dyDescent="0.2">
      <c r="C46" t="s">
        <v>420</v>
      </c>
      <c r="D46" t="s">
        <v>395</v>
      </c>
      <c r="E46" s="16">
        <v>41965</v>
      </c>
      <c r="F46" t="s">
        <v>418</v>
      </c>
    </row>
    <row r="47" spans="3:6" x14ac:dyDescent="0.2">
      <c r="C47" t="s">
        <v>541</v>
      </c>
      <c r="D47" t="s">
        <v>395</v>
      </c>
      <c r="E47" s="16">
        <v>43048</v>
      </c>
      <c r="F47" t="s">
        <v>542</v>
      </c>
    </row>
    <row r="48" spans="3:6" x14ac:dyDescent="0.2">
      <c r="C48" t="s">
        <v>545</v>
      </c>
      <c r="D48" t="s">
        <v>395</v>
      </c>
      <c r="E48" s="16">
        <v>44160</v>
      </c>
      <c r="F48" t="s">
        <v>546</v>
      </c>
    </row>
    <row r="49" spans="3:6" x14ac:dyDescent="0.2">
      <c r="C49" t="s">
        <v>554</v>
      </c>
      <c r="D49" t="s">
        <v>552</v>
      </c>
      <c r="E49" s="16">
        <v>45300</v>
      </c>
      <c r="F49" t="s">
        <v>553</v>
      </c>
    </row>
    <row r="50" spans="3:6" x14ac:dyDescent="0.2">
      <c r="C50" t="s">
        <v>556</v>
      </c>
      <c r="D50" t="s">
        <v>395</v>
      </c>
      <c r="E50" s="16">
        <v>45322</v>
      </c>
      <c r="F50" t="s">
        <v>561</v>
      </c>
    </row>
    <row r="51" spans="3:6" x14ac:dyDescent="0.2">
      <c r="C51" t="s">
        <v>565</v>
      </c>
      <c r="D51" t="s">
        <v>395</v>
      </c>
      <c r="E51" s="16">
        <v>45325</v>
      </c>
      <c r="F51" t="s">
        <v>564</v>
      </c>
    </row>
    <row r="52" spans="3:6" x14ac:dyDescent="0.2">
      <c r="E52" s="16"/>
    </row>
    <row r="53" spans="3:6" x14ac:dyDescent="0.2">
      <c r="C53" s="14" t="str">
        <f>IF(Lang="Français","Paramètres de référence :","Reference parameters:")</f>
        <v>Paramètres de référence :</v>
      </c>
    </row>
    <row r="54" spans="3:6" x14ac:dyDescent="0.2">
      <c r="C54" s="62" t="str">
        <f>IF(Lang="Français","Gravité g :","Gravity g")</f>
        <v>Gravité g :</v>
      </c>
      <c r="E54" s="62">
        <v>9.81</v>
      </c>
      <c r="F54" s="62" t="s">
        <v>7</v>
      </c>
    </row>
    <row r="55" spans="3:6" x14ac:dyDescent="0.2">
      <c r="C55" s="62" t="str">
        <f>IF(Lang="Français","Masse volumique de l'air ρ :","Air density ρ")</f>
        <v>Masse volumique de l'air ρ :</v>
      </c>
      <c r="E55" s="63">
        <v>1.2250000000000001</v>
      </c>
      <c r="F55" s="62" t="s">
        <v>8</v>
      </c>
    </row>
    <row r="56" spans="3:6" x14ac:dyDescent="0.2">
      <c r="C56" s="48"/>
    </row>
    <row r="57" spans="3:6" x14ac:dyDescent="0.2">
      <c r="C57" s="48"/>
    </row>
    <row r="58" spans="3:6" x14ac:dyDescent="0.2">
      <c r="C58" s="48"/>
    </row>
    <row r="59" spans="3:6" x14ac:dyDescent="0.2">
      <c r="C59" s="48"/>
    </row>
    <row r="60" spans="3:6" x14ac:dyDescent="0.2">
      <c r="C60" s="48"/>
    </row>
    <row r="61" spans="3:6" x14ac:dyDescent="0.2">
      <c r="C61" s="48"/>
    </row>
  </sheetData>
  <sheetProtection algorithmName="SHA-512" hashValue="dcP9v4DQ6JuvC6eLIBXnlatxcJ77hQrkAMZATd7/biqbQNTpo5JLWb/f1rwPyt3T541dwFzTLWfTsEIfUWsRvA==" saltValue="abKm4XUCT8zC5fp4rZeuTQ==" spinCount="100000" sheet="1" objects="1" scenarios="1"/>
  <mergeCells count="1">
    <mergeCell ref="C2:D3"/>
  </mergeCells>
  <phoneticPr fontId="8" type="noConversion"/>
  <hyperlinks>
    <hyperlink ref="H13" r:id="rId1" xr:uid="{00000000-0004-0000-0600-000000000000}"/>
    <hyperlink ref="H22" r:id="rId2" xr:uid="{00000000-0004-0000-0600-000001000000}"/>
    <hyperlink ref="H26" r:id="rId3" xr:uid="{00000000-0004-0000-0600-000002000000}"/>
  </hyperlinks>
  <pageMargins left="0.39370078740157483" right="0.39370078740157483" top="0.39370078740157483" bottom="0.39370078740157483" header="0" footer="0"/>
  <pageSetup scale="73" firstPageNumber="0" orientation="portrait" horizontalDpi="300" verticalDpi="300" r:id="rId4"/>
  <headerFooter alignWithMargins="0"/>
  <drawing r:id="rId5"/>
  <legacyDrawing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7">
    <pageSetUpPr fitToPage="1"/>
  </sheetPr>
  <dimension ref="B1:U134"/>
  <sheetViews>
    <sheetView showGridLines="0" zoomScaleNormal="100" workbookViewId="0">
      <selection activeCell="L39" sqref="L39"/>
    </sheetView>
  </sheetViews>
  <sheetFormatPr baseColWidth="10" defaultColWidth="11.5703125" defaultRowHeight="12.75" x14ac:dyDescent="0.2"/>
  <cols>
    <col min="1" max="2" width="2.140625" customWidth="1"/>
    <col min="3" max="3" width="12.5703125" customWidth="1"/>
    <col min="4" max="4" width="21" customWidth="1"/>
    <col min="7" max="7" width="26.5703125" customWidth="1"/>
    <col min="8" max="9" width="6.85546875" customWidth="1"/>
    <col min="10" max="10" width="10" customWidth="1"/>
    <col min="11" max="11" width="13" customWidth="1"/>
    <col min="12" max="12" width="21.140625" customWidth="1"/>
    <col min="14" max="14" width="2.140625" customWidth="1"/>
    <col min="18" max="19" width="16.140625" customWidth="1"/>
  </cols>
  <sheetData>
    <row r="1" spans="2:21" ht="13.5" thickBot="1" x14ac:dyDescent="0.25">
      <c r="O1" s="6"/>
      <c r="P1" s="48"/>
      <c r="Q1" s="48"/>
      <c r="R1" s="48"/>
      <c r="S1" s="48"/>
      <c r="T1" s="48"/>
      <c r="U1" s="48"/>
    </row>
    <row r="2" spans="2:21" ht="13.5" thickBot="1" x14ac:dyDescent="0.25">
      <c r="B2" s="71"/>
      <c r="C2" s="72"/>
      <c r="D2" s="72"/>
      <c r="E2" s="72"/>
      <c r="F2" s="72"/>
      <c r="G2" s="72"/>
      <c r="H2" s="72"/>
      <c r="I2" s="72"/>
      <c r="J2" s="72"/>
      <c r="K2" s="72"/>
      <c r="L2" s="72"/>
      <c r="M2" s="72"/>
      <c r="N2" s="73"/>
      <c r="O2" s="6"/>
      <c r="P2" s="48"/>
      <c r="Q2" s="48"/>
      <c r="R2" s="48"/>
      <c r="S2" s="48"/>
      <c r="T2" s="48"/>
      <c r="U2" s="48"/>
    </row>
    <row r="3" spans="2:21" ht="15.75" customHeight="1" thickBot="1" x14ac:dyDescent="0.25">
      <c r="B3" s="74"/>
      <c r="D3" s="2" t="s">
        <v>428</v>
      </c>
      <c r="N3" s="75"/>
      <c r="O3" s="6"/>
      <c r="P3" s="273" t="s">
        <v>340</v>
      </c>
      <c r="Q3" s="441">
        <f>Long_ogive</f>
        <v>1</v>
      </c>
      <c r="R3" s="48"/>
      <c r="S3" s="48"/>
      <c r="T3" s="48"/>
      <c r="U3" s="48"/>
    </row>
    <row r="4" spans="2:21" ht="15.75" customHeight="1" x14ac:dyDescent="0.2">
      <c r="B4" s="74"/>
      <c r="D4" s="2" t="s">
        <v>563</v>
      </c>
      <c r="E4" t="str">
        <f>Matricule</f>
        <v>FX0</v>
      </c>
      <c r="N4" s="75"/>
      <c r="O4" s="6"/>
      <c r="P4" s="273"/>
      <c r="Q4" s="436"/>
      <c r="R4" s="48"/>
      <c r="S4" s="48"/>
      <c r="T4" s="48"/>
      <c r="U4" s="48"/>
    </row>
    <row r="5" spans="2:21" ht="15.75" customHeight="1" x14ac:dyDescent="0.2">
      <c r="B5" s="74"/>
      <c r="D5" t="s">
        <v>461</v>
      </c>
      <c r="E5" t="str">
        <f>Propu</f>
        <v>Aucun (2e ét. inerte)</v>
      </c>
      <c r="G5" t="s">
        <v>458</v>
      </c>
      <c r="H5">
        <f>MasseSans</f>
        <v>5.0830000000000002</v>
      </c>
      <c r="N5" s="75"/>
      <c r="O5" s="6"/>
      <c r="P5" s="273"/>
      <c r="Q5" s="436"/>
      <c r="R5" s="48"/>
      <c r="S5" s="48"/>
      <c r="T5" s="48"/>
      <c r="U5" s="48"/>
    </row>
    <row r="6" spans="2:21" x14ac:dyDescent="0.2">
      <c r="B6" s="74"/>
      <c r="D6" t="s">
        <v>454</v>
      </c>
      <c r="E6" s="2" t="str">
        <f>Trajecto!H34</f>
        <v>Brun/Orange…</v>
      </c>
      <c r="G6" t="s">
        <v>459</v>
      </c>
      <c r="H6">
        <f>D_ref</f>
        <v>104</v>
      </c>
      <c r="N6" s="75"/>
      <c r="O6" s="6"/>
      <c r="P6" s="273"/>
      <c r="Q6" s="436"/>
      <c r="R6" s="48"/>
      <c r="S6" s="48"/>
      <c r="T6" s="48"/>
      <c r="U6" s="48"/>
    </row>
    <row r="7" spans="2:21" x14ac:dyDescent="0.2">
      <c r="B7" s="74"/>
      <c r="D7" t="s">
        <v>456</v>
      </c>
      <c r="E7" s="2" t="str">
        <f>Trajecto!H35</f>
        <v>Rouge…</v>
      </c>
      <c r="G7" t="s">
        <v>5</v>
      </c>
      <c r="H7">
        <f>Cx</f>
        <v>0.6</v>
      </c>
      <c r="N7" s="75"/>
      <c r="O7" s="6"/>
      <c r="P7" s="273"/>
      <c r="Q7" s="436"/>
      <c r="R7" s="48"/>
      <c r="S7" s="48"/>
      <c r="T7" s="48"/>
      <c r="U7" s="48"/>
    </row>
    <row r="8" spans="2:21" x14ac:dyDescent="0.2">
      <c r="B8" s="74"/>
      <c r="D8" t="s">
        <v>457</v>
      </c>
      <c r="E8" s="2">
        <f>S_para</f>
        <v>0.48049999999999998</v>
      </c>
      <c r="G8" t="s">
        <v>460</v>
      </c>
      <c r="H8">
        <f>L_rampe</f>
        <v>4</v>
      </c>
      <c r="N8" s="75"/>
      <c r="O8" s="6"/>
      <c r="P8" s="273"/>
      <c r="Q8" s="436"/>
      <c r="R8" s="48"/>
      <c r="S8" s="48"/>
      <c r="T8" s="48"/>
      <c r="U8" s="48"/>
    </row>
    <row r="9" spans="2:21" x14ac:dyDescent="0.2">
      <c r="B9" s="74"/>
      <c r="D9" t="s">
        <v>455</v>
      </c>
      <c r="E9" s="2"/>
      <c r="G9" t="s">
        <v>146</v>
      </c>
      <c r="H9" s="532" t="str">
        <f>Forme_ogive</f>
        <v>Conique (droite)</v>
      </c>
      <c r="N9" s="75"/>
      <c r="O9" s="6"/>
      <c r="P9" s="273"/>
      <c r="Q9" s="436"/>
      <c r="R9" s="48"/>
      <c r="S9" s="48"/>
      <c r="T9" s="48"/>
      <c r="U9" s="48"/>
    </row>
    <row r="10" spans="2:21" x14ac:dyDescent="0.2">
      <c r="B10" s="74"/>
      <c r="F10" s="3"/>
      <c r="G10" s="6"/>
      <c r="N10" s="75"/>
      <c r="O10" s="521"/>
      <c r="P10" s="48"/>
      <c r="Q10" s="436"/>
      <c r="R10" s="48"/>
      <c r="S10" s="48"/>
      <c r="T10" s="48"/>
      <c r="U10" s="48"/>
    </row>
    <row r="11" spans="2:21" ht="13.5" thickBot="1" x14ac:dyDescent="0.25">
      <c r="B11" s="74"/>
      <c r="C11" s="12"/>
      <c r="D11" s="275" t="s">
        <v>453</v>
      </c>
      <c r="E11" s="243">
        <f>MasseSans</f>
        <v>5.0830000000000002</v>
      </c>
      <c r="F11" s="246" t="s">
        <v>123</v>
      </c>
      <c r="G11" s="246" t="s">
        <v>125</v>
      </c>
      <c r="H11" s="668" t="e">
        <f ca="1">Vsortie_de_rampe</f>
        <v>#N/A</v>
      </c>
      <c r="I11" s="669"/>
      <c r="J11" s="76"/>
      <c r="N11" s="75"/>
      <c r="P11" s="48"/>
      <c r="Q11" s="436"/>
      <c r="R11" s="48"/>
      <c r="S11" s="48"/>
      <c r="T11" s="48"/>
      <c r="U11" s="440">
        <f>IF(RIGHT(Nb_diam,1)=",", "", X_j)</f>
        <v>1</v>
      </c>
    </row>
    <row r="12" spans="2:21" ht="13.5" thickBot="1" x14ac:dyDescent="0.25">
      <c r="B12" s="74"/>
      <c r="C12" s="12"/>
      <c r="D12" s="276"/>
      <c r="E12" s="244"/>
      <c r="F12" s="6" t="s">
        <v>123</v>
      </c>
      <c r="G12" s="6" t="s">
        <v>126</v>
      </c>
      <c r="H12" s="670">
        <f>Finesse</f>
        <v>10.76923076923077</v>
      </c>
      <c r="I12" s="671"/>
      <c r="J12" s="76"/>
      <c r="N12" s="75"/>
      <c r="O12" s="6"/>
      <c r="P12" s="273" t="s">
        <v>341</v>
      </c>
      <c r="Q12" s="441">
        <f>D_og</f>
        <v>84</v>
      </c>
      <c r="R12" s="48"/>
      <c r="S12" s="48"/>
      <c r="T12" s="48"/>
      <c r="U12" s="436"/>
    </row>
    <row r="13" spans="2:21" x14ac:dyDescent="0.2">
      <c r="B13" s="74"/>
      <c r="C13" s="12"/>
      <c r="D13" s="276" t="s">
        <v>5</v>
      </c>
      <c r="E13" s="244">
        <f>Cx</f>
        <v>0.6</v>
      </c>
      <c r="F13" s="6" t="s">
        <v>123</v>
      </c>
      <c r="G13" s="6" t="s">
        <v>432</v>
      </c>
      <c r="H13" s="670">
        <f>Cn</f>
        <v>15.677184507305929</v>
      </c>
      <c r="I13" s="671"/>
      <c r="J13" s="76"/>
      <c r="N13" s="75"/>
      <c r="O13" s="6"/>
      <c r="P13" s="48"/>
      <c r="Q13" s="436"/>
      <c r="R13" s="48"/>
      <c r="S13" s="48"/>
      <c r="T13" s="48"/>
      <c r="U13" s="440">
        <f>IF(RIGHT(Nb_diam,1)=",", "", X_r)</f>
        <v>1070</v>
      </c>
    </row>
    <row r="14" spans="2:21" x14ac:dyDescent="0.2">
      <c r="B14" s="74"/>
      <c r="C14" s="12"/>
      <c r="D14" s="276" t="s">
        <v>143</v>
      </c>
      <c r="E14" s="244">
        <f>L_rampe</f>
        <v>4</v>
      </c>
      <c r="F14" s="6" t="s">
        <v>123</v>
      </c>
      <c r="G14" s="6" t="s">
        <v>127</v>
      </c>
      <c r="H14" s="247">
        <f ca="1">MS_min</f>
        <v>3.2803762470178883</v>
      </c>
      <c r="I14" s="254">
        <f ca="1">MS_max</f>
        <v>3.2804925827488094</v>
      </c>
      <c r="J14" s="76"/>
      <c r="K14" s="76"/>
      <c r="N14" s="75"/>
      <c r="P14" s="48"/>
      <c r="Q14" s="436"/>
      <c r="R14" s="48"/>
      <c r="S14" s="48"/>
      <c r="T14" s="48"/>
      <c r="U14" s="436"/>
    </row>
    <row r="15" spans="2:21" x14ac:dyDescent="0.2">
      <c r="B15" s="74"/>
      <c r="C15" s="12"/>
      <c r="D15" s="276" t="s">
        <v>144</v>
      </c>
      <c r="E15" s="244">
        <f>ep_ail</f>
        <v>3</v>
      </c>
      <c r="F15" s="6" t="s">
        <v>123</v>
      </c>
      <c r="G15" s="6" t="s">
        <v>124</v>
      </c>
      <c r="H15" s="247">
        <f ca="1">MS_Cn_min</f>
        <v>51.427063677883204</v>
      </c>
      <c r="I15" s="254">
        <f ca="1">MS_Cn_max</f>
        <v>51.428887494601646</v>
      </c>
      <c r="J15" s="76"/>
      <c r="K15" s="76"/>
      <c r="N15" s="75"/>
      <c r="P15" s="48"/>
      <c r="Q15" s="436"/>
      <c r="R15" s="48"/>
      <c r="S15" s="48"/>
      <c r="T15" s="48"/>
    </row>
    <row r="16" spans="2:21" x14ac:dyDescent="0.2">
      <c r="B16" s="74"/>
      <c r="C16" s="12"/>
      <c r="D16" s="276" t="s">
        <v>145</v>
      </c>
      <c r="E16" s="244">
        <f>Q_ail</f>
        <v>4</v>
      </c>
      <c r="F16" s="6" t="s">
        <v>128</v>
      </c>
      <c r="G16" s="6" t="s">
        <v>129</v>
      </c>
      <c r="H16" s="247">
        <f ca="1">V_para</f>
        <v>13.016517782506746</v>
      </c>
      <c r="I16" s="253">
        <f>V_satellite</f>
        <v>12.655562623057198</v>
      </c>
      <c r="J16" s="76"/>
      <c r="N16" s="75"/>
      <c r="P16" s="48"/>
      <c r="Q16" s="436"/>
      <c r="R16" s="48"/>
      <c r="S16" s="48"/>
      <c r="T16" s="48"/>
      <c r="U16" s="440">
        <f>IF(RIGHT(Nb_diam,1)=",", "", l_j)</f>
        <v>60</v>
      </c>
    </row>
    <row r="17" spans="2:21" x14ac:dyDescent="0.2">
      <c r="B17" s="74"/>
      <c r="C17" s="12"/>
      <c r="D17" s="276" t="s">
        <v>146</v>
      </c>
      <c r="E17" s="272" t="str">
        <f>Forme_ogive</f>
        <v>Conique (droite)</v>
      </c>
      <c r="F17" s="6" t="s">
        <v>130</v>
      </c>
      <c r="G17" s="6" t="s">
        <v>131</v>
      </c>
      <c r="H17" s="670">
        <f>T_para</f>
        <v>11.1</v>
      </c>
      <c r="I17" s="671"/>
      <c r="J17" s="258"/>
      <c r="N17" s="75"/>
      <c r="P17" s="434" t="s">
        <v>342</v>
      </c>
      <c r="Q17" s="440">
        <f>IF(RIGHT(Nb_diam,1)=",", "", D2j)</f>
        <v>104</v>
      </c>
      <c r="R17" s="48"/>
      <c r="S17" s="48"/>
      <c r="T17" s="48"/>
      <c r="U17" s="436"/>
    </row>
    <row r="18" spans="2:21" x14ac:dyDescent="0.2">
      <c r="B18" s="74"/>
      <c r="C18" s="12"/>
      <c r="D18" s="276" t="s">
        <v>148</v>
      </c>
      <c r="E18" s="244">
        <f ca="1">XpropuRef-Long_propu</f>
        <v>1110</v>
      </c>
      <c r="F18" s="12" t="s">
        <v>130</v>
      </c>
      <c r="G18" s="12" t="s">
        <v>426</v>
      </c>
      <c r="H18" s="635">
        <f ca="1">T_para-Combustion-Depotage</f>
        <v>11.1</v>
      </c>
      <c r="I18" s="674"/>
      <c r="N18" s="75"/>
      <c r="P18" s="48"/>
      <c r="Q18" s="436"/>
      <c r="R18" s="48"/>
      <c r="S18" s="48"/>
    </row>
    <row r="19" spans="2:21" x14ac:dyDescent="0.2">
      <c r="B19" s="74"/>
      <c r="C19" s="531"/>
      <c r="D19" s="269"/>
      <c r="E19" s="271"/>
      <c r="F19" s="519" t="s">
        <v>132</v>
      </c>
      <c r="G19" s="274" t="s">
        <v>425</v>
      </c>
      <c r="H19" s="675">
        <f ca="1">Portee_balistique</f>
        <v>746.86410190403069</v>
      </c>
      <c r="I19" s="676"/>
      <c r="N19" s="75"/>
      <c r="P19" s="48"/>
      <c r="Q19" s="436"/>
      <c r="R19" s="48"/>
      <c r="S19" s="48"/>
      <c r="T19" s="48"/>
    </row>
    <row r="20" spans="2:21" x14ac:dyDescent="0.2">
      <c r="B20" s="74"/>
      <c r="C20" s="12"/>
      <c r="D20" s="6"/>
      <c r="E20" s="6"/>
      <c r="H20" s="518"/>
      <c r="I20" s="518"/>
      <c r="N20" s="75"/>
      <c r="P20" s="48"/>
      <c r="Q20" s="436"/>
      <c r="R20" s="48"/>
      <c r="S20" s="48"/>
      <c r="T20" s="48"/>
      <c r="U20" s="440">
        <f>IF(RIGHT(Nb_diam,1)=",", "", l_r)</f>
        <v>50</v>
      </c>
    </row>
    <row r="21" spans="2:21" x14ac:dyDescent="0.2">
      <c r="B21" s="74"/>
      <c r="C21" s="12"/>
      <c r="D21" s="6"/>
      <c r="E21" s="263"/>
      <c r="F21" s="3"/>
      <c r="G21" s="6"/>
      <c r="H21" s="518"/>
      <c r="I21" s="518"/>
      <c r="N21" s="75"/>
      <c r="O21" s="273"/>
      <c r="P21" s="436"/>
      <c r="Q21" s="48"/>
      <c r="R21" s="48"/>
      <c r="S21" s="48"/>
      <c r="T21" s="226"/>
      <c r="U21" s="436"/>
    </row>
    <row r="22" spans="2:21" x14ac:dyDescent="0.2">
      <c r="B22" s="74"/>
      <c r="C22" s="526" t="s">
        <v>452</v>
      </c>
      <c r="D22" s="526" t="s">
        <v>436</v>
      </c>
      <c r="E22" s="527"/>
      <c r="F22" s="528" t="s">
        <v>441</v>
      </c>
      <c r="G22" s="526" t="s">
        <v>446</v>
      </c>
      <c r="I22" s="529"/>
      <c r="J22" s="530" t="s">
        <v>156</v>
      </c>
      <c r="K22" s="526" t="s">
        <v>157</v>
      </c>
      <c r="N22" s="75"/>
      <c r="O22" s="273"/>
      <c r="P22" s="436"/>
      <c r="Q22" s="48"/>
      <c r="R22" s="48"/>
      <c r="S22" s="48"/>
      <c r="T22" s="226"/>
      <c r="U22" s="436"/>
    </row>
    <row r="23" spans="2:21" x14ac:dyDescent="0.2">
      <c r="B23" s="74"/>
      <c r="C23" s="526" t="s">
        <v>451</v>
      </c>
      <c r="D23" s="527">
        <f>XcgSans</f>
        <v>495</v>
      </c>
      <c r="E23" s="527" t="s">
        <v>38</v>
      </c>
      <c r="F23" s="528">
        <f>m_ail</f>
        <v>190</v>
      </c>
      <c r="G23" s="526">
        <f>m_can</f>
        <v>180</v>
      </c>
      <c r="I23" s="529" t="s">
        <v>447</v>
      </c>
      <c r="J23" s="528">
        <f>l_j</f>
        <v>60</v>
      </c>
      <c r="K23" s="526">
        <f>l_r</f>
        <v>50</v>
      </c>
      <c r="N23" s="75"/>
      <c r="O23" s="273"/>
      <c r="P23" s="436"/>
      <c r="Q23" s="48"/>
      <c r="R23" s="48"/>
      <c r="S23" s="48"/>
      <c r="T23" s="226"/>
      <c r="U23" s="436"/>
    </row>
    <row r="24" spans="2:21" x14ac:dyDescent="0.2">
      <c r="B24" s="74"/>
      <c r="C24" s="526" t="s">
        <v>439</v>
      </c>
      <c r="D24" s="526">
        <f>Long_tot</f>
        <v>1120</v>
      </c>
      <c r="E24" s="527" t="s">
        <v>442</v>
      </c>
      <c r="F24" s="528">
        <f>n_ail</f>
        <v>80</v>
      </c>
      <c r="G24" s="526">
        <f>n_can</f>
        <v>80</v>
      </c>
      <c r="I24" s="529" t="s">
        <v>448</v>
      </c>
      <c r="J24" s="528">
        <f>D1j</f>
        <v>84</v>
      </c>
      <c r="K24" s="526">
        <f>D1r</f>
        <v>104</v>
      </c>
      <c r="N24" s="75"/>
      <c r="O24" s="273"/>
      <c r="P24" s="436"/>
      <c r="Q24" s="48"/>
      <c r="R24" s="48"/>
      <c r="S24" s="48"/>
      <c r="T24" s="226"/>
      <c r="U24" s="436"/>
    </row>
    <row r="25" spans="2:21" x14ac:dyDescent="0.2">
      <c r="B25" s="74"/>
      <c r="C25" s="526" t="s">
        <v>440</v>
      </c>
      <c r="D25" s="526">
        <f>XpropuRef</f>
        <v>1110</v>
      </c>
      <c r="E25" s="527" t="s">
        <v>443</v>
      </c>
      <c r="F25" s="528">
        <f>p_ail</f>
        <v>180</v>
      </c>
      <c r="G25" s="526">
        <f>p_can</f>
        <v>160</v>
      </c>
      <c r="I25" s="529" t="s">
        <v>449</v>
      </c>
      <c r="J25" s="528">
        <f>D2j</f>
        <v>104</v>
      </c>
      <c r="K25" s="526">
        <f>D2r</f>
        <v>84</v>
      </c>
      <c r="N25" s="75"/>
      <c r="O25" s="273"/>
      <c r="P25" s="436"/>
      <c r="Q25" s="48"/>
      <c r="R25" s="48"/>
      <c r="S25" s="48"/>
      <c r="T25" s="226"/>
      <c r="U25" s="436"/>
    </row>
    <row r="26" spans="2:21" x14ac:dyDescent="0.2">
      <c r="B26" s="74"/>
      <c r="C26" s="526" t="s">
        <v>437</v>
      </c>
      <c r="D26" s="526">
        <f>D_ref</f>
        <v>104</v>
      </c>
      <c r="E26" s="527" t="s">
        <v>444</v>
      </c>
      <c r="F26" s="528">
        <f>E_ail</f>
        <v>145</v>
      </c>
      <c r="G26" s="526">
        <f>E_can</f>
        <v>110</v>
      </c>
      <c r="I26" s="529" t="s">
        <v>450</v>
      </c>
      <c r="J26" s="528">
        <f>X_j</f>
        <v>1</v>
      </c>
      <c r="K26" s="526">
        <f>X_r</f>
        <v>1070</v>
      </c>
      <c r="N26" s="75"/>
      <c r="O26" s="273"/>
      <c r="P26" s="436"/>
      <c r="Q26" s="48"/>
      <c r="R26" s="48"/>
      <c r="S26" s="48"/>
      <c r="T26" s="226"/>
      <c r="U26" s="436"/>
    </row>
    <row r="27" spans="2:21" x14ac:dyDescent="0.2">
      <c r="B27" s="74"/>
      <c r="C27" s="526" t="s">
        <v>438</v>
      </c>
      <c r="D27" s="526">
        <f>Long_ogive</f>
        <v>1</v>
      </c>
      <c r="E27" s="527" t="s">
        <v>445</v>
      </c>
      <c r="F27" s="528">
        <f>X_ail</f>
        <v>1040</v>
      </c>
      <c r="G27" s="526">
        <f>X_can</f>
        <v>1250</v>
      </c>
      <c r="H27" s="518"/>
      <c r="I27" s="3"/>
      <c r="J27" s="2"/>
      <c r="N27" s="75"/>
      <c r="O27" s="273"/>
      <c r="P27" s="436"/>
      <c r="Q27" s="48"/>
      <c r="R27" s="48"/>
      <c r="S27" s="48"/>
      <c r="T27" s="226"/>
      <c r="U27" s="436"/>
    </row>
    <row r="28" spans="2:21" ht="13.5" thickBot="1" x14ac:dyDescent="0.25">
      <c r="B28" s="74"/>
      <c r="E28" s="95"/>
      <c r="N28" s="75"/>
      <c r="O28" s="2"/>
      <c r="P28" s="6"/>
      <c r="Q28" s="2"/>
      <c r="R28" s="48"/>
      <c r="S28" s="48"/>
      <c r="T28" s="48"/>
      <c r="U28" s="436"/>
    </row>
    <row r="29" spans="2:21" ht="13.5" thickBot="1" x14ac:dyDescent="0.25">
      <c r="B29" s="74"/>
      <c r="C29" s="673" t="s">
        <v>141</v>
      </c>
      <c r="D29" s="673" t="s">
        <v>133</v>
      </c>
      <c r="E29" s="673" t="s">
        <v>134</v>
      </c>
      <c r="F29" s="673"/>
      <c r="G29" s="673"/>
      <c r="H29" s="672" t="s">
        <v>135</v>
      </c>
      <c r="I29" s="672"/>
      <c r="J29" s="672"/>
      <c r="K29" s="672"/>
      <c r="L29" s="673" t="s">
        <v>136</v>
      </c>
      <c r="M29" s="673" t="s">
        <v>137</v>
      </c>
      <c r="N29" s="75"/>
      <c r="O29" s="273" t="s">
        <v>429</v>
      </c>
      <c r="P29" s="441">
        <f>n_ail</f>
        <v>80</v>
      </c>
      <c r="Q29" s="2"/>
      <c r="R29" s="48"/>
      <c r="S29" s="48"/>
      <c r="T29" s="48"/>
      <c r="U29" s="12" t="s">
        <v>433</v>
      </c>
    </row>
    <row r="30" spans="2:21" ht="13.5" thickBot="1" x14ac:dyDescent="0.25">
      <c r="B30" s="74"/>
      <c r="C30" s="673"/>
      <c r="D30" s="673"/>
      <c r="E30" s="673"/>
      <c r="F30" s="673"/>
      <c r="G30" s="673"/>
      <c r="H30" s="672" t="s">
        <v>138</v>
      </c>
      <c r="I30" s="672"/>
      <c r="J30" s="69" t="s">
        <v>139</v>
      </c>
      <c r="K30" s="70" t="s">
        <v>140</v>
      </c>
      <c r="L30" s="673"/>
      <c r="M30" s="673"/>
      <c r="N30" s="75"/>
      <c r="P30" s="12"/>
      <c r="R30" s="48"/>
      <c r="S30" s="48"/>
      <c r="T30" s="226" t="s">
        <v>431</v>
      </c>
      <c r="U30" s="523">
        <f>[0]!p_can</f>
        <v>160</v>
      </c>
    </row>
    <row r="31" spans="2:21" ht="13.5" thickBot="1" x14ac:dyDescent="0.25">
      <c r="B31" s="74"/>
      <c r="C31" s="83">
        <f>Beta_rampe</f>
        <v>75.474708385400717</v>
      </c>
      <c r="D31" s="84">
        <f ca="1">Portee_balistique</f>
        <v>746.86410190403069</v>
      </c>
      <c r="E31" s="677">
        <f ca="1">T_para+Dt_para</f>
        <v>107.20704688696974</v>
      </c>
      <c r="F31" s="677"/>
      <c r="G31" s="677"/>
      <c r="H31" s="678">
        <f ca="1">Altitude_culmi</f>
        <v>1251.5050472142614</v>
      </c>
      <c r="I31" s="678"/>
      <c r="J31" s="85">
        <f ca="1">Temps_culmi</f>
        <v>10.69999999999998</v>
      </c>
      <c r="K31" s="86">
        <f ca="1">Vit_culmi</f>
        <v>23.218460360659179</v>
      </c>
      <c r="L31" s="84">
        <f ca="1">Acc_max</f>
        <v>26.471700682377062</v>
      </c>
      <c r="M31" s="86">
        <f ca="1">Vit_max</f>
        <v>155.35373067854024</v>
      </c>
      <c r="N31" s="75"/>
      <c r="O31" s="273" t="s">
        <v>435</v>
      </c>
      <c r="P31" s="441">
        <f>ep_ail</f>
        <v>3</v>
      </c>
      <c r="Q31" s="2"/>
      <c r="R31" s="48"/>
      <c r="S31" s="48"/>
      <c r="T31" s="226" t="s">
        <v>344</v>
      </c>
      <c r="U31" s="523">
        <f>[0]!m_can</f>
        <v>180</v>
      </c>
    </row>
    <row r="32" spans="2:21" ht="13.5" thickBot="1" x14ac:dyDescent="0.25">
      <c r="B32" s="74"/>
      <c r="C32" s="520"/>
      <c r="D32" s="242"/>
      <c r="E32" s="247"/>
      <c r="F32" s="247"/>
      <c r="G32" s="247"/>
      <c r="H32" s="283"/>
      <c r="I32" s="283"/>
      <c r="J32" s="247"/>
      <c r="K32" s="248"/>
      <c r="L32" s="242"/>
      <c r="M32" s="248"/>
      <c r="N32" s="75"/>
      <c r="O32" s="273" t="s">
        <v>434</v>
      </c>
      <c r="P32" s="522">
        <f>Q_ail</f>
        <v>4</v>
      </c>
      <c r="Q32" s="2"/>
      <c r="R32" s="48"/>
      <c r="S32" s="48"/>
      <c r="T32" s="226" t="s">
        <v>429</v>
      </c>
      <c r="U32" s="523">
        <f>[0]!n_can</f>
        <v>80</v>
      </c>
    </row>
    <row r="33" spans="2:21" ht="13.5" thickBot="1" x14ac:dyDescent="0.25">
      <c r="B33" s="74"/>
      <c r="D33" s="80"/>
      <c r="E33" s="81"/>
      <c r="F33" s="81"/>
      <c r="G33" s="81"/>
      <c r="H33" s="82"/>
      <c r="I33" s="82"/>
      <c r="J33" s="81"/>
      <c r="K33" s="76"/>
      <c r="L33" s="80"/>
      <c r="M33" s="76"/>
      <c r="N33" s="75"/>
      <c r="O33" s="2"/>
      <c r="Q33" s="2"/>
      <c r="R33" s="48"/>
      <c r="S33" s="48"/>
      <c r="T33" s="226" t="s">
        <v>430</v>
      </c>
      <c r="U33" s="523">
        <f>[0]!E_can</f>
        <v>110</v>
      </c>
    </row>
    <row r="34" spans="2:21" ht="13.5" thickBot="1" x14ac:dyDescent="0.25">
      <c r="B34" s="77"/>
      <c r="C34" s="78"/>
      <c r="D34" s="78"/>
      <c r="E34" s="78"/>
      <c r="F34" s="78"/>
      <c r="G34" s="78"/>
      <c r="H34" s="78"/>
      <c r="I34" s="78"/>
      <c r="J34" s="78"/>
      <c r="K34" s="78"/>
      <c r="L34" s="78"/>
      <c r="M34" s="78"/>
      <c r="N34" s="79"/>
      <c r="O34" s="2"/>
      <c r="P34" s="273" t="s">
        <v>430</v>
      </c>
      <c r="Q34" s="441">
        <f>E_ail</f>
        <v>145</v>
      </c>
      <c r="T34" s="226" t="s">
        <v>435</v>
      </c>
      <c r="U34" s="523">
        <f>[0]!ep_can</f>
        <v>4</v>
      </c>
    </row>
    <row r="35" spans="2:21" x14ac:dyDescent="0.2">
      <c r="O35" s="2"/>
      <c r="P35" s="6"/>
      <c r="Q35" s="6"/>
      <c r="T35" s="226" t="s">
        <v>434</v>
      </c>
      <c r="U35" s="523">
        <f>[0]!Q_can</f>
        <v>4</v>
      </c>
    </row>
    <row r="36" spans="2:21" ht="13.5" thickBot="1" x14ac:dyDescent="0.25">
      <c r="T36" s="2"/>
      <c r="U36" s="12"/>
    </row>
    <row r="37" spans="2:21" x14ac:dyDescent="0.2">
      <c r="B37" s="71"/>
      <c r="C37" s="72"/>
      <c r="D37" s="72"/>
      <c r="E37" s="72"/>
      <c r="F37" s="72"/>
      <c r="G37" s="72"/>
      <c r="H37" s="72"/>
      <c r="I37" s="72"/>
      <c r="J37" s="72"/>
      <c r="K37" s="72"/>
      <c r="L37" s="72"/>
      <c r="M37" s="72"/>
      <c r="N37" s="73"/>
      <c r="T37" s="2"/>
    </row>
    <row r="38" spans="2:21" x14ac:dyDescent="0.2">
      <c r="B38" s="74"/>
      <c r="D38" s="2" t="s">
        <v>195</v>
      </c>
      <c r="H38" s="273" t="s">
        <v>562</v>
      </c>
      <c r="I38" t="str">
        <f>Matricule</f>
        <v>FX0</v>
      </c>
      <c r="N38" s="75"/>
    </row>
    <row r="39" spans="2:21" x14ac:dyDescent="0.2">
      <c r="B39" s="74"/>
      <c r="D39" s="2"/>
      <c r="N39" s="75"/>
    </row>
    <row r="40" spans="2:21" x14ac:dyDescent="0.2">
      <c r="B40" s="74"/>
      <c r="D40" s="275" t="s">
        <v>149</v>
      </c>
      <c r="E40" s="246">
        <f>D_ref</f>
        <v>104</v>
      </c>
      <c r="F40" s="265"/>
      <c r="G40" s="265"/>
      <c r="H40" s="261" t="s">
        <v>198</v>
      </c>
      <c r="I40" s="261" t="s">
        <v>199</v>
      </c>
      <c r="J40" s="262" t="s">
        <v>200</v>
      </c>
      <c r="N40" s="75"/>
    </row>
    <row r="41" spans="2:21" x14ac:dyDescent="0.2">
      <c r="B41" s="74"/>
      <c r="D41" s="276" t="s">
        <v>147</v>
      </c>
      <c r="E41" s="6">
        <f>Long_ogive</f>
        <v>1</v>
      </c>
      <c r="F41" s="2"/>
      <c r="G41" s="2" t="s">
        <v>201</v>
      </c>
      <c r="H41" s="6">
        <f>MasseSans</f>
        <v>5.0830000000000002</v>
      </c>
      <c r="I41" s="6">
        <f ca="1">MasseVide</f>
        <v>5.0830000000000002</v>
      </c>
      <c r="J41" s="244">
        <f ca="1">MassePlein</f>
        <v>5.0831</v>
      </c>
      <c r="N41" s="75"/>
    </row>
    <row r="42" spans="2:21" x14ac:dyDescent="0.2">
      <c r="B42" s="74"/>
      <c r="D42" s="276" t="s">
        <v>150</v>
      </c>
      <c r="E42" s="6">
        <f>X_ail-m_ail</f>
        <v>850</v>
      </c>
      <c r="F42" s="255"/>
      <c r="G42" s="255" t="s">
        <v>218</v>
      </c>
      <c r="H42" s="263">
        <f>XcgSans</f>
        <v>495</v>
      </c>
      <c r="I42" s="263">
        <f ca="1">XcgVide</f>
        <v>495</v>
      </c>
      <c r="J42" s="245">
        <f ca="1">XcgPlein</f>
        <v>495.01209891601582</v>
      </c>
      <c r="N42" s="75"/>
    </row>
    <row r="43" spans="2:21" x14ac:dyDescent="0.2">
      <c r="B43" s="74"/>
      <c r="D43" s="276" t="str">
        <f>IF(Lang="Français","Emplanture 'm'",IF(Lang="English","Root edge  'm'",""))</f>
        <v>Emplanture 'm'</v>
      </c>
      <c r="E43" s="244">
        <f>m_ail</f>
        <v>190</v>
      </c>
      <c r="N43" s="75"/>
    </row>
    <row r="44" spans="2:21" x14ac:dyDescent="0.2">
      <c r="B44" s="74"/>
      <c r="D44" s="276" t="str">
        <f>IF(Lang="Français","Saumon      'n'",IF(Lang="English","Tip edge    'n'",""))</f>
        <v>Saumon      'n'</v>
      </c>
      <c r="E44" s="244">
        <f>n_ail</f>
        <v>80</v>
      </c>
      <c r="F44" s="246" t="s">
        <v>202</v>
      </c>
      <c r="G44" s="246" t="s">
        <v>207</v>
      </c>
      <c r="H44" s="668" t="e">
        <f ca="1">Vsortie_de_rampe</f>
        <v>#N/A</v>
      </c>
      <c r="I44" s="669"/>
      <c r="N44" s="75"/>
    </row>
    <row r="45" spans="2:21" x14ac:dyDescent="0.2">
      <c r="B45" s="74"/>
      <c r="D45" s="276" t="str">
        <f>IF(Lang="Français","Flèche        'p'",IF(Lang="English","Offset         'p'",""))</f>
        <v>Flèche        'p'</v>
      </c>
      <c r="E45" s="244">
        <f>p_ail</f>
        <v>180</v>
      </c>
      <c r="F45" s="6" t="s">
        <v>203</v>
      </c>
      <c r="G45" s="6" t="s">
        <v>208</v>
      </c>
      <c r="H45" s="670">
        <f>Finesse</f>
        <v>10.76923076923077</v>
      </c>
      <c r="I45" s="671"/>
      <c r="N45" s="75"/>
    </row>
    <row r="46" spans="2:21" x14ac:dyDescent="0.2">
      <c r="B46" s="74"/>
      <c r="D46" s="276" t="str">
        <f>IF(Lang="Français","Envergure   'E'",IF(Lang="English","Span          'E'",""))</f>
        <v>Envergure   'E'</v>
      </c>
      <c r="E46" s="244">
        <f>E_ail</f>
        <v>145</v>
      </c>
      <c r="F46" s="6" t="s">
        <v>204</v>
      </c>
      <c r="G46" s="6" t="s">
        <v>209</v>
      </c>
      <c r="H46" s="670">
        <f>Cn</f>
        <v>15.677184507305929</v>
      </c>
      <c r="I46" s="671"/>
      <c r="N46" s="75"/>
    </row>
    <row r="47" spans="2:21" x14ac:dyDescent="0.2">
      <c r="B47" s="74"/>
      <c r="D47" s="276" t="s">
        <v>144</v>
      </c>
      <c r="E47" s="244">
        <f>ep_ail</f>
        <v>3</v>
      </c>
      <c r="F47" s="6" t="s">
        <v>205</v>
      </c>
      <c r="G47" s="6" t="s">
        <v>210</v>
      </c>
      <c r="H47" s="247">
        <f ca="1">MS_min</f>
        <v>3.2803762470178883</v>
      </c>
      <c r="I47" s="254">
        <f ca="1">MS_max</f>
        <v>3.2804925827488094</v>
      </c>
      <c r="N47" s="75"/>
    </row>
    <row r="48" spans="2:21" x14ac:dyDescent="0.2">
      <c r="B48" s="74"/>
      <c r="D48" s="276" t="s">
        <v>145</v>
      </c>
      <c r="E48" s="244">
        <f>Q_ail</f>
        <v>4</v>
      </c>
      <c r="F48" s="274" t="s">
        <v>206</v>
      </c>
      <c r="G48" s="274" t="s">
        <v>211</v>
      </c>
      <c r="H48" s="256">
        <f ca="1">MS_Cn_min</f>
        <v>51.427063677883204</v>
      </c>
      <c r="I48" s="264">
        <f ca="1">MS_Cn_max</f>
        <v>51.428887494601646</v>
      </c>
      <c r="N48" s="75"/>
    </row>
    <row r="49" spans="2:14" x14ac:dyDescent="0.2">
      <c r="B49" s="74"/>
      <c r="D49" s="276" t="s">
        <v>148</v>
      </c>
      <c r="E49" s="244">
        <f ca="1">XpropuRef-Long_propu</f>
        <v>1110</v>
      </c>
      <c r="N49" s="75"/>
    </row>
    <row r="50" spans="2:14" x14ac:dyDescent="0.2">
      <c r="B50" s="74"/>
      <c r="D50" s="276" t="s">
        <v>146</v>
      </c>
      <c r="E50" s="272" t="str">
        <f>Forme_ogive</f>
        <v>Conique (droite)</v>
      </c>
      <c r="F50" s="273" t="s">
        <v>183</v>
      </c>
      <c r="G50" s="275" t="s">
        <v>5</v>
      </c>
      <c r="H50" s="246">
        <f>Cx</f>
        <v>0.6</v>
      </c>
      <c r="I50" s="265"/>
      <c r="J50" s="266"/>
      <c r="N50" s="75"/>
    </row>
    <row r="51" spans="2:14" x14ac:dyDescent="0.2">
      <c r="B51" s="74"/>
      <c r="D51" s="276" t="s">
        <v>142</v>
      </c>
      <c r="E51" s="244">
        <f>Long_tot</f>
        <v>1120</v>
      </c>
      <c r="G51" s="276" t="s">
        <v>212</v>
      </c>
      <c r="H51" s="6">
        <f>Sref</f>
        <v>1.0234866535306801E-2</v>
      </c>
      <c r="J51" s="267"/>
      <c r="N51" s="75"/>
    </row>
    <row r="52" spans="2:14" x14ac:dyDescent="0.2">
      <c r="B52" s="74"/>
      <c r="D52" s="276" t="s">
        <v>196</v>
      </c>
      <c r="E52" s="244">
        <f>MAX(D_ref,D_ail,D_og,(RIGHT(Nb_diam,1)=",")*MAX(D1j,D1r,D2j,D2r))</f>
        <v>104</v>
      </c>
      <c r="G52" s="276" t="s">
        <v>213</v>
      </c>
      <c r="H52" s="6">
        <f>Beta_rampe</f>
        <v>75.474708385400717</v>
      </c>
      <c r="I52" s="6">
        <v>80</v>
      </c>
      <c r="J52" s="244">
        <v>90</v>
      </c>
      <c r="N52" s="75"/>
    </row>
    <row r="53" spans="2:14" x14ac:dyDescent="0.2">
      <c r="B53" s="74"/>
      <c r="D53" s="277" t="s">
        <v>197</v>
      </c>
      <c r="E53" s="260">
        <f>E_ail*2+D_ail</f>
        <v>394</v>
      </c>
      <c r="G53" s="278" t="s">
        <v>215</v>
      </c>
      <c r="H53" s="247">
        <f ca="1">Temps_culmi</f>
        <v>10.69999999999998</v>
      </c>
      <c r="I53" s="259"/>
      <c r="J53" s="268"/>
      <c r="N53" s="75"/>
    </row>
    <row r="54" spans="2:14" x14ac:dyDescent="0.2">
      <c r="B54" s="74"/>
      <c r="G54" s="278" t="s">
        <v>216</v>
      </c>
      <c r="H54" s="242">
        <f ca="1">Altitude_culmi</f>
        <v>1251.5050472142614</v>
      </c>
      <c r="I54" s="259"/>
      <c r="J54" s="268"/>
      <c r="N54" s="75"/>
    </row>
    <row r="55" spans="2:14" x14ac:dyDescent="0.2">
      <c r="B55" s="74"/>
      <c r="C55" s="275" t="s">
        <v>233</v>
      </c>
      <c r="D55" s="249" t="s">
        <v>60</v>
      </c>
      <c r="E55" s="243">
        <f>Long_tot</f>
        <v>1120</v>
      </c>
      <c r="G55" s="278" t="s">
        <v>217</v>
      </c>
      <c r="H55" s="248">
        <f ca="1">Vit_culmi</f>
        <v>23.218460360659179</v>
      </c>
      <c r="I55" s="259"/>
      <c r="J55" s="268"/>
      <c r="N55" s="75"/>
    </row>
    <row r="56" spans="2:14" x14ac:dyDescent="0.2">
      <c r="B56" s="74"/>
      <c r="C56" s="276"/>
      <c r="D56" s="2" t="s">
        <v>219</v>
      </c>
      <c r="E56" s="244">
        <f>MAX(D_ref,D_ail,D_og,(RIGHT(Nb_diam,1)=",")*MAX(D1j,D1r,D2j,D2r))</f>
        <v>104</v>
      </c>
      <c r="G56" s="278" t="s">
        <v>133</v>
      </c>
      <c r="H56" s="242">
        <f ca="1">Portee_balistique</f>
        <v>746.86410190403069</v>
      </c>
      <c r="I56" s="259"/>
      <c r="J56" s="268"/>
      <c r="N56" s="75"/>
    </row>
    <row r="57" spans="2:14" x14ac:dyDescent="0.2">
      <c r="B57" s="74"/>
      <c r="C57" s="276"/>
      <c r="D57" s="2" t="s">
        <v>220</v>
      </c>
      <c r="E57" s="244">
        <f>E_ail*2+D_ail</f>
        <v>394</v>
      </c>
      <c r="G57" s="278" t="s">
        <v>214</v>
      </c>
      <c r="H57" s="242">
        <f ca="1">T_balistique</f>
        <v>29.200000000000149</v>
      </c>
      <c r="I57" s="259"/>
      <c r="J57" s="268"/>
      <c r="N57" s="75"/>
    </row>
    <row r="58" spans="2:14" x14ac:dyDescent="0.2">
      <c r="B58" s="74"/>
      <c r="C58" s="276"/>
      <c r="D58" s="2" t="s">
        <v>221</v>
      </c>
      <c r="E58" s="244">
        <f ca="1">MassePlein</f>
        <v>5.0831</v>
      </c>
      <c r="G58" s="278" t="s">
        <v>137</v>
      </c>
      <c r="H58" s="248">
        <f ca="1">Vit_max</f>
        <v>155.35373067854024</v>
      </c>
      <c r="I58" s="259"/>
      <c r="J58" s="268"/>
      <c r="N58" s="75"/>
    </row>
    <row r="59" spans="2:14" x14ac:dyDescent="0.2">
      <c r="B59" s="74"/>
      <c r="C59" s="277" t="s">
        <v>234</v>
      </c>
      <c r="D59" s="255" t="s">
        <v>145</v>
      </c>
      <c r="E59" s="260">
        <f>Q_ail</f>
        <v>4</v>
      </c>
      <c r="G59" s="278" t="s">
        <v>136</v>
      </c>
      <c r="H59" s="242">
        <f ca="1">Acc_max</f>
        <v>26.471700682377062</v>
      </c>
      <c r="I59" s="259"/>
      <c r="J59" s="268"/>
      <c r="N59" s="75"/>
    </row>
    <row r="60" spans="2:14" x14ac:dyDescent="0.2">
      <c r="B60" s="74"/>
      <c r="C60" s="12"/>
      <c r="G60" s="269" t="s">
        <v>222</v>
      </c>
      <c r="H60" s="270"/>
      <c r="I60" s="270"/>
      <c r="J60" s="271"/>
      <c r="N60" s="75"/>
    </row>
    <row r="61" spans="2:14" x14ac:dyDescent="0.2">
      <c r="B61" s="74"/>
      <c r="C61" s="275"/>
      <c r="D61" s="249"/>
      <c r="E61" s="246" t="s">
        <v>226</v>
      </c>
      <c r="F61" s="243" t="s">
        <v>227</v>
      </c>
      <c r="G61" s="2"/>
      <c r="H61" s="2"/>
      <c r="I61" s="2"/>
      <c r="J61" s="2"/>
      <c r="K61" s="2"/>
      <c r="N61" s="75"/>
    </row>
    <row r="62" spans="2:14" x14ac:dyDescent="0.2">
      <c r="B62" s="74"/>
      <c r="C62" s="276" t="s">
        <v>235</v>
      </c>
      <c r="D62" s="2" t="s">
        <v>225</v>
      </c>
      <c r="E62" s="242">
        <f ca="1">2*Acc_max*MassePlein</f>
        <v>269.11660347718168</v>
      </c>
      <c r="F62" s="280">
        <f ca="1">E62/9.81</f>
        <v>27.432885165869692</v>
      </c>
      <c r="H62" s="2"/>
      <c r="I62" s="2"/>
      <c r="J62" s="2"/>
      <c r="K62" s="2"/>
      <c r="N62" s="75"/>
    </row>
    <row r="63" spans="2:14" x14ac:dyDescent="0.2">
      <c r="B63" s="74"/>
      <c r="C63" s="276"/>
      <c r="D63" s="2" t="s">
        <v>223</v>
      </c>
      <c r="E63" s="242">
        <f ca="1">2*Acc_max*Masse_ail</f>
        <v>6.2182024902903716</v>
      </c>
      <c r="F63" s="248">
        <f ca="1">E63/9.81</f>
        <v>0.63386365854132221</v>
      </c>
      <c r="G63" s="246" t="s">
        <v>229</v>
      </c>
      <c r="H63" s="288">
        <f>S_ail*(ep_ail/1000)*2000</f>
        <v>0.11745</v>
      </c>
      <c r="I63" s="2"/>
      <c r="J63" s="2"/>
      <c r="K63" s="2"/>
      <c r="N63" s="75"/>
    </row>
    <row r="64" spans="2:14" x14ac:dyDescent="0.2">
      <c r="B64" s="74"/>
      <c r="C64" s="277"/>
      <c r="D64" s="255" t="s">
        <v>224</v>
      </c>
      <c r="E64" s="263">
        <f ca="1">0.104*S_ail*Vit_max^2</f>
        <v>49.133588454040336</v>
      </c>
      <c r="F64" s="281">
        <f ca="1">E64/9.81</f>
        <v>5.0085207394536528</v>
      </c>
      <c r="G64" s="274" t="s">
        <v>228</v>
      </c>
      <c r="H64" s="289">
        <f>(E_ail*(m_ail+n_ail)/2)/10^6</f>
        <v>1.9574999999999999E-2</v>
      </c>
      <c r="I64" s="2"/>
      <c r="J64" s="2"/>
      <c r="K64" s="2"/>
      <c r="N64" s="75"/>
    </row>
    <row r="65" spans="2:14" x14ac:dyDescent="0.2">
      <c r="B65" s="74"/>
      <c r="C65" s="282" t="s">
        <v>242</v>
      </c>
      <c r="D65" s="285" t="s">
        <v>240</v>
      </c>
      <c r="E65" s="286">
        <f ca="1">2*Acc_max*H65</f>
        <v>134.55830173859084</v>
      </c>
      <c r="F65" s="286">
        <f ca="1">E65/9.81</f>
        <v>13.716442582934846</v>
      </c>
      <c r="G65" s="287" t="s">
        <v>241</v>
      </c>
      <c r="H65" s="279">
        <f ca="1">E58/2</f>
        <v>2.54155</v>
      </c>
      <c r="I65" s="2"/>
      <c r="J65" s="2"/>
      <c r="K65" s="2"/>
      <c r="N65" s="75"/>
    </row>
    <row r="66" spans="2:14" x14ac:dyDescent="0.2">
      <c r="B66" s="74"/>
      <c r="C66" s="6"/>
      <c r="D66" s="2"/>
      <c r="E66" s="2"/>
      <c r="F66" s="2"/>
      <c r="G66" s="2"/>
      <c r="H66" s="2"/>
      <c r="I66" s="2"/>
      <c r="J66" s="2"/>
      <c r="K66" s="2"/>
      <c r="N66" s="75"/>
    </row>
    <row r="67" spans="2:14" x14ac:dyDescent="0.2">
      <c r="B67" s="74"/>
      <c r="F67" s="275" t="s">
        <v>232</v>
      </c>
      <c r="G67" s="249" t="s">
        <v>230</v>
      </c>
      <c r="H67" s="250">
        <f>T_para</f>
        <v>11.1</v>
      </c>
      <c r="I67" s="251">
        <f ca="1">Temps_culmi</f>
        <v>10.69999999999998</v>
      </c>
      <c r="J67" s="2"/>
      <c r="K67" s="2"/>
      <c r="N67" s="75"/>
    </row>
    <row r="68" spans="2:14" x14ac:dyDescent="0.2">
      <c r="B68" s="74"/>
      <c r="C68" s="6"/>
      <c r="D68" s="2"/>
      <c r="E68" s="2"/>
      <c r="F68" s="275" t="s">
        <v>231</v>
      </c>
      <c r="G68" s="249" t="s">
        <v>129</v>
      </c>
      <c r="H68" s="250">
        <f ca="1">V_para</f>
        <v>13.016517782506746</v>
      </c>
      <c r="I68" s="251">
        <f>V_satellite</f>
        <v>12.655562623057198</v>
      </c>
      <c r="J68" s="2"/>
      <c r="K68" s="2"/>
      <c r="N68" s="75"/>
    </row>
    <row r="69" spans="2:14" x14ac:dyDescent="0.2">
      <c r="B69" s="74"/>
      <c r="C69" s="6"/>
      <c r="D69" s="2"/>
      <c r="E69" s="2"/>
      <c r="F69" s="276"/>
      <c r="G69" s="2" t="s">
        <v>237</v>
      </c>
      <c r="H69" s="247">
        <f>S_para</f>
        <v>0.48049999999999998</v>
      </c>
      <c r="I69" s="253">
        <f>S_satellite</f>
        <v>0.1</v>
      </c>
      <c r="J69" s="2"/>
      <c r="K69" s="2"/>
      <c r="N69" s="75"/>
    </row>
    <row r="70" spans="2:14" x14ac:dyDescent="0.2">
      <c r="B70" s="74"/>
      <c r="C70" s="226"/>
      <c r="D70" s="2"/>
      <c r="F70" s="276"/>
      <c r="G70" s="2" t="s">
        <v>236</v>
      </c>
      <c r="H70" s="247">
        <f ca="1">V_ouverture</f>
        <v>23.300147791401784</v>
      </c>
      <c r="I70" s="253">
        <f ca="1">V_ouv_sat</f>
        <v>71.520944821453142</v>
      </c>
      <c r="N70" s="75"/>
    </row>
    <row r="71" spans="2:14" x14ac:dyDescent="0.2">
      <c r="B71" s="74"/>
      <c r="C71" s="226"/>
      <c r="F71" s="276"/>
      <c r="G71" s="2" t="s">
        <v>201</v>
      </c>
      <c r="H71" s="247">
        <f ca="1">m_vide</f>
        <v>5.0830000000000002</v>
      </c>
      <c r="I71" s="253">
        <f>m_satellite</f>
        <v>1</v>
      </c>
      <c r="N71" s="75"/>
    </row>
    <row r="72" spans="2:14" x14ac:dyDescent="0.2">
      <c r="B72" s="74"/>
      <c r="C72" s="226"/>
      <c r="F72" s="276"/>
      <c r="G72" s="2" t="s">
        <v>238</v>
      </c>
      <c r="H72" s="283">
        <f ca="1">1/2*Rho_moyen*S_para*V_ouverture^2</f>
        <v>159.77794697941738</v>
      </c>
      <c r="I72" s="284">
        <f ca="1">1/2*Rho_moyen*S_satellite*V_ouv_sat^2</f>
        <v>313.30878982439242</v>
      </c>
      <c r="N72" s="75"/>
    </row>
    <row r="73" spans="2:14" x14ac:dyDescent="0.2">
      <c r="B73" s="74"/>
      <c r="D73" s="2"/>
      <c r="F73" s="277"/>
      <c r="G73" s="255" t="s">
        <v>239</v>
      </c>
      <c r="H73" s="256">
        <f ca="1">H72/9.81</f>
        <v>16.287252495353453</v>
      </c>
      <c r="I73" s="257">
        <f ca="1">I72/9.81</f>
        <v>31.937695191069562</v>
      </c>
      <c r="N73" s="75"/>
    </row>
    <row r="74" spans="2:14" ht="13.5" thickBot="1" x14ac:dyDescent="0.25">
      <c r="B74" s="77"/>
      <c r="C74" s="78"/>
      <c r="D74" s="78"/>
      <c r="E74" s="78"/>
      <c r="F74" s="78"/>
      <c r="G74" s="78"/>
      <c r="H74" s="78"/>
      <c r="I74" s="78"/>
      <c r="J74" s="78"/>
      <c r="K74" s="78"/>
      <c r="L74" s="78"/>
      <c r="M74" s="78"/>
      <c r="N74" s="79"/>
    </row>
    <row r="76" spans="2:14" ht="13.5" thickBot="1" x14ac:dyDescent="0.25"/>
    <row r="77" spans="2:14" x14ac:dyDescent="0.2">
      <c r="B77" s="71"/>
      <c r="C77" s="72"/>
      <c r="D77" s="72"/>
      <c r="E77" s="72"/>
      <c r="F77" s="72"/>
      <c r="G77" s="72"/>
      <c r="H77" s="72"/>
      <c r="I77" s="72"/>
      <c r="J77" s="72"/>
      <c r="K77" s="72"/>
      <c r="L77" s="72"/>
      <c r="M77" s="72"/>
      <c r="N77" s="73"/>
    </row>
    <row r="78" spans="2:14" x14ac:dyDescent="0.2">
      <c r="B78" s="74"/>
      <c r="D78" s="2" t="s">
        <v>333</v>
      </c>
      <c r="N78" s="75"/>
    </row>
    <row r="79" spans="2:14" ht="12.75" customHeight="1" x14ac:dyDescent="0.25">
      <c r="B79" s="74"/>
      <c r="E79" s="48"/>
      <c r="F79" s="48"/>
      <c r="G79" s="435" t="s">
        <v>339</v>
      </c>
      <c r="I79" s="448"/>
      <c r="J79" s="48"/>
      <c r="K79" s="48"/>
      <c r="N79" s="75"/>
    </row>
    <row r="80" spans="2:14" x14ac:dyDescent="0.2">
      <c r="B80" s="74"/>
      <c r="C80" s="275" t="s">
        <v>334</v>
      </c>
      <c r="D80" s="243" t="str">
        <f>Nom</f>
        <v>SP02</v>
      </c>
      <c r="E80" s="48"/>
      <c r="F80" s="48"/>
      <c r="G80" s="48"/>
      <c r="H80" s="48"/>
      <c r="I80" s="48"/>
      <c r="J80" s="48"/>
      <c r="K80" s="48"/>
      <c r="N80" s="75"/>
    </row>
    <row r="81" spans="2:14" ht="13.5" thickBot="1" x14ac:dyDescent="0.25">
      <c r="B81" s="74"/>
      <c r="C81" s="276" t="s">
        <v>4</v>
      </c>
      <c r="D81" s="244" t="str">
        <f>Club</f>
        <v>L'AéroIPSA</v>
      </c>
      <c r="E81" s="48"/>
      <c r="F81" s="48"/>
      <c r="G81" s="48"/>
      <c r="H81" s="48"/>
      <c r="I81" s="48"/>
      <c r="J81" s="48"/>
      <c r="K81" s="48"/>
      <c r="N81" s="75"/>
    </row>
    <row r="82" spans="2:14" ht="13.5" thickBot="1" x14ac:dyDescent="0.25">
      <c r="B82" s="74"/>
      <c r="C82" s="432" t="s">
        <v>335</v>
      </c>
      <c r="D82" s="244" t="s">
        <v>14</v>
      </c>
      <c r="E82" s="273" t="s">
        <v>340</v>
      </c>
      <c r="F82" s="441">
        <f>Long_ogive</f>
        <v>1</v>
      </c>
      <c r="G82" s="48"/>
      <c r="H82" s="48"/>
      <c r="I82" s="48"/>
      <c r="J82" s="48"/>
      <c r="K82" s="48"/>
      <c r="N82" s="75"/>
    </row>
    <row r="83" spans="2:14" x14ac:dyDescent="0.2">
      <c r="B83" s="74"/>
      <c r="C83" s="277" t="s">
        <v>336</v>
      </c>
      <c r="D83" s="433">
        <f ca="1">TODAY()</f>
        <v>45968</v>
      </c>
      <c r="E83" s="48"/>
      <c r="F83" s="436"/>
      <c r="G83" s="48"/>
      <c r="H83" s="48"/>
      <c r="I83" s="48"/>
      <c r="J83" s="48"/>
      <c r="K83" s="48"/>
      <c r="N83" s="75"/>
    </row>
    <row r="84" spans="2:14" ht="13.5" thickBot="1" x14ac:dyDescent="0.25">
      <c r="B84" s="74"/>
      <c r="E84" s="48"/>
      <c r="F84" s="436"/>
      <c r="G84" s="48"/>
      <c r="H84" s="48"/>
      <c r="I84" s="48"/>
      <c r="J84" s="440">
        <f>IF(RIGHT(Nb_diam,1)=",", "", X_j)</f>
        <v>1</v>
      </c>
      <c r="K84" s="48"/>
      <c r="N84" s="75"/>
    </row>
    <row r="85" spans="2:14" ht="13.5" thickBot="1" x14ac:dyDescent="0.25">
      <c r="B85" s="74"/>
      <c r="C85" s="275" t="s">
        <v>337</v>
      </c>
      <c r="D85" s="243" t="str">
        <f>Propu</f>
        <v>Aucun (2e ét. inerte)</v>
      </c>
      <c r="E85" s="273" t="s">
        <v>341</v>
      </c>
      <c r="F85" s="441">
        <f>D_og</f>
        <v>84</v>
      </c>
      <c r="G85" s="48"/>
      <c r="H85" s="48"/>
      <c r="I85" s="48"/>
      <c r="J85" s="436"/>
      <c r="K85" s="48"/>
      <c r="N85" s="75"/>
    </row>
    <row r="86" spans="2:14" x14ac:dyDescent="0.2">
      <c r="B86" s="74"/>
      <c r="C86" s="277" t="s">
        <v>338</v>
      </c>
      <c r="D86" s="260" t="s">
        <v>14</v>
      </c>
      <c r="E86" s="48"/>
      <c r="F86" s="436"/>
      <c r="G86" s="48"/>
      <c r="H86" s="48"/>
      <c r="I86" s="48"/>
      <c r="J86" s="440">
        <f>IF(RIGHT(Nb_diam,1)=",", "", X_r)</f>
        <v>1070</v>
      </c>
      <c r="K86" s="48"/>
      <c r="N86" s="75"/>
    </row>
    <row r="87" spans="2:14" x14ac:dyDescent="0.2">
      <c r="B87" s="74"/>
      <c r="E87" s="48"/>
      <c r="F87" s="436"/>
      <c r="G87" s="48"/>
      <c r="H87" s="48"/>
      <c r="I87" s="48"/>
      <c r="J87" s="436"/>
      <c r="K87" s="48"/>
      <c r="N87" s="75"/>
    </row>
    <row r="88" spans="2:14" x14ac:dyDescent="0.2">
      <c r="B88" s="74"/>
      <c r="E88" s="48"/>
      <c r="F88" s="436"/>
      <c r="G88" s="48"/>
      <c r="H88" s="48"/>
      <c r="I88" s="48"/>
      <c r="J88" s="440">
        <f>IF(RIGHT(Nb_diam,1)=",", "", l_j)</f>
        <v>60</v>
      </c>
      <c r="K88" s="48"/>
      <c r="N88" s="75"/>
    </row>
    <row r="89" spans="2:14" ht="13.5" thickBot="1" x14ac:dyDescent="0.25">
      <c r="B89" s="74"/>
      <c r="E89" s="48"/>
      <c r="F89" s="436"/>
      <c r="G89" s="48"/>
      <c r="H89" s="48"/>
      <c r="I89" s="48"/>
      <c r="J89" s="436"/>
      <c r="K89" s="48"/>
      <c r="N89" s="75"/>
    </row>
    <row r="90" spans="2:14" ht="13.5" thickBot="1" x14ac:dyDescent="0.25">
      <c r="B90" s="74"/>
      <c r="E90" s="434" t="s">
        <v>342</v>
      </c>
      <c r="F90" s="440">
        <f>IF(RIGHT(Nb_diam,1)=",", "", D2j)</f>
        <v>104</v>
      </c>
      <c r="G90" s="48"/>
      <c r="H90" s="48"/>
      <c r="I90" s="48"/>
      <c r="J90" s="441">
        <f>X_ail-m_ail</f>
        <v>850</v>
      </c>
      <c r="K90" s="2"/>
      <c r="N90" s="75"/>
    </row>
    <row r="91" spans="2:14" x14ac:dyDescent="0.2">
      <c r="B91" s="74"/>
      <c r="E91" s="48"/>
      <c r="F91" s="436"/>
      <c r="G91" s="48"/>
      <c r="H91" s="48"/>
      <c r="I91" s="48"/>
      <c r="J91" s="436"/>
      <c r="K91" s="48"/>
      <c r="N91" s="75"/>
    </row>
    <row r="92" spans="2:14" x14ac:dyDescent="0.2">
      <c r="B92" s="74"/>
      <c r="E92" s="48"/>
      <c r="F92" s="436"/>
      <c r="G92" s="48"/>
      <c r="H92" s="48"/>
      <c r="I92" s="48"/>
      <c r="J92" s="440">
        <f>IF(RIGHT(Nb_diam,1)=",", "", l_r)</f>
        <v>50</v>
      </c>
      <c r="K92" s="48"/>
      <c r="N92" s="75"/>
    </row>
    <row r="93" spans="2:14" x14ac:dyDescent="0.2">
      <c r="B93" s="74"/>
      <c r="E93" s="48"/>
      <c r="F93" s="436"/>
      <c r="G93" s="48"/>
      <c r="H93" s="48"/>
      <c r="I93" s="48"/>
      <c r="J93" s="436"/>
      <c r="K93" s="48"/>
      <c r="N93" s="75"/>
    </row>
    <row r="94" spans="2:14" x14ac:dyDescent="0.2">
      <c r="B94" s="74"/>
      <c r="E94" s="434" t="s">
        <v>343</v>
      </c>
      <c r="F94" s="440">
        <f>IF(RIGHT(Nb_diam,1)=",", "", D2r)</f>
        <v>84</v>
      </c>
      <c r="G94" s="48"/>
      <c r="H94" s="48"/>
      <c r="I94" s="48"/>
      <c r="J94" s="436"/>
      <c r="K94" s="48"/>
      <c r="N94" s="75"/>
    </row>
    <row r="95" spans="2:14" x14ac:dyDescent="0.2">
      <c r="B95" s="74"/>
      <c r="E95" s="48"/>
      <c r="F95" s="436"/>
      <c r="G95" s="48"/>
      <c r="H95" s="48"/>
      <c r="I95" s="48"/>
      <c r="J95" s="436"/>
      <c r="K95" s="48"/>
      <c r="N95" s="75"/>
    </row>
    <row r="96" spans="2:14" ht="13.5" thickBot="1" x14ac:dyDescent="0.25">
      <c r="B96" s="74"/>
      <c r="E96" s="48"/>
      <c r="F96" s="436"/>
      <c r="G96" s="48"/>
      <c r="H96" s="48"/>
      <c r="I96" s="48"/>
      <c r="J96" s="436"/>
      <c r="K96" s="48"/>
      <c r="N96" s="75"/>
    </row>
    <row r="97" spans="2:14" ht="13.5" thickBot="1" x14ac:dyDescent="0.25">
      <c r="B97" s="74"/>
      <c r="E97" s="273" t="s">
        <v>344</v>
      </c>
      <c r="F97" s="441">
        <f>m_ail</f>
        <v>190</v>
      </c>
      <c r="G97" s="48"/>
      <c r="H97" s="48"/>
      <c r="I97" s="48"/>
      <c r="J97" s="441">
        <f>p_ail</f>
        <v>180</v>
      </c>
      <c r="K97" s="2"/>
      <c r="N97" s="75"/>
    </row>
    <row r="98" spans="2:14" x14ac:dyDescent="0.2">
      <c r="B98" s="74"/>
      <c r="E98" s="48"/>
      <c r="F98" s="48"/>
      <c r="G98" s="48"/>
      <c r="H98" s="48"/>
      <c r="I98" s="48"/>
      <c r="J98" s="436"/>
      <c r="K98" s="48"/>
      <c r="N98" s="75"/>
    </row>
    <row r="99" spans="2:14" x14ac:dyDescent="0.2">
      <c r="B99" s="74"/>
      <c r="E99" s="48"/>
      <c r="F99" s="48"/>
      <c r="G99" s="48"/>
      <c r="H99" s="48"/>
      <c r="I99" s="48"/>
      <c r="J99" s="436"/>
      <c r="K99" s="48"/>
      <c r="N99" s="75"/>
    </row>
    <row r="100" spans="2:14" ht="13.5" thickBot="1" x14ac:dyDescent="0.25">
      <c r="B100" s="74"/>
      <c r="D100" s="429" t="s">
        <v>346</v>
      </c>
      <c r="E100" s="246">
        <f>Q_ail</f>
        <v>4</v>
      </c>
      <c r="F100" s="430"/>
      <c r="G100" s="48"/>
      <c r="H100" s="48"/>
      <c r="I100" s="48"/>
      <c r="J100" s="436"/>
      <c r="K100" s="48"/>
      <c r="N100" s="75"/>
    </row>
    <row r="101" spans="2:14" ht="13.5" thickBot="1" x14ac:dyDescent="0.25">
      <c r="B101" s="74"/>
      <c r="D101" s="437" t="s">
        <v>350</v>
      </c>
      <c r="E101" s="6">
        <f ca="1">XpropuRef-Long_propu</f>
        <v>1110</v>
      </c>
      <c r="F101" s="252"/>
      <c r="G101" s="48"/>
      <c r="H101" s="48"/>
      <c r="I101" s="48"/>
      <c r="J101" s="441">
        <f>n_ail</f>
        <v>80</v>
      </c>
      <c r="K101" s="2"/>
      <c r="N101" s="75"/>
    </row>
    <row r="102" spans="2:14" x14ac:dyDescent="0.2">
      <c r="B102" s="74"/>
      <c r="D102" s="437" t="s">
        <v>347</v>
      </c>
      <c r="E102" s="6">
        <f>IF(LEFT(Forme_ogive,4)="Ogiv",1,0)</f>
        <v>0</v>
      </c>
      <c r="F102" s="252" t="s">
        <v>348</v>
      </c>
      <c r="G102" s="48"/>
      <c r="H102" s="48"/>
      <c r="I102" s="48"/>
      <c r="J102" s="436"/>
      <c r="K102" s="48"/>
      <c r="N102" s="75"/>
    </row>
    <row r="103" spans="2:14" x14ac:dyDescent="0.2">
      <c r="B103" s="74"/>
      <c r="D103" s="437"/>
      <c r="E103" s="6">
        <f>IF(LEFT(Forme_ogive,3)="Con",1,0)</f>
        <v>1</v>
      </c>
      <c r="F103" s="252" t="s">
        <v>159</v>
      </c>
      <c r="G103" s="48"/>
      <c r="H103" s="48"/>
      <c r="I103" s="48"/>
      <c r="J103" s="436"/>
      <c r="K103" s="48"/>
      <c r="N103" s="75"/>
    </row>
    <row r="104" spans="2:14" ht="13.5" thickBot="1" x14ac:dyDescent="0.25">
      <c r="B104" s="74"/>
      <c r="D104" s="431"/>
      <c r="E104" s="274">
        <f>IF(LEFT(Forme_ogive,5)="Parab",1,0)</f>
        <v>0</v>
      </c>
      <c r="F104" s="289" t="s">
        <v>349</v>
      </c>
      <c r="G104" s="48"/>
      <c r="H104" s="48"/>
      <c r="I104" s="48"/>
      <c r="J104" s="12" t="s">
        <v>345</v>
      </c>
      <c r="K104" s="48"/>
      <c r="N104" s="75"/>
    </row>
    <row r="105" spans="2:14" ht="13.5" thickBot="1" x14ac:dyDescent="0.25">
      <c r="B105" s="74"/>
      <c r="D105" s="2"/>
      <c r="E105" s="2"/>
      <c r="F105" s="2"/>
      <c r="G105" s="273"/>
      <c r="H105" s="441">
        <f>E_ail</f>
        <v>145</v>
      </c>
      <c r="I105" s="273"/>
      <c r="J105" s="441">
        <f>ep_ail</f>
        <v>3</v>
      </c>
      <c r="K105" s="48"/>
      <c r="N105" s="75"/>
    </row>
    <row r="106" spans="2:14" x14ac:dyDescent="0.2">
      <c r="B106" s="74"/>
      <c r="D106" s="429"/>
      <c r="E106" s="246" t="s">
        <v>354</v>
      </c>
      <c r="F106" s="243" t="s">
        <v>353</v>
      </c>
      <c r="N106" s="75"/>
    </row>
    <row r="107" spans="2:14" x14ac:dyDescent="0.2">
      <c r="B107" s="74"/>
      <c r="D107" s="437" t="s">
        <v>351</v>
      </c>
      <c r="E107" s="6">
        <f>MasseSans</f>
        <v>5.0830000000000002</v>
      </c>
      <c r="F107" s="244">
        <f ca="1">MassePlein</f>
        <v>5.0831</v>
      </c>
      <c r="N107" s="75"/>
    </row>
    <row r="108" spans="2:14" x14ac:dyDescent="0.2">
      <c r="B108" s="74"/>
      <c r="D108" s="431" t="s">
        <v>352</v>
      </c>
      <c r="E108" s="274">
        <f>XcgSans</f>
        <v>495</v>
      </c>
      <c r="F108" s="260">
        <f ca="1">XcgPlein</f>
        <v>495.01209891601582</v>
      </c>
      <c r="N108" s="75"/>
    </row>
    <row r="109" spans="2:14" x14ac:dyDescent="0.2">
      <c r="B109" s="74"/>
      <c r="N109" s="75"/>
    </row>
    <row r="110" spans="2:14" x14ac:dyDescent="0.2">
      <c r="B110" s="74"/>
      <c r="D110" s="438" t="s">
        <v>355</v>
      </c>
      <c r="E110" s="439">
        <f ca="1">MasseVide</f>
        <v>5.0830000000000002</v>
      </c>
      <c r="G110" s="429" t="s">
        <v>356</v>
      </c>
      <c r="H110" s="265"/>
      <c r="I110" s="265"/>
      <c r="J110" s="266"/>
      <c r="N110" s="75"/>
    </row>
    <row r="111" spans="2:14" x14ac:dyDescent="0.2">
      <c r="B111" s="74"/>
      <c r="G111" s="276" t="s">
        <v>213</v>
      </c>
      <c r="H111" s="6">
        <f>Beta_rampe</f>
        <v>75.474708385400717</v>
      </c>
      <c r="I111" s="6">
        <v>80</v>
      </c>
      <c r="J111" s="244">
        <v>90</v>
      </c>
      <c r="N111" s="75"/>
    </row>
    <row r="112" spans="2:14" x14ac:dyDescent="0.2">
      <c r="B112" s="74"/>
      <c r="G112" s="278" t="s">
        <v>215</v>
      </c>
      <c r="H112" s="247">
        <f ca="1">Temps_culmi</f>
        <v>10.69999999999998</v>
      </c>
      <c r="I112" s="259"/>
      <c r="J112" s="268"/>
      <c r="N112" s="75"/>
    </row>
    <row r="113" spans="2:14" ht="12.75" customHeight="1" x14ac:dyDescent="0.25">
      <c r="B113" s="74"/>
      <c r="D113" s="435" t="s">
        <v>357</v>
      </c>
      <c r="E113" s="48"/>
      <c r="G113" s="278" t="s">
        <v>216</v>
      </c>
      <c r="H113" s="242">
        <f ca="1">Altitude_culmi</f>
        <v>1251.5050472142614</v>
      </c>
      <c r="I113" s="259"/>
      <c r="J113" s="268"/>
      <c r="N113" s="75"/>
    </row>
    <row r="114" spans="2:14" ht="12.75" customHeight="1" x14ac:dyDescent="0.25">
      <c r="B114" s="74"/>
      <c r="D114" s="48"/>
      <c r="E114" s="48"/>
      <c r="F114" s="435"/>
      <c r="G114" s="278" t="s">
        <v>217</v>
      </c>
      <c r="H114" s="248">
        <f ca="1">Vit_culmi</f>
        <v>23.218460360659179</v>
      </c>
      <c r="I114" s="259"/>
      <c r="J114" s="268"/>
      <c r="N114" s="75"/>
    </row>
    <row r="115" spans="2:14" x14ac:dyDescent="0.2">
      <c r="B115" s="74"/>
      <c r="C115" s="429" t="s">
        <v>358</v>
      </c>
      <c r="D115" s="249"/>
      <c r="E115" s="446">
        <v>0.1</v>
      </c>
      <c r="G115" s="278" t="s">
        <v>133</v>
      </c>
      <c r="H115" s="242">
        <f ca="1">Portee_balistique</f>
        <v>746.86410190403069</v>
      </c>
      <c r="I115" s="259"/>
      <c r="J115" s="268"/>
      <c r="N115" s="75"/>
    </row>
    <row r="116" spans="2:14" ht="12.75" customHeight="1" x14ac:dyDescent="0.2">
      <c r="B116" s="74"/>
      <c r="C116" s="431" t="s">
        <v>359</v>
      </c>
      <c r="D116" s="255"/>
      <c r="E116" s="447">
        <f>E_ail*(m_ail+n_ail)/2</f>
        <v>19575</v>
      </c>
      <c r="G116" s="278" t="s">
        <v>137</v>
      </c>
      <c r="H116" s="248">
        <f ca="1">Vit_max</f>
        <v>155.35373067854024</v>
      </c>
      <c r="I116" s="259"/>
      <c r="J116" s="268"/>
      <c r="N116" s="75"/>
    </row>
    <row r="117" spans="2:14" ht="12.75" customHeight="1" x14ac:dyDescent="0.2">
      <c r="B117" s="74"/>
      <c r="D117" s="48"/>
      <c r="E117" s="48"/>
      <c r="F117" s="48"/>
      <c r="G117" s="278" t="s">
        <v>136</v>
      </c>
      <c r="H117" s="242">
        <f ca="1">Acc_max</f>
        <v>26.471700682377062</v>
      </c>
      <c r="I117" s="259"/>
      <c r="J117" s="268"/>
      <c r="N117" s="75"/>
    </row>
    <row r="118" spans="2:14" x14ac:dyDescent="0.2">
      <c r="B118" s="74"/>
      <c r="C118" s="429" t="s">
        <v>360</v>
      </c>
      <c r="D118" s="249"/>
      <c r="E118" s="457"/>
      <c r="F118" s="458">
        <f>J90/100</f>
        <v>8.5</v>
      </c>
      <c r="G118" s="276" t="s">
        <v>5</v>
      </c>
      <c r="H118" s="6">
        <f>Cx</f>
        <v>0.6</v>
      </c>
      <c r="I118" s="259"/>
      <c r="J118" s="268"/>
      <c r="N118" s="75"/>
    </row>
    <row r="119" spans="2:14" x14ac:dyDescent="0.2">
      <c r="B119" s="74"/>
      <c r="C119" s="437" t="s">
        <v>361</v>
      </c>
      <c r="D119" s="2"/>
      <c r="E119" s="459">
        <f ca="1">2*Acc_max*MasseSans</f>
        <v>269.11130913704523</v>
      </c>
      <c r="F119" s="460">
        <f ca="1">E119/g</f>
        <v>27.432345477782388</v>
      </c>
      <c r="G119" s="269" t="s">
        <v>222</v>
      </c>
      <c r="H119" s="270"/>
      <c r="I119" s="270"/>
      <c r="J119" s="271"/>
      <c r="N119" s="75"/>
    </row>
    <row r="120" spans="2:14" x14ac:dyDescent="0.2">
      <c r="B120" s="74"/>
      <c r="C120" s="437" t="s">
        <v>362</v>
      </c>
      <c r="D120" s="2"/>
      <c r="E120" s="459">
        <f ca="1">2*Acc_max*E115</f>
        <v>5.2943401364754124</v>
      </c>
      <c r="F120" s="460">
        <f ca="1">E120/g</f>
        <v>0.53968808730636209</v>
      </c>
      <c r="N120" s="75"/>
    </row>
    <row r="121" spans="2:14" x14ac:dyDescent="0.2">
      <c r="B121" s="74"/>
      <c r="C121" s="431" t="s">
        <v>363</v>
      </c>
      <c r="D121" s="255"/>
      <c r="E121" s="452">
        <f ca="1">0.104*E116/1000000*Vit_max^2</f>
        <v>49.133588454040336</v>
      </c>
      <c r="F121" s="453">
        <f ca="1">E121/g</f>
        <v>5.0085207394536528</v>
      </c>
      <c r="G121" s="48"/>
      <c r="H121" s="48"/>
      <c r="I121" s="48"/>
      <c r="J121" s="48"/>
      <c r="N121" s="75"/>
    </row>
    <row r="122" spans="2:14" ht="12.75" customHeight="1" x14ac:dyDescent="0.2">
      <c r="B122" s="74"/>
      <c r="H122" s="48"/>
      <c r="I122" s="48"/>
      <c r="J122" s="48"/>
      <c r="N122" s="75"/>
    </row>
    <row r="123" spans="2:14" ht="12.75" customHeight="1" x14ac:dyDescent="0.25">
      <c r="B123" s="74"/>
      <c r="G123" s="435"/>
      <c r="H123" s="435"/>
      <c r="I123" s="435"/>
      <c r="J123" s="48"/>
      <c r="N123" s="75"/>
    </row>
    <row r="124" spans="2:14" ht="12.75" customHeight="1" x14ac:dyDescent="0.25">
      <c r="B124" s="74"/>
      <c r="C124" s="48"/>
      <c r="D124" s="435" t="s">
        <v>364</v>
      </c>
      <c r="E124" s="448"/>
      <c r="J124" s="48"/>
      <c r="K124" s="48"/>
      <c r="N124" s="75"/>
    </row>
    <row r="125" spans="2:14" x14ac:dyDescent="0.2">
      <c r="B125" s="74"/>
      <c r="C125" s="445" t="s">
        <v>365</v>
      </c>
      <c r="J125" s="48"/>
      <c r="K125" s="48"/>
      <c r="N125" s="75"/>
    </row>
    <row r="126" spans="2:14" x14ac:dyDescent="0.2">
      <c r="B126" s="74"/>
      <c r="C126" s="429" t="s">
        <v>366</v>
      </c>
      <c r="D126" s="249"/>
      <c r="E126" s="449">
        <v>4</v>
      </c>
      <c r="G126" s="48"/>
      <c r="J126" s="48"/>
      <c r="N126" s="75"/>
    </row>
    <row r="127" spans="2:14" x14ac:dyDescent="0.2">
      <c r="B127" s="74"/>
      <c r="C127" s="431" t="s">
        <v>367</v>
      </c>
      <c r="D127" s="255"/>
      <c r="E127" s="456">
        <f>S_para</f>
        <v>0.48049999999999998</v>
      </c>
      <c r="G127" s="48"/>
      <c r="J127" s="48"/>
      <c r="N127" s="75"/>
    </row>
    <row r="128" spans="2:14" x14ac:dyDescent="0.2">
      <c r="B128" s="74"/>
      <c r="C128" s="681" t="s">
        <v>368</v>
      </c>
      <c r="D128" s="682"/>
      <c r="E128" s="450">
        <f ca="1">0.5*Rho_moyen*S_para*Vit_culmi^2</f>
        <v>158.6595874728238</v>
      </c>
      <c r="F128" s="451">
        <f ca="1">E128/g</f>
        <v>16.173250506913739</v>
      </c>
      <c r="H128" s="48"/>
      <c r="I128" s="48"/>
      <c r="J128" s="48"/>
      <c r="K128" s="48"/>
      <c r="N128" s="75"/>
    </row>
    <row r="129" spans="2:14" x14ac:dyDescent="0.2">
      <c r="B129" s="74"/>
      <c r="C129" s="679" t="s">
        <v>369</v>
      </c>
      <c r="D129" s="680"/>
      <c r="E129" s="452">
        <f ca="1">E128/E126*2</f>
        <v>79.329793736411901</v>
      </c>
      <c r="F129" s="453">
        <f ca="1">E129/g</f>
        <v>8.0866252534568694</v>
      </c>
      <c r="H129" s="48"/>
      <c r="I129" s="48"/>
      <c r="J129" s="48"/>
      <c r="K129" s="48"/>
      <c r="N129" s="75"/>
    </row>
    <row r="130" spans="2:14" x14ac:dyDescent="0.2">
      <c r="B130" s="74"/>
      <c r="C130" s="47"/>
      <c r="D130" s="47"/>
      <c r="E130" s="443"/>
      <c r="F130" s="444"/>
      <c r="H130" s="48"/>
      <c r="I130" s="48"/>
      <c r="J130" s="48"/>
      <c r="K130" s="48"/>
      <c r="N130" s="75"/>
    </row>
    <row r="131" spans="2:14" x14ac:dyDescent="0.2">
      <c r="B131" s="74"/>
      <c r="C131" s="445" t="s">
        <v>370</v>
      </c>
      <c r="D131" s="48"/>
      <c r="E131" s="48"/>
      <c r="F131" s="48"/>
      <c r="G131" s="48"/>
      <c r="H131" s="48"/>
      <c r="I131" s="48"/>
      <c r="J131" s="48"/>
      <c r="K131" s="48"/>
      <c r="N131" s="75"/>
    </row>
    <row r="132" spans="2:14" x14ac:dyDescent="0.2">
      <c r="B132" s="74"/>
      <c r="C132" s="681" t="s">
        <v>371</v>
      </c>
      <c r="D132" s="682"/>
      <c r="E132" s="454">
        <v>1</v>
      </c>
      <c r="F132" s="48"/>
      <c r="G132" s="48"/>
      <c r="H132" s="48"/>
      <c r="I132" s="48"/>
      <c r="J132" s="442"/>
      <c r="K132" s="48"/>
      <c r="N132" s="75"/>
    </row>
    <row r="133" spans="2:14" x14ac:dyDescent="0.2">
      <c r="B133" s="74"/>
      <c r="C133" s="679" t="s">
        <v>372</v>
      </c>
      <c r="D133" s="680"/>
      <c r="E133" s="455">
        <f ca="1">2*E132*Acc_max/g</f>
        <v>5.3968808730636209</v>
      </c>
      <c r="F133" s="48"/>
      <c r="G133" s="48"/>
      <c r="H133" s="48"/>
      <c r="I133" s="48"/>
      <c r="J133" s="48"/>
      <c r="K133" s="48"/>
      <c r="N133" s="75"/>
    </row>
    <row r="134" spans="2:14" ht="13.5" thickBot="1" x14ac:dyDescent="0.25">
      <c r="B134" s="77"/>
      <c r="C134" s="461"/>
      <c r="D134" s="461"/>
      <c r="E134" s="461"/>
      <c r="F134" s="461"/>
      <c r="G134" s="461"/>
      <c r="H134" s="461"/>
      <c r="I134" s="461"/>
      <c r="J134" s="461"/>
      <c r="K134" s="461"/>
      <c r="L134" s="78"/>
      <c r="M134" s="78"/>
      <c r="N134" s="79"/>
    </row>
  </sheetData>
  <sheetProtection algorithmName="SHA-512" hashValue="hPW55fXgN2sF0rdmrUjeSRNNiQdOIANll77I7z4pOMGhgAMnv3SeC70tlG1ZvqBw5PTm8+/9RK5zYBPb8YMDZQ==" saltValue="649bwDB7J1RR5Eo9ArOefA==" spinCount="100000" sheet="1" objects="1" scenarios="1"/>
  <mergeCells count="22">
    <mergeCell ref="C133:D133"/>
    <mergeCell ref="C128:D128"/>
    <mergeCell ref="C129:D129"/>
    <mergeCell ref="C132:D132"/>
    <mergeCell ref="H44:I44"/>
    <mergeCell ref="H45:I45"/>
    <mergeCell ref="H46:I46"/>
    <mergeCell ref="E31:G31"/>
    <mergeCell ref="M29:M30"/>
    <mergeCell ref="H30:I30"/>
    <mergeCell ref="L29:L30"/>
    <mergeCell ref="H31:I31"/>
    <mergeCell ref="H11:I11"/>
    <mergeCell ref="H12:I12"/>
    <mergeCell ref="H13:I13"/>
    <mergeCell ref="H29:K29"/>
    <mergeCell ref="C29:C30"/>
    <mergeCell ref="D29:D30"/>
    <mergeCell ref="H17:I17"/>
    <mergeCell ref="H18:I18"/>
    <mergeCell ref="H19:I19"/>
    <mergeCell ref="E29:G30"/>
  </mergeCells>
  <phoneticPr fontId="8" type="noConversion"/>
  <conditionalFormatting sqref="D18:E18">
    <cfRule type="expression" dxfId="2" priority="2" stopIfTrue="1">
      <formula>IF(Propu="Cariacou",0,1)</formula>
    </cfRule>
  </conditionalFormatting>
  <conditionalFormatting sqref="F18:I19">
    <cfRule type="expression" dxfId="1" priority="1" stopIfTrue="1">
      <formula>IF(Propu="Cariacou",1,0)</formula>
    </cfRule>
  </conditionalFormatting>
  <conditionalFormatting sqref="I16 I68:I73">
    <cfRule type="expression" dxfId="0" priority="6" stopIfTrue="1">
      <formula>Nb_sat="0 satellite"</formula>
    </cfRule>
  </conditionalFormatting>
  <pageMargins left="0.39370078740157483" right="0.39370078740157483" top="0.39370078740157483" bottom="0.39370078740157483" header="0" footer="0"/>
  <pageSetup paperSize="9" scale="61" orientation="portrait" r:id="rId1"/>
  <ignoredErrors>
    <ignoredError sqref="H65 H63" unlockedFormula="1"/>
  </ignoredErrors>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8</vt:i4>
      </vt:variant>
      <vt:variant>
        <vt:lpstr>Plages nommées</vt:lpstr>
      </vt:variant>
      <vt:variant>
        <vt:i4>216</vt:i4>
      </vt:variant>
    </vt:vector>
  </HeadingPairs>
  <TitlesOfParts>
    <vt:vector size="224" baseType="lpstr">
      <vt:lpstr>Stabilito</vt:lpstr>
      <vt:lpstr>Trajecto</vt:lpstr>
      <vt:lpstr>Courbes</vt:lpstr>
      <vt:lpstr>Propu</vt:lpstr>
      <vt:lpstr>Calculs</vt:lpstr>
      <vt:lpstr>Abaco</vt:lpstr>
      <vt:lpstr>Info</vt:lpstr>
      <vt:lpstr>Controle</vt:lpstr>
      <vt:lpstr>a_prop</vt:lpstr>
      <vt:lpstr>Acc_max</vt:lpstr>
      <vt:lpstr>acc_x</vt:lpstr>
      <vt:lpstr>acc_xz</vt:lpstr>
      <vt:lpstr>acc_z</vt:lpstr>
      <vt:lpstr>Alt_para</vt:lpstr>
      <vt:lpstr>alt_prop</vt:lpstr>
      <vt:lpstr>Alt_rampe</vt:lpstr>
      <vt:lpstr>Alt_sat</vt:lpstr>
      <vt:lpstr>Altitude_culmi</vt:lpstr>
      <vt:lpstr>b_bal</vt:lpstr>
      <vt:lpstr>b_prop</vt:lpstr>
      <vt:lpstr>Beta</vt:lpstr>
      <vt:lpstr>Beta_rampe</vt:lpstr>
      <vt:lpstr>BetaD</vt:lpstr>
      <vt:lpstr>CdP</vt:lpstr>
      <vt:lpstr>CdP_P</vt:lpstr>
      <vt:lpstr>CdP_t</vt:lpstr>
      <vt:lpstr>Club</vt:lpstr>
      <vt:lpstr>Cn</vt:lpstr>
      <vt:lpstr>Cn0</vt:lpstr>
      <vt:lpstr>Stabilito!Cnai</vt:lpstr>
      <vt:lpstr>Cnai0</vt:lpstr>
      <vt:lpstr>Stabilito!Cnail</vt:lpstr>
      <vt:lpstr>Stabilito!Cnc</vt:lpstr>
      <vt:lpstr>Stabilito!Cni</vt:lpstr>
      <vt:lpstr>Cni0</vt:lpstr>
      <vt:lpstr>Stabilito!Cnj</vt:lpstr>
      <vt:lpstr>Stabilito!Cno</vt:lpstr>
      <vt:lpstr>Stabilito!Cnr</vt:lpstr>
      <vt:lpstr>Combustion</vt:lpstr>
      <vt:lpstr>Stabilito!CritCnmax</vt:lpstr>
      <vt:lpstr>Stabilito!CritCnmin</vt:lpstr>
      <vt:lpstr>Stabilito!CritFinessemax</vt:lpstr>
      <vt:lpstr>Stabilito!CritFinessemin</vt:lpstr>
      <vt:lpstr>Stabilito!CritMsCnmax</vt:lpstr>
      <vt:lpstr>Stabilito!CritMsCnmin</vt:lpstr>
      <vt:lpstr>Stabilito!CritMsmax</vt:lpstr>
      <vt:lpstr>Stabilito!CritMsmin</vt:lpstr>
      <vt:lpstr>Cx</vt:lpstr>
      <vt:lpstr>Cx_para</vt:lpstr>
      <vt:lpstr>Cx_satellite</vt:lpstr>
      <vt:lpstr>D_ail</vt:lpstr>
      <vt:lpstr>Stabilito!D_can</vt:lpstr>
      <vt:lpstr>Stabilito!D_int</vt:lpstr>
      <vt:lpstr>D_og</vt:lpstr>
      <vt:lpstr>D_ref</vt:lpstr>
      <vt:lpstr>D_var</vt:lpstr>
      <vt:lpstr>D1j</vt:lpstr>
      <vt:lpstr>D1r</vt:lpstr>
      <vt:lpstr>D2j</vt:lpstr>
      <vt:lpstr>D2r</vt:lpstr>
      <vt:lpstr>Débit</vt:lpstr>
      <vt:lpstr>Depotage</vt:lpstr>
      <vt:lpstr>Diam_propu</vt:lpstr>
      <vt:lpstr>Dt_para</vt:lpstr>
      <vt:lpstr>Dt_satellite</vt:lpstr>
      <vt:lpstr>Dx_para</vt:lpstr>
      <vt:lpstr>Dx_sat</vt:lpstr>
      <vt:lpstr>E_ail</vt:lpstr>
      <vt:lpstr>E_can</vt:lpstr>
      <vt:lpstr>Stabilito!E_int</vt:lpstr>
      <vt:lpstr>ep_ail</vt:lpstr>
      <vt:lpstr>ep_can</vt:lpstr>
      <vt:lpstr>Stabilito!ep_int</vt:lpstr>
      <vt:lpstr>Event</vt:lpstr>
      <vt:lpstr>Event_para</vt:lpstr>
      <vt:lpstr>Event_sat</vt:lpstr>
      <vt:lpstr>Stabilito!f_ail</vt:lpstr>
      <vt:lpstr>Stabilito!f_can</vt:lpstr>
      <vt:lpstr>Stabilito!f_int</vt:lpstr>
      <vt:lpstr>Finesse</vt:lpstr>
      <vt:lpstr>Forme_ogive</vt:lpstr>
      <vt:lpstr>g</vt:lpstr>
      <vt:lpstr>i_P</vt:lpstr>
      <vt:lpstr>I_total</vt:lpstr>
      <vt:lpstr>ISP</vt:lpstr>
      <vt:lpstr>l_j</vt:lpstr>
      <vt:lpstr>l_r</vt:lpstr>
      <vt:lpstr>L_rampe</vt:lpstr>
      <vt:lpstr>Lang</vt:lpstr>
      <vt:lpstr>Liste_µfu</vt:lpstr>
      <vt:lpstr>Liste_fusex</vt:lpstr>
      <vt:lpstr>Liste_H2O</vt:lpstr>
      <vt:lpstr>Liste_minif</vt:lpstr>
      <vt:lpstr>Liste_minifT</vt:lpstr>
      <vt:lpstr>Liste_propu</vt:lpstr>
      <vt:lpstr>Liste_RC</vt:lpstr>
      <vt:lpstr>Liste_Type_para</vt:lpstr>
      <vt:lpstr>Long_ogive</vt:lpstr>
      <vt:lpstr>Long_propu</vt:lpstr>
      <vt:lpstr>Long_tot</vt:lpstr>
      <vt:lpstr>m</vt:lpstr>
      <vt:lpstr>m_ail</vt:lpstr>
      <vt:lpstr>m_bal</vt:lpstr>
      <vt:lpstr>m_can</vt:lpstr>
      <vt:lpstr>Stabilito!m_int</vt:lpstr>
      <vt:lpstr>m_poudre</vt:lpstr>
      <vt:lpstr>m_prop</vt:lpstr>
      <vt:lpstr>m_satellite</vt:lpstr>
      <vt:lpstr>m_tot</vt:lpstr>
      <vt:lpstr>m_var</vt:lpstr>
      <vt:lpstr>m_vide</vt:lpstr>
      <vt:lpstr>Masse_ail</vt:lpstr>
      <vt:lpstr>MassePlein</vt:lpstr>
      <vt:lpstr>MasseSans</vt:lpstr>
      <vt:lpstr>MasseVide</vt:lpstr>
      <vt:lpstr>Matricule</vt:lpstr>
      <vt:lpstr>Menu_Empennage</vt:lpstr>
      <vt:lpstr>Menu_Lang</vt:lpstr>
      <vt:lpstr>Menu_Ogive</vt:lpstr>
      <vt:lpstr>Menu_sat</vt:lpstr>
      <vt:lpstr>Menu_Transitions</vt:lpstr>
      <vt:lpstr>Menu_Type</vt:lpstr>
      <vt:lpstr>Menu_with_motor</vt:lpstr>
      <vt:lpstr>MpropuPlein</vt:lpstr>
      <vt:lpstr>MpropuVide</vt:lpstr>
      <vt:lpstr>MS_Cn_max</vt:lpstr>
      <vt:lpstr>MS_Cn_min</vt:lpstr>
      <vt:lpstr>MS_max</vt:lpstr>
      <vt:lpstr>MS_min</vt:lpstr>
      <vt:lpstr>n_ail</vt:lpstr>
      <vt:lpstr>n_can</vt:lpstr>
      <vt:lpstr>Stabilito!n_int</vt:lpstr>
      <vt:lpstr>Nb_diam</vt:lpstr>
      <vt:lpstr>Nb_sat</vt:lpstr>
      <vt:lpstr>Nom</vt:lpstr>
      <vt:lpstr>p_ail</vt:lpstr>
      <vt:lpstr>p_can</vt:lpstr>
      <vt:lpstr>Stabilito!p_int</vt:lpstr>
      <vt:lpstr>pas</vt:lpstr>
      <vt:lpstr>Poids</vt:lpstr>
      <vt:lpstr>Portee_balistique</vt:lpstr>
      <vt:lpstr>pos_x</vt:lpstr>
      <vt:lpstr>pos_xz</vt:lpstr>
      <vt:lpstr>pos_z</vt:lpstr>
      <vt:lpstr>pos_z_montant</vt:lpstr>
      <vt:lpstr>Poussee</vt:lpstr>
      <vt:lpstr>Propu</vt:lpstr>
      <vt:lpstr>Q_ail</vt:lpstr>
      <vt:lpstr>Q_can</vt:lpstr>
      <vt:lpstr>Stabilito!Q_int</vt:lpstr>
      <vt:lpstr>Q_var</vt:lpstr>
      <vt:lpstr>R_rampe</vt:lpstr>
      <vt:lpstr>Rho</vt:lpstr>
      <vt:lpstr>Rho_moyen</vt:lpstr>
      <vt:lpstr>S_ail</vt:lpstr>
      <vt:lpstr>S_para</vt:lpstr>
      <vt:lpstr>S_para_croix</vt:lpstr>
      <vt:lpstr>S_para_rond</vt:lpstr>
      <vt:lpstr>S_satellite</vt:lpstr>
      <vt:lpstr>Sref</vt:lpstr>
      <vt:lpstr>sS</vt:lpstr>
      <vt:lpstr>t</vt:lpstr>
      <vt:lpstr>T_balistique</vt:lpstr>
      <vt:lpstr>T_ini</vt:lpstr>
      <vt:lpstr>T_para</vt:lpstr>
      <vt:lpstr>T_satellite</vt:lpstr>
      <vt:lpstr>Temps_culmi</vt:lpstr>
      <vt:lpstr>Temps_fin_propu</vt:lpstr>
      <vt:lpstr>Trainee</vt:lpstr>
      <vt:lpstr>tT_fus</vt:lpstr>
      <vt:lpstr>tT_sat</vt:lpstr>
      <vt:lpstr>Type_fusee</vt:lpstr>
      <vt:lpstr>Abaco!Type_masquage</vt:lpstr>
      <vt:lpstr>Stabilito!Type_masquage</vt:lpstr>
      <vt:lpstr>Type_propu</vt:lpstr>
      <vt:lpstr>V_ini</vt:lpstr>
      <vt:lpstr>V_ouv_sat</vt:lpstr>
      <vt:lpstr>V_ouverture</vt:lpstr>
      <vt:lpstr>V_para</vt:lpstr>
      <vt:lpstr>V_prop</vt:lpstr>
      <vt:lpstr>V_satellite</vt:lpstr>
      <vt:lpstr>V_vent</vt:lpstr>
      <vt:lpstr>V_vent_sat</vt:lpstr>
      <vt:lpstr>Stabilito!Version</vt:lpstr>
      <vt:lpstr>Trajecto!Version</vt:lpstr>
      <vt:lpstr>Vit_culmi</vt:lpstr>
      <vt:lpstr>Vit_max</vt:lpstr>
      <vt:lpstr>vit_x</vt:lpstr>
      <vt:lpstr>vit_xz</vt:lpstr>
      <vt:lpstr>vit_z</vt:lpstr>
      <vt:lpstr>Vsortie_de_rampe</vt:lpstr>
      <vt:lpstr>X_ail</vt:lpstr>
      <vt:lpstr>X_can</vt:lpstr>
      <vt:lpstr>X_culmi</vt:lpstr>
      <vt:lpstr>X_ini</vt:lpstr>
      <vt:lpstr>Stabilito!X_int</vt:lpstr>
      <vt:lpstr>X_j</vt:lpstr>
      <vt:lpstr>X_para</vt:lpstr>
      <vt:lpstr>X_r</vt:lpstr>
      <vt:lpstr>X_satellite</vt:lpstr>
      <vt:lpstr>XcgPlein</vt:lpstr>
      <vt:lpstr>XcgSans</vt:lpstr>
      <vt:lpstr>XcgVide</vt:lpstr>
      <vt:lpstr>Stabilito!XCp</vt:lpstr>
      <vt:lpstr>XCp0</vt:lpstr>
      <vt:lpstr>Stabilito!XCpa</vt:lpstr>
      <vt:lpstr>Stabilito!XCpai</vt:lpstr>
      <vt:lpstr>XCpai0</vt:lpstr>
      <vt:lpstr>Stabilito!XCpc</vt:lpstr>
      <vt:lpstr>Stabilito!XCpi</vt:lpstr>
      <vt:lpstr>XCpi0</vt:lpstr>
      <vt:lpstr>Stabilito!XCpj</vt:lpstr>
      <vt:lpstr>Stabilito!XCpo</vt:lpstr>
      <vt:lpstr>Stabilito!XCpr</vt:lpstr>
      <vt:lpstr>XpropuPlein</vt:lpstr>
      <vt:lpstr>XpropuRef</vt:lpstr>
      <vt:lpstr>XpropuVide</vt:lpstr>
      <vt:lpstr>Z_ini</vt:lpstr>
      <vt:lpstr>Abaco!Zone_d_impression</vt:lpstr>
      <vt:lpstr>Courbes!Zone_d_impression</vt:lpstr>
      <vt:lpstr>Stabilito!Zone_d_impression</vt:lpstr>
      <vt:lpstr>Trajecto!Zone_d_impression</vt:lpstr>
      <vt:lpstr>zZ_fus</vt:lpstr>
      <vt:lpstr>zZ_sat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StabTraj</dc:title>
  <dc:creator>Léo Côme;Sylvain Besson</dc:creator>
  <cp:lastModifiedBy>Alexis Paillard</cp:lastModifiedBy>
  <cp:lastPrinted>2011-11-08T21:12:34Z</cp:lastPrinted>
  <dcterms:created xsi:type="dcterms:W3CDTF">2008-11-03T20:48:06Z</dcterms:created>
  <dcterms:modified xsi:type="dcterms:W3CDTF">2025-11-07T11:40:32Z</dcterms:modified>
</cp:coreProperties>
</file>